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allet_2XRQxY5r" sheetId="2" state="visible" r:id="rId2"/>
    <sheet name="Wallet_CtKi39VF" sheetId="3" state="visible" r:id="rId3"/>
    <sheet name="Wallet_J8CFQP3H" sheetId="4" state="visible" r:id="rId4"/>
    <sheet name="Wallet_67XYw3Wn" sheetId="5" state="visible" r:id="rId5"/>
    <sheet name="Wallet_GBUvKJp5" sheetId="6" state="visible" r:id="rId6"/>
    <sheet name="Wallet_9QZ5gwre" sheetId="7" state="visible" r:id="rId7"/>
    <sheet name="Wallet_GbZsEfC5" sheetId="8" state="visible" r:id="rId8"/>
    <sheet name="Wallet_55V4hMbP" sheetId="9" state="visible" r:id="rId9"/>
    <sheet name="Wallet_7DAMCyYS" sheetId="10" state="visible" r:id="rId10"/>
    <sheet name="Wallet_E7Vpwi8y" sheetId="11" state="visible" r:id="rId11"/>
    <sheet name="Wallet_5L2VdnbQ" sheetId="12" state="visible" r:id="rId12"/>
    <sheet name="Wallet_DSsSCWgC" sheetId="13" state="visible" r:id="rId13"/>
    <sheet name="Wallet_3p2CpeP8" sheetId="14" state="visible" r:id="rId14"/>
    <sheet name="Wallet_EwMT7ygv" sheetId="15" state="visible" r:id="rId15"/>
    <sheet name="Wallet_H9AcEk9z" sheetId="16" state="visible" r:id="rId16"/>
    <sheet name="Wallet_2FaNRoiX" sheetId="17" state="visible" r:id="rId17"/>
    <sheet name="Wallet_9r7b8dnj" sheetId="18" state="visible" r:id="rId18"/>
    <sheet name="Wallet_47KdXtjk" sheetId="19" state="visible" r:id="rId19"/>
    <sheet name="Wallet_AP3oxFV3" sheetId="20" state="visible" r:id="rId20"/>
    <sheet name="Wallet_8vQjS83m" sheetId="21" state="visible" r:id="rId21"/>
    <sheet name="Wallet_dikyzV9B" sheetId="22" state="visible" r:id="rId22"/>
    <sheet name="Wallet_D9hsi4iA" sheetId="23" state="visible" r:id="rId23"/>
    <sheet name="Wallet_5FA9hUrw" sheetId="24" state="visible" r:id="rId24"/>
    <sheet name="Wallet_BbS7e412" sheetId="25" state="visible" r:id="rId25"/>
    <sheet name="Wallet_7ApjVzSa" sheetId="26" state="visible" r:id="rId26"/>
    <sheet name="Wallet_77AeyLRL" sheetId="27" state="visible" r:id="rId27"/>
    <sheet name="Wallet_7BJk376W" sheetId="28" state="visible" r:id="rId28"/>
    <sheet name="Wallet_BcViwxDP" sheetId="29" state="visible" r:id="rId29"/>
    <sheet name="Wallet_6X1jSkx7" sheetId="30" state="visible" r:id="rId30"/>
    <sheet name="Wallet_9UHGG5A7" sheetId="31" state="visible" r:id="rId31"/>
    <sheet name="Wallet_5Y5gmTQe" sheetId="32" state="visible" r:id="rId32"/>
    <sheet name="Wallet_8H3xT8L4" sheetId="33" state="visible" r:id="rId33"/>
    <sheet name="Wallet_8GC8KU7b" sheetId="34" state="visible" r:id="rId34"/>
    <sheet name="Wallet_DAvFwQya" sheetId="35" state="visible" r:id="rId35"/>
    <sheet name="Wallet_4DzbUe9R" sheetId="36" state="visible" r:id="rId36"/>
    <sheet name="Wallet_4ANWddp8" sheetId="37" state="visible" r:id="rId37"/>
    <sheet name="Wallet_D5ZZVQCL" sheetId="38" state="visible" r:id="rId38"/>
    <sheet name="Wallet_D1QSf63d" sheetId="39" state="visible" r:id="rId39"/>
    <sheet name="Wallet_7794TDb3" sheetId="40" state="visible" r:id="rId40"/>
    <sheet name="Wallet_BuaCKVPQ" sheetId="41" state="visible" r:id="rId41"/>
    <sheet name="Wallet_5mcVquZq" sheetId="42" state="visible" r:id="rId42"/>
    <sheet name="Wallet_6WPK59Qr" sheetId="43" state="visible" r:id="rId43"/>
    <sheet name="Wallet_2q6vC6eF" sheetId="44" state="visible" r:id="rId44"/>
    <sheet name="Wallet_639xVN39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16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F9393"/>
        <bgColor rgb="00FF9393"/>
      </patternFill>
    </fill>
    <fill>
      <patternFill patternType="solid">
        <fgColor rgb="00A3EDC6"/>
        <bgColor rgb="00A3EDC6"/>
      </patternFill>
    </fill>
    <fill>
      <patternFill patternType="solid">
        <fgColor rgb="0000FF00"/>
        <bgColor rgb="0000FF00"/>
      </patternFill>
    </fill>
    <fill>
      <patternFill patternType="solid">
        <fgColor rgb="0090EE90"/>
        <bgColor rgb="0090EE90"/>
      </patternFill>
    </fill>
    <fill>
      <patternFill patternType="solid">
        <fgColor rgb="0098FB98"/>
        <bgColor rgb="0098FB98"/>
      </patternFill>
    </fill>
    <fill>
      <patternFill patternType="solid">
        <fgColor rgb="00FFFFE0"/>
        <bgColor rgb="00FFFFE0"/>
      </patternFill>
    </fill>
    <fill>
      <patternFill patternType="solid">
        <fgColor rgb="00FF6347"/>
        <bgColor rgb="00FF6347"/>
      </patternFill>
    </fill>
    <fill>
      <patternFill patternType="solid">
        <fgColor rgb="00FCD5B4"/>
        <bgColor rgb="00FCD5B4"/>
      </patternFill>
    </fill>
    <fill>
      <patternFill patternType="solid">
        <fgColor rgb="00F5F5F5"/>
        <bgColor rgb="00F5F5F5"/>
      </patternFill>
    </fill>
    <fill>
      <patternFill patternType="solid">
        <fgColor rgb="00FFEB9C"/>
        <bgColor rgb="00FFEB9C"/>
      </patternFill>
    </fill>
    <fill>
      <patternFill patternType="solid">
        <fgColor rgb="00FFFF99"/>
        <bgColor rgb="00FFFF99"/>
      </patternFill>
    </fill>
    <fill>
      <patternFill patternType="solid">
        <fgColor rgb="00C00000"/>
        <bgColor rgb="00C00000"/>
      </patternFill>
    </fill>
    <fill>
      <patternFill patternType="solid">
        <fgColor rgb="0000FA71"/>
        <bgColor rgb="0000FA7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11" borderId="0" applyAlignment="1" pivotButton="0" quotePrefix="0" xfId="0">
      <alignment horizontal="left" vertical="center"/>
    </xf>
    <xf numFmtId="0" fontId="0" fillId="11" borderId="0" applyAlignment="1" pivotButton="0" quotePrefix="0" xfId="0">
      <alignment horizontal="right" vertical="center"/>
    </xf>
    <xf numFmtId="0" fontId="0" fillId="12" borderId="0" applyAlignment="1" pivotButton="0" quotePrefix="0" xfId="0">
      <alignment horizontal="right" vertical="center"/>
    </xf>
    <xf numFmtId="0" fontId="0" fillId="13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right" vertical="center"/>
    </xf>
    <xf numFmtId="0" fontId="0" fillId="14" borderId="0" applyAlignment="1" pivotButton="0" quotePrefix="0" xfId="0">
      <alignment horizontal="right" vertical="center"/>
    </xf>
    <xf numFmtId="0" fontId="0" fillId="15" borderId="0" applyAlignment="1" pivotButton="0" quotePrefix="0" xfId="0">
      <alignment horizontal="right" vertical="center"/>
    </xf>
    <xf numFmtId="0" fontId="0" fillId="3" borderId="0" applyAlignment="1" pivotButton="0" quotePrefix="0" xfId="0">
      <alignment horizontal="right" vertical="center"/>
    </xf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Wallet_2XRQxY5r!A1" TargetMode="External" Id="rId1" /><Relationship Type="http://schemas.openxmlformats.org/officeDocument/2006/relationships/hyperlink" Target="#Wallet_CtKi39VF!A1" TargetMode="External" Id="rId2" /><Relationship Type="http://schemas.openxmlformats.org/officeDocument/2006/relationships/hyperlink" Target="#Wallet_J8CFQP3H!A1" TargetMode="External" Id="rId3" /><Relationship Type="http://schemas.openxmlformats.org/officeDocument/2006/relationships/hyperlink" Target="#Wallet_67XYw3Wn!A1" TargetMode="External" Id="rId4" /><Relationship Type="http://schemas.openxmlformats.org/officeDocument/2006/relationships/hyperlink" Target="#Wallet_GBUvKJp5!A1" TargetMode="External" Id="rId5" /><Relationship Type="http://schemas.openxmlformats.org/officeDocument/2006/relationships/hyperlink" Target="#Wallet_9QZ5gwre!A1" TargetMode="External" Id="rId6" /><Relationship Type="http://schemas.openxmlformats.org/officeDocument/2006/relationships/hyperlink" Target="#Wallet_GbZsEfC5!A1" TargetMode="External" Id="rId7" /><Relationship Type="http://schemas.openxmlformats.org/officeDocument/2006/relationships/hyperlink" Target="#Wallet_55V4hMbP!A1" TargetMode="External" Id="rId8" /><Relationship Type="http://schemas.openxmlformats.org/officeDocument/2006/relationships/hyperlink" Target="#Wallet_7DAMCyYS!A1" TargetMode="External" Id="rId9" /><Relationship Type="http://schemas.openxmlformats.org/officeDocument/2006/relationships/hyperlink" Target="#Wallet_E7Vpwi8y!A1" TargetMode="External" Id="rId10" /><Relationship Type="http://schemas.openxmlformats.org/officeDocument/2006/relationships/hyperlink" Target="#Wallet_5L2VdnbQ!A1" TargetMode="External" Id="rId11" /><Relationship Type="http://schemas.openxmlformats.org/officeDocument/2006/relationships/hyperlink" Target="#Wallet_DSsSCWgC!A1" TargetMode="External" Id="rId12" /><Relationship Type="http://schemas.openxmlformats.org/officeDocument/2006/relationships/hyperlink" Target="#Wallet_3p2CpeP8!A1" TargetMode="External" Id="rId13" /><Relationship Type="http://schemas.openxmlformats.org/officeDocument/2006/relationships/hyperlink" Target="#Wallet_EwMT7ygv!A1" TargetMode="External" Id="rId14" /><Relationship Type="http://schemas.openxmlformats.org/officeDocument/2006/relationships/hyperlink" Target="#Wallet_H9AcEk9z!A1" TargetMode="External" Id="rId15" /><Relationship Type="http://schemas.openxmlformats.org/officeDocument/2006/relationships/hyperlink" Target="#Wallet_2FaNRoiX!A1" TargetMode="External" Id="rId16" /><Relationship Type="http://schemas.openxmlformats.org/officeDocument/2006/relationships/hyperlink" Target="#Wallet_9r7b8dnj!A1" TargetMode="External" Id="rId17" /><Relationship Type="http://schemas.openxmlformats.org/officeDocument/2006/relationships/hyperlink" Target="#Wallet_47KdXtjk!A1" TargetMode="External" Id="rId18" /><Relationship Type="http://schemas.openxmlformats.org/officeDocument/2006/relationships/hyperlink" Target="#Wallet_AP3oxFV3!A1" TargetMode="External" Id="rId19" /><Relationship Type="http://schemas.openxmlformats.org/officeDocument/2006/relationships/hyperlink" Target="#Wallet_8vQjS83m!A1" TargetMode="External" Id="rId20" /><Relationship Type="http://schemas.openxmlformats.org/officeDocument/2006/relationships/hyperlink" Target="#Wallet_dikyzV9B!A1" TargetMode="External" Id="rId21" /><Relationship Type="http://schemas.openxmlformats.org/officeDocument/2006/relationships/hyperlink" Target="#Wallet_D9hsi4iA!A1" TargetMode="External" Id="rId22" /><Relationship Type="http://schemas.openxmlformats.org/officeDocument/2006/relationships/hyperlink" Target="#Wallet_5FA9hUrw!A1" TargetMode="External" Id="rId23" /><Relationship Type="http://schemas.openxmlformats.org/officeDocument/2006/relationships/hyperlink" Target="#Wallet_BbS7e412!A1" TargetMode="External" Id="rId24" /><Relationship Type="http://schemas.openxmlformats.org/officeDocument/2006/relationships/hyperlink" Target="#Wallet_7ApjVzSa!A1" TargetMode="External" Id="rId25" /><Relationship Type="http://schemas.openxmlformats.org/officeDocument/2006/relationships/hyperlink" Target="#Wallet_77AeyLRL!A1" TargetMode="External" Id="rId26" /><Relationship Type="http://schemas.openxmlformats.org/officeDocument/2006/relationships/hyperlink" Target="#Wallet_7BJk376W!A1" TargetMode="External" Id="rId27" /><Relationship Type="http://schemas.openxmlformats.org/officeDocument/2006/relationships/hyperlink" Target="#Wallet_BcViwxDP!A1" TargetMode="External" Id="rId28" /><Relationship Type="http://schemas.openxmlformats.org/officeDocument/2006/relationships/hyperlink" Target="#Wallet_6X1jSkx7!A1" TargetMode="External" Id="rId29" /><Relationship Type="http://schemas.openxmlformats.org/officeDocument/2006/relationships/hyperlink" Target="#Wallet_9UHGG5A7!A1" TargetMode="External" Id="rId30" /><Relationship Type="http://schemas.openxmlformats.org/officeDocument/2006/relationships/hyperlink" Target="#Wallet_5Y5gmTQe!A1" TargetMode="External" Id="rId31" /><Relationship Type="http://schemas.openxmlformats.org/officeDocument/2006/relationships/hyperlink" Target="#Wallet_8H3xT8L4!A1" TargetMode="External" Id="rId32" /><Relationship Type="http://schemas.openxmlformats.org/officeDocument/2006/relationships/hyperlink" Target="#Wallet_8GC8KU7b!A1" TargetMode="External" Id="rId33" /><Relationship Type="http://schemas.openxmlformats.org/officeDocument/2006/relationships/hyperlink" Target="#Wallet_DAvFwQya!A1" TargetMode="External" Id="rId34" /><Relationship Type="http://schemas.openxmlformats.org/officeDocument/2006/relationships/hyperlink" Target="#Wallet_4DzbUe9R!A1" TargetMode="External" Id="rId35" /><Relationship Type="http://schemas.openxmlformats.org/officeDocument/2006/relationships/hyperlink" Target="#Wallet_4ANWddp8!A1" TargetMode="External" Id="rId36" /><Relationship Type="http://schemas.openxmlformats.org/officeDocument/2006/relationships/hyperlink" Target="#Wallet_D5ZZVQCL!A1" TargetMode="External" Id="rId37" /><Relationship Type="http://schemas.openxmlformats.org/officeDocument/2006/relationships/hyperlink" Target="#Wallet_D1QSf63d!A1" TargetMode="External" Id="rId38" /><Relationship Type="http://schemas.openxmlformats.org/officeDocument/2006/relationships/hyperlink" Target="#Wallet_7794TDb3!A1" TargetMode="External" Id="rId39" /><Relationship Type="http://schemas.openxmlformats.org/officeDocument/2006/relationships/hyperlink" Target="#Wallet_BuaCKVPQ!A1" TargetMode="External" Id="rId40" /><Relationship Type="http://schemas.openxmlformats.org/officeDocument/2006/relationships/hyperlink" Target="#Wallet_5mcVquZq!A1" TargetMode="External" Id="rId41" /><Relationship Type="http://schemas.openxmlformats.org/officeDocument/2006/relationships/hyperlink" Target="#Wallet_6WPK59Qr!A1" TargetMode="External" Id="rId42" /><Relationship Type="http://schemas.openxmlformats.org/officeDocument/2006/relationships/hyperlink" Target="#Wallet_2q6vC6eF!A1" TargetMode="External" Id="rId43" /><Relationship Type="http://schemas.openxmlformats.org/officeDocument/2006/relationships/hyperlink" Target="#Wallet_639xVN39!A1" TargetMode="External" Id="rId4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9" customWidth="1" min="3" max="3"/>
    <col width="6" customWidth="1" min="4" max="4"/>
    <col width="13" customWidth="1" min="5" max="5"/>
    <col width="13" customWidth="1" min="6" max="6"/>
    <col width="23" customWidth="1" min="7" max="7"/>
    <col width="14" customWidth="1" min="8" max="8"/>
    <col width="13" customWidth="1" min="9" max="9"/>
    <col width="15" customWidth="1" min="10" max="10"/>
    <col width="14" customWidth="1" min="11" max="11"/>
    <col width="12" customWidth="1" min="12" max="12"/>
    <col width="11" customWidth="1" min="13" max="13"/>
    <col width="16" customWidth="1" min="14" max="14"/>
    <col width="13" customWidth="1" min="15" max="15"/>
    <col width="12" customWidth="1" min="16" max="16"/>
    <col width="18" customWidth="1" min="17" max="17"/>
    <col width="15" customWidth="1" min="18" max="18"/>
  </cols>
  <sheetData>
    <row r="1">
      <c r="A1" s="1" t="inlineStr">
        <is>
          <t>Wallet</t>
        </is>
      </c>
      <c r="B1" s="1" t="inlineStr">
        <is>
          <t>Balance</t>
        </is>
      </c>
      <c r="C1" s="1" t="inlineStr">
        <is>
          <t>WinRate</t>
        </is>
      </c>
      <c r="D1" s="1" t="inlineStr">
        <is>
          <t>ROI</t>
        </is>
      </c>
      <c r="E1" s="1" t="inlineStr">
        <is>
          <t>PnL</t>
        </is>
      </c>
      <c r="F1" s="1" t="inlineStr">
        <is>
          <t>Fast Trades</t>
        </is>
      </c>
      <c r="G1" s="1" t="inlineStr">
        <is>
          <t>Sold More Than Bought</t>
        </is>
      </c>
      <c r="H1" s="1" t="inlineStr">
        <is>
          <t>Tokens Total</t>
        </is>
      </c>
      <c r="I1" s="1" t="inlineStr">
        <is>
          <t>Scam Tokens</t>
        </is>
      </c>
      <c r="J1" s="1" t="inlineStr">
        <is>
          <t>Trades Period</t>
        </is>
      </c>
      <c r="K1" s="1" t="inlineStr">
        <is>
          <t>Duration Avg</t>
        </is>
      </c>
      <c r="L1" s="1" t="inlineStr">
        <is>
          <t>Median ROI</t>
        </is>
      </c>
      <c r="M1" s="1" t="inlineStr">
        <is>
          <t>Rockets %</t>
        </is>
      </c>
      <c r="N1" s="1" t="inlineStr">
        <is>
          <t>PumpFun Tokens</t>
        </is>
      </c>
      <c r="O1" s="1" t="inlineStr">
        <is>
          <t>Not Swap Tx</t>
        </is>
      </c>
      <c r="P1" s="1" t="inlineStr">
        <is>
          <t>Total Fees</t>
        </is>
      </c>
      <c r="Q1" s="1" t="inlineStr">
        <is>
          <t>Created days ago</t>
        </is>
      </c>
      <c r="R1" s="1" t="inlineStr">
        <is>
          <t>AVG Buy (SOL)</t>
        </is>
      </c>
    </row>
    <row r="2">
      <c r="A2" s="2" t="inlineStr">
        <is>
          <t>2XRQxY5rBfTmgQLKxa4s2EVGaGvMsXJJ5jbkh9dV215N</t>
        </is>
      </c>
      <c r="B2" s="3" t="inlineStr">
        <is>
          <t>3.47 SOL</t>
        </is>
      </c>
      <c r="C2" s="3" t="inlineStr">
        <is>
          <t>15%</t>
        </is>
      </c>
      <c r="D2" s="4" t="inlineStr">
        <is>
          <t>29%</t>
        </is>
      </c>
      <c r="E2" s="4" t="inlineStr">
        <is>
          <t>3.14 SOL</t>
        </is>
      </c>
      <c r="F2" s="3" t="inlineStr">
        <is>
          <t>7 (6%)</t>
        </is>
      </c>
      <c r="G2" s="3" t="inlineStr">
        <is>
          <t>0 (0%)</t>
        </is>
      </c>
      <c r="H2" s="3" t="n">
        <v>117</v>
      </c>
      <c r="I2" s="5" t="n">
        <v>29</v>
      </c>
      <c r="J2" s="3" t="inlineStr">
        <is>
          <t>6 days</t>
        </is>
      </c>
      <c r="K2" s="3" t="inlineStr">
        <is>
          <t>20 min</t>
        </is>
      </c>
      <c r="L2" s="5" t="inlineStr">
        <is>
          <t>-100%</t>
        </is>
      </c>
      <c r="M2" s="3" t="inlineStr">
        <is>
          <t>8%</t>
        </is>
      </c>
      <c r="N2" s="3" t="n">
        <v>42</v>
      </c>
      <c r="O2" s="3" t="n">
        <v>71</v>
      </c>
      <c r="P2" s="3" t="inlineStr">
        <is>
          <t>0.1676 SOL</t>
        </is>
      </c>
      <c r="Q2" s="3" t="n">
        <v>7</v>
      </c>
      <c r="R2" s="3" t="n">
        <v>1.2</v>
      </c>
    </row>
    <row r="3">
      <c r="A3" s="2" t="inlineStr">
        <is>
          <t>CtKi39VFQRf2m8j8fkLzmJR6csxPVnWApLEGHmuAQWYb</t>
        </is>
      </c>
      <c r="B3" s="3" t="inlineStr">
        <is>
          <t>220.17 SOL</t>
        </is>
      </c>
      <c r="C3" s="3" t="inlineStr">
        <is>
          <t>58%</t>
        </is>
      </c>
      <c r="D3" s="4" t="inlineStr">
        <is>
          <t>76%</t>
        </is>
      </c>
      <c r="E3" s="4" t="inlineStr">
        <is>
          <t>379.17 SOL</t>
        </is>
      </c>
      <c r="F3" s="5" t="inlineStr">
        <is>
          <t>115 (39%)</t>
        </is>
      </c>
      <c r="G3" s="3" t="inlineStr">
        <is>
          <t>3 (1%)</t>
        </is>
      </c>
      <c r="H3" s="3" t="n">
        <v>298</v>
      </c>
      <c r="I3" s="3" t="n">
        <v>1</v>
      </c>
      <c r="J3" s="3" t="inlineStr">
        <is>
          <t>11 days</t>
        </is>
      </c>
      <c r="K3" s="3" t="inlineStr">
        <is>
          <t>1 min</t>
        </is>
      </c>
      <c r="L3" s="4" t="inlineStr">
        <is>
          <t>7%</t>
        </is>
      </c>
      <c r="M3" s="3" t="inlineStr">
        <is>
          <t>9%</t>
        </is>
      </c>
      <c r="N3" s="3" t="n">
        <v>241</v>
      </c>
      <c r="O3" s="3" t="n">
        <v>66</v>
      </c>
      <c r="P3" s="3" t="inlineStr">
        <is>
          <t>4.2541 SOL</t>
        </is>
      </c>
      <c r="Q3" s="3" t="n">
        <v>15</v>
      </c>
      <c r="R3" s="3" t="n">
        <v>1.3</v>
      </c>
    </row>
    <row r="4">
      <c r="A4" s="2" t="inlineStr">
        <is>
          <t>J8CFQP3Hdt4ZdYoqAoEfAeZRuA3oeEPbvy4tLysZKmN</t>
        </is>
      </c>
      <c r="B4" s="3" t="inlineStr">
        <is>
          <t>4.06 SOL</t>
        </is>
      </c>
      <c r="C4" s="3" t="inlineStr">
        <is>
          <t>30%</t>
        </is>
      </c>
      <c r="D4" s="4" t="inlineStr">
        <is>
          <t>91%</t>
        </is>
      </c>
      <c r="E4" s="4" t="inlineStr">
        <is>
          <t>34.04 SOL</t>
        </is>
      </c>
      <c r="F4" s="3" t="inlineStr">
        <is>
          <t>8 (14%)</t>
        </is>
      </c>
      <c r="G4" s="3" t="inlineStr">
        <is>
          <t>0 (0%)</t>
        </is>
      </c>
      <c r="H4" s="3" t="n">
        <v>56</v>
      </c>
      <c r="I4" s="3" t="n">
        <v>1</v>
      </c>
      <c r="J4" s="3" t="inlineStr">
        <is>
          <t>6 days</t>
        </is>
      </c>
      <c r="K4" s="3" t="inlineStr">
        <is>
          <t>19 min</t>
        </is>
      </c>
      <c r="L4" s="5" t="inlineStr">
        <is>
          <t>-24%</t>
        </is>
      </c>
      <c r="M4" s="3" t="inlineStr">
        <is>
          <t>9%</t>
        </is>
      </c>
      <c r="N4" s="3" t="n">
        <v>21</v>
      </c>
      <c r="O4" s="3" t="n">
        <v>75</v>
      </c>
      <c r="P4" s="3" t="inlineStr">
        <is>
          <t>0.2964 SOL</t>
        </is>
      </c>
      <c r="Q4" s="3" t="n">
        <v>6</v>
      </c>
      <c r="R4" s="3" t="n">
        <v>1.5</v>
      </c>
    </row>
    <row r="5">
      <c r="A5" s="2" t="inlineStr">
        <is>
          <t>67XYw3WnAQbmpJuLoKh7YZwzVUd2q9z2FCNz4Ycjj5dC</t>
        </is>
      </c>
      <c r="B5" s="3" t="inlineStr">
        <is>
          <t>7.44 SOL</t>
        </is>
      </c>
      <c r="C5" s="3" t="inlineStr">
        <is>
          <t>50%</t>
        </is>
      </c>
      <c r="D5" s="4" t="inlineStr">
        <is>
          <t>111%</t>
        </is>
      </c>
      <c r="E5" s="4" t="inlineStr">
        <is>
          <t>7.07 SOL</t>
        </is>
      </c>
      <c r="F5" s="3" t="inlineStr">
        <is>
          <t>0 (0%)</t>
        </is>
      </c>
      <c r="G5" s="3" t="inlineStr">
        <is>
          <t>0 (0%)</t>
        </is>
      </c>
      <c r="H5" s="3" t="n">
        <v>8</v>
      </c>
      <c r="I5" s="3" t="n">
        <v>0</v>
      </c>
      <c r="J5" s="3" t="inlineStr">
        <is>
          <t>1 days</t>
        </is>
      </c>
      <c r="K5" s="3" t="inlineStr">
        <is>
          <t>7 min</t>
        </is>
      </c>
      <c r="L5" s="5" t="inlineStr">
        <is>
          <t>-3%</t>
        </is>
      </c>
      <c r="M5" s="3" t="inlineStr">
        <is>
          <t>12%</t>
        </is>
      </c>
      <c r="N5" s="3" t="n">
        <v>8</v>
      </c>
      <c r="O5" s="3" t="n">
        <v>0</v>
      </c>
      <c r="P5" s="3" t="inlineStr">
        <is>
          <t>1.6406 SOL</t>
        </is>
      </c>
      <c r="Q5" s="3" t="n">
        <v>1</v>
      </c>
      <c r="R5" s="3" t="n">
        <v>1.1</v>
      </c>
    </row>
    <row r="6">
      <c r="A6" s="2" t="inlineStr">
        <is>
          <t>GBUvKJp5BTx65h5yWA4s8q6Ast1T86viRKRVxZtahbsD</t>
        </is>
      </c>
      <c r="B6" s="3" t="inlineStr">
        <is>
          <t>10.15 SOL</t>
        </is>
      </c>
      <c r="C6" s="3" t="inlineStr">
        <is>
          <t>78%</t>
        </is>
      </c>
      <c r="D6" s="4" t="inlineStr">
        <is>
          <t>166%</t>
        </is>
      </c>
      <c r="E6" s="4" t="inlineStr">
        <is>
          <t>10.05 SOL</t>
        </is>
      </c>
      <c r="F6" s="3" t="inlineStr">
        <is>
          <t>0 (0%)</t>
        </is>
      </c>
      <c r="G6" s="3" t="inlineStr">
        <is>
          <t>0 (0%)</t>
        </is>
      </c>
      <c r="H6" s="3" t="n">
        <v>9</v>
      </c>
      <c r="I6" s="3" t="n">
        <v>0</v>
      </c>
      <c r="J6" s="3" t="inlineStr">
        <is>
          <t>1 days</t>
        </is>
      </c>
      <c r="K6" s="3" t="inlineStr">
        <is>
          <t>7 min</t>
        </is>
      </c>
      <c r="L6" s="4" t="inlineStr">
        <is>
          <t>40%</t>
        </is>
      </c>
      <c r="M6" s="3" t="inlineStr">
        <is>
          <t>44%</t>
        </is>
      </c>
      <c r="N6" s="3" t="n">
        <v>9</v>
      </c>
      <c r="O6" s="3" t="n">
        <v>3</v>
      </c>
      <c r="P6" s="3" t="inlineStr">
        <is>
          <t>1.8407 SOL</t>
        </is>
      </c>
      <c r="Q6" s="3" t="n">
        <v>1</v>
      </c>
      <c r="R6" s="3" t="n">
        <v>1.1</v>
      </c>
    </row>
    <row r="7">
      <c r="A7" s="2" t="inlineStr">
        <is>
          <t>9QZ5gwreKEsjvs1ewbTN7BnGKHGe7uW6YDfBe5ChRYeE</t>
        </is>
      </c>
      <c r="B7" s="3" t="inlineStr">
        <is>
          <t>11.20 SOL</t>
        </is>
      </c>
      <c r="C7" s="3" t="inlineStr">
        <is>
          <t>38%</t>
        </is>
      </c>
      <c r="D7" s="4" t="inlineStr">
        <is>
          <t>50%</t>
        </is>
      </c>
      <c r="E7" s="4" t="inlineStr">
        <is>
          <t>13.28 SOL</t>
        </is>
      </c>
      <c r="F7" s="3" t="inlineStr">
        <is>
          <t>0 (0%)</t>
        </is>
      </c>
      <c r="G7" s="3" t="inlineStr">
        <is>
          <t>0 (0%)</t>
        </is>
      </c>
      <c r="H7" s="3" t="n">
        <v>55</v>
      </c>
      <c r="I7" s="3" t="n">
        <v>3</v>
      </c>
      <c r="J7" s="3" t="inlineStr">
        <is>
          <t>3 days</t>
        </is>
      </c>
      <c r="K7" s="3" t="inlineStr">
        <is>
          <t>1 h</t>
        </is>
      </c>
      <c r="L7" s="5" t="inlineStr">
        <is>
          <t>-23%</t>
        </is>
      </c>
      <c r="M7" s="3" t="inlineStr">
        <is>
          <t>18%</t>
        </is>
      </c>
      <c r="N7" s="3" t="n">
        <v>55</v>
      </c>
      <c r="O7" s="3" t="n">
        <v>27</v>
      </c>
      <c r="P7" s="3" t="inlineStr">
        <is>
          <t>0.1967 SOL</t>
        </is>
      </c>
      <c r="Q7" s="3" t="n">
        <v>3</v>
      </c>
      <c r="R7" s="3" t="n">
        <v>1.1</v>
      </c>
    </row>
    <row r="8">
      <c r="A8" s="2" t="inlineStr">
        <is>
          <t>GbZsEfC5krJMa1gQHvVuBCVGeSbsqR2Sxr151nCfLKa8</t>
        </is>
      </c>
      <c r="B8" s="3" t="inlineStr">
        <is>
          <t>8.55 SOL</t>
        </is>
      </c>
      <c r="C8" s="3" t="inlineStr">
        <is>
          <t>80%</t>
        </is>
      </c>
      <c r="D8" s="4" t="inlineStr">
        <is>
          <t>197%</t>
        </is>
      </c>
      <c r="E8" s="4" t="inlineStr">
        <is>
          <t>8.06 SOL</t>
        </is>
      </c>
      <c r="F8" s="3" t="inlineStr">
        <is>
          <t>0 (0%)</t>
        </is>
      </c>
      <c r="G8" s="3" t="inlineStr">
        <is>
          <t>0 (0%)</t>
        </is>
      </c>
      <c r="H8" s="3" t="n">
        <v>5</v>
      </c>
      <c r="I8" s="3" t="n">
        <v>0</v>
      </c>
      <c r="J8" s="3" t="inlineStr">
        <is>
          <t>23 h</t>
        </is>
      </c>
      <c r="K8" s="3" t="inlineStr">
        <is>
          <t>7 min</t>
        </is>
      </c>
      <c r="L8" s="4" t="inlineStr">
        <is>
          <t>72%</t>
        </is>
      </c>
      <c r="M8" s="3" t="inlineStr">
        <is>
          <t>40%</t>
        </is>
      </c>
      <c r="N8" s="3" t="n">
        <v>5</v>
      </c>
      <c r="O8" s="3" t="n">
        <v>2</v>
      </c>
      <c r="P8" s="3" t="inlineStr">
        <is>
          <t>1.4406 SOL</t>
        </is>
      </c>
      <c r="Q8" s="3" t="n">
        <v>1</v>
      </c>
      <c r="R8" s="3" t="n">
        <v>1.2</v>
      </c>
    </row>
    <row r="9">
      <c r="A9" s="2" t="inlineStr">
        <is>
          <t>55V4hMbPjQDQcGM4RM4hQWJwbgMvPD1SKRGunMDkrZJy</t>
        </is>
      </c>
      <c r="B9" s="3" t="inlineStr">
        <is>
          <t>1.69 SOL</t>
        </is>
      </c>
      <c r="C9" s="3" t="inlineStr">
        <is>
          <t>67%</t>
        </is>
      </c>
      <c r="D9" s="4" t="inlineStr">
        <is>
          <t>81%</t>
        </is>
      </c>
      <c r="E9" s="4" t="inlineStr">
        <is>
          <t>26.74 SOL</t>
        </is>
      </c>
      <c r="F9" s="3" t="inlineStr">
        <is>
          <t>4 (13%)</t>
        </is>
      </c>
      <c r="G9" s="3" t="inlineStr">
        <is>
          <t>0 (0%)</t>
        </is>
      </c>
      <c r="H9" s="3" t="n">
        <v>30</v>
      </c>
      <c r="I9" s="3" t="n">
        <v>0</v>
      </c>
      <c r="J9" s="3" t="inlineStr">
        <is>
          <t>13 days</t>
        </is>
      </c>
      <c r="K9" s="3" t="inlineStr">
        <is>
          <t>8 min</t>
        </is>
      </c>
      <c r="L9" s="4" t="inlineStr">
        <is>
          <t>8%</t>
        </is>
      </c>
      <c r="M9" s="3" t="inlineStr">
        <is>
          <t>7%</t>
        </is>
      </c>
      <c r="N9" s="3" t="n">
        <v>18</v>
      </c>
      <c r="O9" s="3" t="n">
        <v>84</v>
      </c>
      <c r="P9" s="3" t="inlineStr">
        <is>
          <t>0.2168 SOL</t>
        </is>
      </c>
      <c r="Q9" s="3" t="n">
        <v>-1</v>
      </c>
      <c r="R9" s="3" t="n">
        <v>1.2</v>
      </c>
    </row>
    <row r="10">
      <c r="A10" s="2" t="inlineStr">
        <is>
          <t>7DAMCyYSf3PpNn6jVzcrC3tyBQ5tD45JMajpKBocboHW</t>
        </is>
      </c>
      <c r="B10" s="3" t="inlineStr">
        <is>
          <t>9.24 SOL</t>
        </is>
      </c>
      <c r="C10" s="3" t="inlineStr">
        <is>
          <t>56%</t>
        </is>
      </c>
      <c r="D10" s="4" t="inlineStr">
        <is>
          <t>128%</t>
        </is>
      </c>
      <c r="E10" s="4" t="inlineStr">
        <is>
          <t>9.08 SOL</t>
        </is>
      </c>
      <c r="F10" s="3" t="inlineStr">
        <is>
          <t>0 (0%)</t>
        </is>
      </c>
      <c r="G10" s="3" t="inlineStr">
        <is>
          <t>0 (0%)</t>
        </is>
      </c>
      <c r="H10" s="3" t="n">
        <v>9</v>
      </c>
      <c r="I10" s="3" t="n">
        <v>0</v>
      </c>
      <c r="J10" s="3" t="inlineStr">
        <is>
          <t>1 days</t>
        </is>
      </c>
      <c r="K10" s="3" t="inlineStr">
        <is>
          <t>7 min</t>
        </is>
      </c>
      <c r="L10" s="4" t="inlineStr">
        <is>
          <t>29%</t>
        </is>
      </c>
      <c r="M10" s="3" t="inlineStr">
        <is>
          <t>33%</t>
        </is>
      </c>
      <c r="N10" s="3" t="n">
        <v>9</v>
      </c>
      <c r="O10" s="3" t="n">
        <v>0</v>
      </c>
      <c r="P10" s="3" t="inlineStr">
        <is>
          <t>1.7907 SOL</t>
        </is>
      </c>
      <c r="Q10" s="3" t="n">
        <v>1</v>
      </c>
      <c r="R10" s="3" t="n">
        <v>1.1</v>
      </c>
    </row>
    <row r="11">
      <c r="A11" s="2" t="inlineStr">
        <is>
          <t>E7Vpwi8ys3iRf2gyVtXLxA8K2CxrtCR2bD2igzR4gWWa</t>
        </is>
      </c>
      <c r="B11" s="3" t="inlineStr">
        <is>
          <t>20.77 SOL</t>
        </is>
      </c>
      <c r="C11" s="3" t="inlineStr">
        <is>
          <t>83%</t>
        </is>
      </c>
      <c r="D11" s="4" t="inlineStr">
        <is>
          <t>138%</t>
        </is>
      </c>
      <c r="E11" s="4" t="inlineStr">
        <is>
          <t>19.05 SOL</t>
        </is>
      </c>
      <c r="F11" s="3" t="inlineStr">
        <is>
          <t>1 (8%)</t>
        </is>
      </c>
      <c r="G11" s="3" t="inlineStr">
        <is>
          <t>0 (0%)</t>
        </is>
      </c>
      <c r="H11" s="3" t="n">
        <v>12</v>
      </c>
      <c r="I11" s="3" t="n">
        <v>0</v>
      </c>
      <c r="J11" s="3" t="inlineStr">
        <is>
          <t>3 days</t>
        </is>
      </c>
      <c r="K11" s="3" t="inlineStr">
        <is>
          <t>5 min</t>
        </is>
      </c>
      <c r="L11" s="4" t="inlineStr">
        <is>
          <t>67%</t>
        </is>
      </c>
      <c r="M11" s="3" t="inlineStr">
        <is>
          <t>42%</t>
        </is>
      </c>
      <c r="N11" s="3" t="n">
        <v>11</v>
      </c>
      <c r="O11" s="3" t="n">
        <v>7</v>
      </c>
      <c r="P11" s="3" t="inlineStr">
        <is>
          <t>3.0602 SOL</t>
        </is>
      </c>
      <c r="Q11" s="3" t="n">
        <v>3</v>
      </c>
      <c r="R11" s="3" t="n">
        <v>1</v>
      </c>
    </row>
    <row r="12">
      <c r="A12" s="2" t="inlineStr">
        <is>
          <t>5L2VdnbQDDBLHBxLn79chKbszxbfZKkHp3ENHaErsPGA</t>
        </is>
      </c>
      <c r="B12" s="3" t="inlineStr">
        <is>
          <t>9.26 SOL</t>
        </is>
      </c>
      <c r="C12" s="3" t="inlineStr">
        <is>
          <t>67%</t>
        </is>
      </c>
      <c r="D12" s="4" t="inlineStr">
        <is>
          <t>142%</t>
        </is>
      </c>
      <c r="E12" s="4" t="inlineStr">
        <is>
          <t>9.03 SOL</t>
        </is>
      </c>
      <c r="F12" s="3" t="inlineStr">
        <is>
          <t>0 (0%)</t>
        </is>
      </c>
      <c r="G12" s="3" t="inlineStr">
        <is>
          <t>0 (0%)</t>
        </is>
      </c>
      <c r="H12" s="3" t="n">
        <v>9</v>
      </c>
      <c r="I12" s="3" t="n">
        <v>0</v>
      </c>
      <c r="J12" s="3" t="inlineStr">
        <is>
          <t>1 days</t>
        </is>
      </c>
      <c r="K12" s="3" t="inlineStr">
        <is>
          <t>7 min</t>
        </is>
      </c>
      <c r="L12" s="4" t="inlineStr">
        <is>
          <t>66%</t>
        </is>
      </c>
      <c r="M12" s="3" t="inlineStr">
        <is>
          <t>22%</t>
        </is>
      </c>
      <c r="N12" s="3" t="n">
        <v>9</v>
      </c>
      <c r="O12" s="3" t="n">
        <v>0</v>
      </c>
      <c r="P12" s="3" t="inlineStr">
        <is>
          <t>1.7407 SOL</t>
        </is>
      </c>
      <c r="Q12" s="3" t="n">
        <v>1</v>
      </c>
      <c r="R12" s="3" t="n">
        <v>1.1</v>
      </c>
    </row>
    <row r="13">
      <c r="A13" s="2" t="inlineStr">
        <is>
          <t>DSsSCWgC7rfYfLUvQBt2QEgwLHretBbmxPCgWMwb49pB</t>
        </is>
      </c>
      <c r="B13" s="3" t="inlineStr">
        <is>
          <t>9.00 SOL</t>
        </is>
      </c>
      <c r="C13" s="3" t="inlineStr">
        <is>
          <t>63%</t>
        </is>
      </c>
      <c r="D13" s="4" t="inlineStr">
        <is>
          <t>157%</t>
        </is>
      </c>
      <c r="E13" s="4" t="inlineStr">
        <is>
          <t>8.73 SOL</t>
        </is>
      </c>
      <c r="F13" s="3" t="inlineStr">
        <is>
          <t>0 (0%)</t>
        </is>
      </c>
      <c r="G13" s="3" t="inlineStr">
        <is>
          <t>0 (0%)</t>
        </is>
      </c>
      <c r="H13" s="3" t="n">
        <v>8</v>
      </c>
      <c r="I13" s="3" t="n">
        <v>0</v>
      </c>
      <c r="J13" s="3" t="inlineStr">
        <is>
          <t>1 days</t>
        </is>
      </c>
      <c r="K13" s="3" t="inlineStr">
        <is>
          <t>7 min</t>
        </is>
      </c>
      <c r="L13" s="4" t="inlineStr">
        <is>
          <t>50%</t>
        </is>
      </c>
      <c r="M13" s="3" t="inlineStr">
        <is>
          <t>38%</t>
        </is>
      </c>
      <c r="N13" s="3" t="n">
        <v>8</v>
      </c>
      <c r="O13" s="3" t="n">
        <v>2</v>
      </c>
      <c r="P13" s="3" t="inlineStr">
        <is>
          <t>1.7107 SOL</t>
        </is>
      </c>
      <c r="Q13" s="3" t="n">
        <v>1</v>
      </c>
      <c r="R13" s="3" t="n">
        <v>1.1</v>
      </c>
    </row>
    <row r="14">
      <c r="A14" s="2" t="inlineStr">
        <is>
          <t>3p2CpeP8gbVRDoFLr5a3mXzRdwGMp1VCHP4RhthE5Rzo</t>
        </is>
      </c>
      <c r="B14" s="3" t="inlineStr">
        <is>
          <t>13.42 SOL</t>
        </is>
      </c>
      <c r="C14" s="3" t="inlineStr">
        <is>
          <t>14%</t>
        </is>
      </c>
      <c r="D14" s="4" t="inlineStr">
        <is>
          <t>7%</t>
        </is>
      </c>
      <c r="E14" s="4" t="inlineStr">
        <is>
          <t>5.54 SOL</t>
        </is>
      </c>
      <c r="F14" s="3" t="inlineStr">
        <is>
          <t>0 (0%)</t>
        </is>
      </c>
      <c r="G14" s="3" t="inlineStr">
        <is>
          <t>0 (0%)</t>
        </is>
      </c>
      <c r="H14" s="3" t="n">
        <v>14</v>
      </c>
      <c r="I14" s="3" t="n">
        <v>0</v>
      </c>
      <c r="J14" s="3" t="inlineStr">
        <is>
          <t>6 days</t>
        </is>
      </c>
      <c r="K14" s="3" t="inlineStr">
        <is>
          <t>2 days</t>
        </is>
      </c>
      <c r="L14" s="5" t="inlineStr">
        <is>
          <t>-100%</t>
        </is>
      </c>
      <c r="M14" s="3" t="inlineStr">
        <is>
          <t>7%</t>
        </is>
      </c>
      <c r="N14" s="3" t="n">
        <v>7</v>
      </c>
      <c r="O14" s="3" t="n">
        <v>7</v>
      </c>
      <c r="P14" s="3" t="inlineStr">
        <is>
          <t>0.0096 SOL</t>
        </is>
      </c>
      <c r="Q14" s="3" t="n">
        <v>163</v>
      </c>
      <c r="R14" s="3" t="n">
        <v>1.6</v>
      </c>
    </row>
    <row r="15">
      <c r="A15" s="2" t="inlineStr">
        <is>
          <t>EwMT7ygvaGxSsg7dn9gH6vRXLNSRv9BHYCf8fNUJVxdU</t>
        </is>
      </c>
      <c r="B15" s="3" t="inlineStr">
        <is>
          <t>10.92 SOL</t>
        </is>
      </c>
      <c r="C15" s="3" t="inlineStr">
        <is>
          <t>20%</t>
        </is>
      </c>
      <c r="D15" s="5" t="inlineStr">
        <is>
          <t>-53%</t>
        </is>
      </c>
      <c r="E15" s="5" t="inlineStr">
        <is>
          <t>-4.30 SOL</t>
        </is>
      </c>
      <c r="F15" s="3" t="inlineStr">
        <is>
          <t>1 (7%)</t>
        </is>
      </c>
      <c r="G15" s="3" t="inlineStr">
        <is>
          <t>0 (0%)</t>
        </is>
      </c>
      <c r="H15" s="3" t="n">
        <v>15</v>
      </c>
      <c r="I15" s="3" t="n">
        <v>3</v>
      </c>
      <c r="J15" s="3" t="inlineStr">
        <is>
          <t>8 days</t>
        </is>
      </c>
      <c r="K15" s="3" t="inlineStr">
        <is>
          <t>12 min</t>
        </is>
      </c>
      <c r="L15" s="5" t="inlineStr">
        <is>
          <t>-85%</t>
        </is>
      </c>
      <c r="M15" s="3" t="inlineStr">
        <is>
          <t>13%</t>
        </is>
      </c>
      <c r="N15" s="3" t="n">
        <v>7</v>
      </c>
      <c r="O15" s="3" t="n">
        <v>12</v>
      </c>
      <c r="P15" s="3" t="inlineStr">
        <is>
          <t>0.0669 SOL</t>
        </is>
      </c>
      <c r="Q15" s="3" t="n">
        <v>8</v>
      </c>
      <c r="R15" s="3" t="n">
        <v>1.1</v>
      </c>
    </row>
    <row r="16">
      <c r="A16" s="2" t="inlineStr">
        <is>
          <t>H9AcEk9znmS8ZHejkZyR8CZre3ca74PdAF34yNYPVFuy</t>
        </is>
      </c>
      <c r="B16" s="3" t="inlineStr">
        <is>
          <t>5.15 SOL</t>
        </is>
      </c>
      <c r="C16" s="3" t="inlineStr">
        <is>
          <t>16%</t>
        </is>
      </c>
      <c r="D16" s="5" t="inlineStr">
        <is>
          <t>-26%</t>
        </is>
      </c>
      <c r="E16" s="5" t="inlineStr">
        <is>
          <t>-75.55 SOL</t>
        </is>
      </c>
      <c r="F16" s="3" t="inlineStr">
        <is>
          <t>0 (0%)</t>
        </is>
      </c>
      <c r="G16" s="3" t="inlineStr">
        <is>
          <t>0 (0%)</t>
        </is>
      </c>
      <c r="H16" s="3" t="n">
        <v>289</v>
      </c>
      <c r="I16" s="5" t="n">
        <v>84</v>
      </c>
      <c r="J16" s="3" t="inlineStr">
        <is>
          <t>23 days</t>
        </is>
      </c>
      <c r="K16" s="3" t="inlineStr">
        <is>
          <t>10 h</t>
        </is>
      </c>
      <c r="L16" s="5" t="inlineStr">
        <is>
          <t>-100%</t>
        </is>
      </c>
      <c r="M16" s="3" t="inlineStr">
        <is>
          <t>11%</t>
        </is>
      </c>
      <c r="N16" s="3" t="n">
        <v>0</v>
      </c>
      <c r="O16" s="3" t="n">
        <v>140</v>
      </c>
      <c r="P16" s="3" t="inlineStr">
        <is>
          <t>0.6428 SOL</t>
        </is>
      </c>
      <c r="Q16" s="3" t="n">
        <v>122</v>
      </c>
      <c r="R16" s="3" t="n">
        <v>1</v>
      </c>
    </row>
    <row r="17">
      <c r="A17" s="2" t="inlineStr">
        <is>
          <t>2FaNRoiXTZ9xXXNKRPap3VXiSZQr6ebwjnHBseCWJc9h</t>
        </is>
      </c>
      <c r="B17" s="3" t="inlineStr">
        <is>
          <t>9.17 SOL</t>
        </is>
      </c>
      <c r="C17" s="3" t="inlineStr">
        <is>
          <t>63%</t>
        </is>
      </c>
      <c r="D17" s="4" t="inlineStr">
        <is>
          <t>146%</t>
        </is>
      </c>
      <c r="E17" s="4" t="inlineStr">
        <is>
          <t>8.93 SOL</t>
        </is>
      </c>
      <c r="F17" s="3" t="inlineStr">
        <is>
          <t>0 (0%)</t>
        </is>
      </c>
      <c r="G17" s="3" t="inlineStr">
        <is>
          <t>0 (0%)</t>
        </is>
      </c>
      <c r="H17" s="3" t="n">
        <v>8</v>
      </c>
      <c r="I17" s="3" t="n">
        <v>0</v>
      </c>
      <c r="J17" s="3" t="inlineStr">
        <is>
          <t>1 days</t>
        </is>
      </c>
      <c r="K17" s="3" t="inlineStr">
        <is>
          <t>7 min</t>
        </is>
      </c>
      <c r="L17" s="4" t="inlineStr">
        <is>
          <t>56%</t>
        </is>
      </c>
      <c r="M17" s="3" t="inlineStr">
        <is>
          <t>25%</t>
        </is>
      </c>
      <c r="N17" s="3" t="n">
        <v>8</v>
      </c>
      <c r="O17" s="3" t="n">
        <v>2</v>
      </c>
      <c r="P17" s="3" t="inlineStr">
        <is>
          <t>1.7307 SOL</t>
        </is>
      </c>
      <c r="Q17" s="3" t="n">
        <v>-1</v>
      </c>
      <c r="R17" s="3" t="n">
        <v>1.1</v>
      </c>
    </row>
    <row r="18">
      <c r="A18" s="2" t="inlineStr">
        <is>
          <t>9r7b8dnjoCGfpQNcVLf4kPCsbPy6u8eFsD4rLYVHEgmr</t>
        </is>
      </c>
      <c r="B18" s="3" t="inlineStr">
        <is>
          <t>23.67 SOL</t>
        </is>
      </c>
      <c r="C18" s="3" t="inlineStr">
        <is>
          <t>68%</t>
        </is>
      </c>
      <c r="D18" s="4" t="inlineStr">
        <is>
          <t>67%</t>
        </is>
      </c>
      <c r="E18" s="4" t="inlineStr">
        <is>
          <t>76.47 SOL</t>
        </is>
      </c>
      <c r="F18" s="5" t="inlineStr">
        <is>
          <t>13 (46%)</t>
        </is>
      </c>
      <c r="G18" s="3" t="inlineStr">
        <is>
          <t>2 (7%)</t>
        </is>
      </c>
      <c r="H18" s="3" t="n">
        <v>28</v>
      </c>
      <c r="I18" s="3" t="n">
        <v>1</v>
      </c>
      <c r="J18" s="3" t="inlineStr">
        <is>
          <t>9 days</t>
        </is>
      </c>
      <c r="K18" s="3" t="inlineStr">
        <is>
          <t>1 min</t>
        </is>
      </c>
      <c r="L18" s="4" t="inlineStr">
        <is>
          <t>20%</t>
        </is>
      </c>
      <c r="M18" s="3" t="inlineStr">
        <is>
          <t>36%</t>
        </is>
      </c>
      <c r="N18" s="3" t="n">
        <v>22</v>
      </c>
      <c r="O18" s="3" t="n">
        <v>28</v>
      </c>
      <c r="P18" s="3" t="inlineStr">
        <is>
          <t>0.8223 SOL</t>
        </is>
      </c>
      <c r="Q18" s="3" t="n">
        <v>12</v>
      </c>
      <c r="R18" s="3" t="n">
        <v>1.4</v>
      </c>
    </row>
    <row r="19">
      <c r="A19" s="2" t="inlineStr">
        <is>
          <t>47KdXtjkFVcUkew2hwjhX7kaTrN3JYvEx8dBpgHVABoH</t>
        </is>
      </c>
      <c r="B19" s="3" t="inlineStr">
        <is>
          <t>8.32 SOL</t>
        </is>
      </c>
      <c r="C19" s="3" t="inlineStr">
        <is>
          <t>57%</t>
        </is>
      </c>
      <c r="D19" s="4" t="inlineStr">
        <is>
          <t>152%</t>
        </is>
      </c>
      <c r="E19" s="4" t="inlineStr">
        <is>
          <t>7.81 SOL</t>
        </is>
      </c>
      <c r="F19" s="3" t="inlineStr">
        <is>
          <t>0 (0%)</t>
        </is>
      </c>
      <c r="G19" s="3" t="inlineStr">
        <is>
          <t>0 (0%)</t>
        </is>
      </c>
      <c r="H19" s="3" t="n">
        <v>7</v>
      </c>
      <c r="I19" s="3" t="n">
        <v>0</v>
      </c>
      <c r="J19" s="3" t="inlineStr">
        <is>
          <t>17 h</t>
        </is>
      </c>
      <c r="K19" s="3" t="inlineStr">
        <is>
          <t>8 min</t>
        </is>
      </c>
      <c r="L19" s="4" t="inlineStr">
        <is>
          <t>31%</t>
        </is>
      </c>
      <c r="M19" s="3" t="inlineStr">
        <is>
          <t>29%</t>
        </is>
      </c>
      <c r="N19" s="3" t="n">
        <v>7</v>
      </c>
      <c r="O19" s="3" t="n">
        <v>4</v>
      </c>
      <c r="P19" s="3" t="inlineStr">
        <is>
          <t>1.5206 SOL</t>
        </is>
      </c>
      <c r="Q19" s="3" t="n">
        <v>1</v>
      </c>
      <c r="R19" s="3" t="n">
        <v>1.1</v>
      </c>
    </row>
    <row r="20">
      <c r="A20" s="2" t="inlineStr">
        <is>
          <t>AP3oxFV3eTS4Vvo2FoS9ZCfTni1BuXTm2jkx6kp2F1hd</t>
        </is>
      </c>
      <c r="B20" s="3" t="inlineStr">
        <is>
          <t>2.40 SOL</t>
        </is>
      </c>
      <c r="C20" s="3" t="inlineStr">
        <is>
          <t>20%</t>
        </is>
      </c>
      <c r="D20" s="5" t="inlineStr">
        <is>
          <t>-25%</t>
        </is>
      </c>
      <c r="E20" s="5" t="inlineStr">
        <is>
          <t>-6.91 SOL</t>
        </is>
      </c>
      <c r="F20" s="3" t="inlineStr">
        <is>
          <t>0 (0%)</t>
        </is>
      </c>
      <c r="G20" s="5" t="inlineStr">
        <is>
          <t>6 (24%)</t>
        </is>
      </c>
      <c r="H20" s="3" t="n">
        <v>25</v>
      </c>
      <c r="I20" s="3" t="n">
        <v>1</v>
      </c>
      <c r="J20" s="3" t="inlineStr">
        <is>
          <t>38 days</t>
        </is>
      </c>
      <c r="K20" s="3" t="inlineStr">
        <is>
          <t>1 days</t>
        </is>
      </c>
      <c r="L20" s="5" t="inlineStr">
        <is>
          <t>-58%</t>
        </is>
      </c>
      <c r="M20" s="3" t="inlineStr">
        <is>
          <t>12%</t>
        </is>
      </c>
      <c r="N20" s="3" t="n">
        <v>0</v>
      </c>
      <c r="O20" s="3" t="n">
        <v>30</v>
      </c>
      <c r="P20" s="3" t="inlineStr">
        <is>
          <t>0.0477 SOL</t>
        </is>
      </c>
      <c r="Q20" s="3" t="n">
        <v>146</v>
      </c>
      <c r="R20" s="3" t="n">
        <v>2.4</v>
      </c>
    </row>
    <row r="21">
      <c r="A21" s="2" t="inlineStr">
        <is>
          <t>8vQjS83mYfGaF9bhmJHNcHodPUVQ8Vsgc2S84nRS4zfx</t>
        </is>
      </c>
      <c r="B21" s="3" t="inlineStr">
        <is>
          <t>12.30 SOL</t>
        </is>
      </c>
      <c r="C21" s="3" t="inlineStr">
        <is>
          <t>10%</t>
        </is>
      </c>
      <c r="D21" s="4" t="inlineStr">
        <is>
          <t>40%</t>
        </is>
      </c>
      <c r="E21" s="4" t="inlineStr">
        <is>
          <t>22.11 SOL</t>
        </is>
      </c>
      <c r="F21" s="3" t="inlineStr">
        <is>
          <t>0 (0%)</t>
        </is>
      </c>
      <c r="G21" s="3" t="inlineStr">
        <is>
          <t>0 (0%)</t>
        </is>
      </c>
      <c r="H21" s="3" t="n">
        <v>132</v>
      </c>
      <c r="I21" s="5" t="n">
        <v>30</v>
      </c>
      <c r="J21" s="3" t="inlineStr">
        <is>
          <t>11 days</t>
        </is>
      </c>
      <c r="K21" s="3" t="inlineStr">
        <is>
          <t>1 h</t>
        </is>
      </c>
      <c r="L21" s="5" t="inlineStr">
        <is>
          <t>-100%</t>
        </is>
      </c>
      <c r="M21" s="3" t="inlineStr">
        <is>
          <t>8%</t>
        </is>
      </c>
      <c r="N21" s="3" t="n">
        <v>38</v>
      </c>
      <c r="O21" s="3" t="n">
        <v>127</v>
      </c>
      <c r="P21" s="3" t="inlineStr">
        <is>
          <t>0.1922 SOL</t>
        </is>
      </c>
      <c r="Q21" s="3" t="n">
        <v>11</v>
      </c>
      <c r="R21" s="3" t="n">
        <v>1.5</v>
      </c>
    </row>
    <row r="22">
      <c r="A22" s="2" t="inlineStr">
        <is>
          <t>dikyzV9BxbNgLX3VYeyaXJceUE5S3fFFfxmB6nUQpRM</t>
        </is>
      </c>
      <c r="B22" s="3" t="inlineStr">
        <is>
          <t>40.76 SOL</t>
        </is>
      </c>
      <c r="C22" s="3" t="inlineStr">
        <is>
          <t>18%</t>
        </is>
      </c>
      <c r="D22" s="4" t="inlineStr">
        <is>
          <t>6%</t>
        </is>
      </c>
      <c r="E22" s="4" t="inlineStr">
        <is>
          <t>19.38 SOL</t>
        </is>
      </c>
      <c r="F22" s="3" t="inlineStr">
        <is>
          <t>2 (2%)</t>
        </is>
      </c>
      <c r="G22" s="3" t="inlineStr">
        <is>
          <t>0 (0%)</t>
        </is>
      </c>
      <c r="H22" s="3" t="n">
        <v>94</v>
      </c>
      <c r="I22" s="5" t="n">
        <v>14</v>
      </c>
      <c r="J22" s="3" t="inlineStr">
        <is>
          <t>11 days</t>
        </is>
      </c>
      <c r="K22" s="3" t="inlineStr">
        <is>
          <t>7 h</t>
        </is>
      </c>
      <c r="L22" s="5" t="inlineStr">
        <is>
          <t>-100%</t>
        </is>
      </c>
      <c r="M22" s="3" t="inlineStr">
        <is>
          <t>5%</t>
        </is>
      </c>
      <c r="N22" s="3" t="n">
        <v>18</v>
      </c>
      <c r="O22" s="3" t="n">
        <v>29</v>
      </c>
      <c r="P22" s="3" t="inlineStr">
        <is>
          <t>1.2198 SOL</t>
        </is>
      </c>
      <c r="Q22" s="3" t="n">
        <v>11</v>
      </c>
      <c r="R22" s="3" t="n">
        <v>1.6</v>
      </c>
    </row>
    <row r="23">
      <c r="A23" s="2" t="inlineStr">
        <is>
          <t>D9hsi4iAu2fzrsiJ5VpdHgfAUnnkwzwLQo5jMrXQF1wt</t>
        </is>
      </c>
      <c r="B23" s="3" t="inlineStr">
        <is>
          <t>94.13 SOL</t>
        </is>
      </c>
      <c r="C23" s="3" t="inlineStr">
        <is>
          <t>27%</t>
        </is>
      </c>
      <c r="D23" s="4" t="inlineStr">
        <is>
          <t>82%</t>
        </is>
      </c>
      <c r="E23" s="4" t="inlineStr">
        <is>
          <t>128.94 SOL</t>
        </is>
      </c>
      <c r="F23" s="3" t="inlineStr">
        <is>
          <t>0 (0%)</t>
        </is>
      </c>
      <c r="G23" s="3" t="inlineStr">
        <is>
          <t>4 (5%)</t>
        </is>
      </c>
      <c r="H23" s="3" t="n">
        <v>77</v>
      </c>
      <c r="I23" s="5" t="n">
        <v>9</v>
      </c>
      <c r="J23" s="3" t="inlineStr">
        <is>
          <t>27 days</t>
        </is>
      </c>
      <c r="K23" s="3" t="inlineStr">
        <is>
          <t>7 h</t>
        </is>
      </c>
      <c r="L23" s="5" t="inlineStr">
        <is>
          <t>-68%</t>
        </is>
      </c>
      <c r="M23" s="3" t="inlineStr">
        <is>
          <t>21%</t>
        </is>
      </c>
      <c r="N23" s="3" t="n">
        <v>29</v>
      </c>
      <c r="O23" s="3" t="n">
        <v>104</v>
      </c>
      <c r="P23" s="3" t="inlineStr">
        <is>
          <t>0.0807 SOL</t>
        </is>
      </c>
      <c r="Q23" s="3" t="n">
        <v>1232</v>
      </c>
      <c r="R23" s="3" t="n">
        <v>1.2</v>
      </c>
    </row>
    <row r="24">
      <c r="A24" s="2" t="inlineStr">
        <is>
          <t>5FA9hUrwhpyKD9KipvtvpUTR6TqQ6mgHWNMS8EPqRQEj</t>
        </is>
      </c>
      <c r="B24" s="3" t="inlineStr">
        <is>
          <t>6.03 SOL</t>
        </is>
      </c>
      <c r="C24" s="3" t="inlineStr">
        <is>
          <t>50%</t>
        </is>
      </c>
      <c r="D24" s="4" t="inlineStr">
        <is>
          <t>124%</t>
        </is>
      </c>
      <c r="E24" s="4" t="inlineStr">
        <is>
          <t>43.52 SOL</t>
        </is>
      </c>
      <c r="F24" s="3" t="inlineStr">
        <is>
          <t>1 (4%)</t>
        </is>
      </c>
      <c r="G24" s="3" t="inlineStr">
        <is>
          <t>0 (0%)</t>
        </is>
      </c>
      <c r="H24" s="3" t="n">
        <v>24</v>
      </c>
      <c r="I24" s="3" t="n">
        <v>0</v>
      </c>
      <c r="J24" s="3" t="inlineStr">
        <is>
          <t>7 days</t>
        </is>
      </c>
      <c r="K24" s="3" t="inlineStr">
        <is>
          <t>6 min</t>
        </is>
      </c>
      <c r="L24" s="5" t="inlineStr">
        <is>
          <t>-4%</t>
        </is>
      </c>
      <c r="M24" s="3" t="inlineStr">
        <is>
          <t>25%</t>
        </is>
      </c>
      <c r="N24" s="3" t="n">
        <v>16</v>
      </c>
      <c r="O24" s="3" t="n">
        <v>17</v>
      </c>
      <c r="P24" s="3" t="inlineStr">
        <is>
          <t>0.2045 SOL</t>
        </is>
      </c>
      <c r="Q24" s="3" t="n">
        <v>9</v>
      </c>
      <c r="R24" s="3" t="n">
        <v>1.1</v>
      </c>
    </row>
    <row r="25">
      <c r="A25" s="2" t="inlineStr">
        <is>
          <t>BbS7e412soMUG4HBrJuhmXRcYxiaj5ereVwKayHCNCnU</t>
        </is>
      </c>
      <c r="B25" s="3" t="inlineStr">
        <is>
          <t>21.12 SOL</t>
        </is>
      </c>
      <c r="C25" s="3" t="inlineStr">
        <is>
          <t>73%</t>
        </is>
      </c>
      <c r="D25" s="4" t="inlineStr">
        <is>
          <t>152%</t>
        </is>
      </c>
      <c r="E25" s="4" t="inlineStr">
        <is>
          <t>19.46 SOL</t>
        </is>
      </c>
      <c r="F25" s="3" t="inlineStr">
        <is>
          <t>1 (9%)</t>
        </is>
      </c>
      <c r="G25" s="3" t="inlineStr">
        <is>
          <t>0 (0%)</t>
        </is>
      </c>
      <c r="H25" s="3" t="n">
        <v>11</v>
      </c>
      <c r="I25" s="3" t="n">
        <v>0</v>
      </c>
      <c r="J25" s="3" t="inlineStr">
        <is>
          <t>3 days</t>
        </is>
      </c>
      <c r="K25" s="3" t="inlineStr">
        <is>
          <t>5 min</t>
        </is>
      </c>
      <c r="L25" s="4" t="inlineStr">
        <is>
          <t>62%</t>
        </is>
      </c>
      <c r="M25" s="3" t="inlineStr">
        <is>
          <t>36%</t>
        </is>
      </c>
      <c r="N25" s="3" t="n">
        <v>10</v>
      </c>
      <c r="O25" s="3" t="n">
        <v>14</v>
      </c>
      <c r="P25" s="3" t="inlineStr">
        <is>
          <t>2.9402 SOL</t>
        </is>
      </c>
      <c r="Q25" s="3" t="n">
        <v>3</v>
      </c>
      <c r="R25" s="3" t="n">
        <v>1</v>
      </c>
    </row>
    <row r="26">
      <c r="A26" s="2" t="inlineStr">
        <is>
          <t>7ApjVzSa4eWsH7hi5aCwPjbo1k2cw9unV2vy4VQZuL7K</t>
        </is>
      </c>
      <c r="B26" s="3" t="inlineStr">
        <is>
          <t>9.44 SOL</t>
        </is>
      </c>
      <c r="C26" s="3" t="inlineStr">
        <is>
          <t>78%</t>
        </is>
      </c>
      <c r="D26" s="4" t="inlineStr">
        <is>
          <t>125%</t>
        </is>
      </c>
      <c r="E26" s="4" t="inlineStr">
        <is>
          <t>9.27 SOL</t>
        </is>
      </c>
      <c r="F26" s="3" t="inlineStr">
        <is>
          <t>0 (0%)</t>
        </is>
      </c>
      <c r="G26" s="3" t="inlineStr">
        <is>
          <t>0 (0%)</t>
        </is>
      </c>
      <c r="H26" s="3" t="n">
        <v>9</v>
      </c>
      <c r="I26" s="3" t="n">
        <v>0</v>
      </c>
      <c r="J26" s="3" t="inlineStr">
        <is>
          <t>1 days</t>
        </is>
      </c>
      <c r="K26" s="3" t="inlineStr">
        <is>
          <t>7 min</t>
        </is>
      </c>
      <c r="L26" s="4" t="inlineStr">
        <is>
          <t>51%</t>
        </is>
      </c>
      <c r="M26" s="3" t="inlineStr">
        <is>
          <t>22%</t>
        </is>
      </c>
      <c r="N26" s="3" t="n">
        <v>9</v>
      </c>
      <c r="O26" s="3" t="n">
        <v>1</v>
      </c>
      <c r="P26" s="3" t="inlineStr">
        <is>
          <t>1.8707 SOL</t>
        </is>
      </c>
      <c r="Q26" s="3" t="n">
        <v>1</v>
      </c>
      <c r="R26" s="3" t="n">
        <v>1.2</v>
      </c>
    </row>
    <row r="27">
      <c r="A27" s="2" t="inlineStr">
        <is>
          <t>77AeyLRLcrFb195Qve1bUxFHWYVVvGRQDLmNpSnrpfJP</t>
        </is>
      </c>
      <c r="B27" s="3" t="inlineStr">
        <is>
          <t>9.88 SOL</t>
        </is>
      </c>
      <c r="C27" s="3" t="inlineStr">
        <is>
          <t>78%</t>
        </is>
      </c>
      <c r="D27" s="4" t="inlineStr">
        <is>
          <t>150%</t>
        </is>
      </c>
      <c r="E27" s="4" t="inlineStr">
        <is>
          <t>9.73 SOL</t>
        </is>
      </c>
      <c r="F27" s="3" t="inlineStr">
        <is>
          <t>0 (0%)</t>
        </is>
      </c>
      <c r="G27" s="3" t="inlineStr">
        <is>
          <t>0 (0%)</t>
        </is>
      </c>
      <c r="H27" s="3" t="n">
        <v>9</v>
      </c>
      <c r="I27" s="3" t="n">
        <v>0</v>
      </c>
      <c r="J27" s="3" t="inlineStr">
        <is>
          <t>1 days</t>
        </is>
      </c>
      <c r="K27" s="3" t="inlineStr">
        <is>
          <t>7 min</t>
        </is>
      </c>
      <c r="L27" s="4" t="inlineStr">
        <is>
          <t>35%</t>
        </is>
      </c>
      <c r="M27" s="3" t="inlineStr">
        <is>
          <t>33%</t>
        </is>
      </c>
      <c r="N27" s="3" t="n">
        <v>9</v>
      </c>
      <c r="O27" s="3" t="n">
        <v>0</v>
      </c>
      <c r="P27" s="3" t="inlineStr">
        <is>
          <t>1.8007 SOL</t>
        </is>
      </c>
      <c r="Q27" s="3" t="n">
        <v>1</v>
      </c>
      <c r="R27" s="3" t="n">
        <v>1.1</v>
      </c>
    </row>
    <row r="28">
      <c r="A28" s="2" t="inlineStr">
        <is>
          <t>7BJk376WuRbWZ7DJRnxyJoYwwh5p6XAV3gySChMMQ4pi</t>
        </is>
      </c>
      <c r="B28" s="3" t="inlineStr">
        <is>
          <t>10.04 SOL</t>
        </is>
      </c>
      <c r="C28" s="3" t="inlineStr">
        <is>
          <t>63%</t>
        </is>
      </c>
      <c r="D28" s="4" t="inlineStr">
        <is>
          <t>163%</t>
        </is>
      </c>
      <c r="E28" s="4" t="inlineStr">
        <is>
          <t>9.94 SOL</t>
        </is>
      </c>
      <c r="F28" s="3" t="inlineStr">
        <is>
          <t>0 (0%)</t>
        </is>
      </c>
      <c r="G28" s="3" t="inlineStr">
        <is>
          <t>0 (0%)</t>
        </is>
      </c>
      <c r="H28" s="3" t="n">
        <v>8</v>
      </c>
      <c r="I28" s="3" t="n">
        <v>0</v>
      </c>
      <c r="J28" s="3" t="inlineStr">
        <is>
          <t>1 days</t>
        </is>
      </c>
      <c r="K28" s="3" t="inlineStr">
        <is>
          <t>7 min</t>
        </is>
      </c>
      <c r="L28" s="4" t="inlineStr">
        <is>
          <t>97%</t>
        </is>
      </c>
      <c r="M28" s="3" t="inlineStr">
        <is>
          <t>50%</t>
        </is>
      </c>
      <c r="N28" s="3" t="n">
        <v>8</v>
      </c>
      <c r="O28" s="3" t="n">
        <v>0</v>
      </c>
      <c r="P28" s="3" t="inlineStr">
        <is>
          <t>1.8307 SOL</t>
        </is>
      </c>
      <c r="Q28" s="3" t="n">
        <v>1</v>
      </c>
      <c r="R28" s="3" t="n">
        <v>1.1</v>
      </c>
    </row>
    <row r="29">
      <c r="A29" s="2" t="inlineStr">
        <is>
          <t>BcViwxDP94ZDX9zLbrzmwRyPD7Ygo8GCc589nxMpcR9C</t>
        </is>
      </c>
      <c r="B29" s="6" t="inlineStr">
        <is>
          <t>0.00 SOL</t>
        </is>
      </c>
      <c r="C29" s="3" t="inlineStr">
        <is>
          <t>60%</t>
        </is>
      </c>
      <c r="D29" s="4" t="inlineStr">
        <is>
          <t>272%</t>
        </is>
      </c>
      <c r="E29" s="4" t="inlineStr">
        <is>
          <t>214.48 SOL</t>
        </is>
      </c>
      <c r="F29" s="3" t="inlineStr">
        <is>
          <t>0 (0%)</t>
        </is>
      </c>
      <c r="G29" s="5" t="inlineStr">
        <is>
          <t>6 (40%)</t>
        </is>
      </c>
      <c r="H29" s="3" t="n">
        <v>15</v>
      </c>
      <c r="I29" s="3" t="n">
        <v>0</v>
      </c>
      <c r="J29" s="3" t="inlineStr">
        <is>
          <t>29 days</t>
        </is>
      </c>
      <c r="K29" s="3" t="inlineStr">
        <is>
          <t>1 h</t>
        </is>
      </c>
      <c r="L29" s="4" t="inlineStr">
        <is>
          <t>2%</t>
        </is>
      </c>
      <c r="M29" s="3" t="inlineStr">
        <is>
          <t>40%</t>
        </is>
      </c>
      <c r="N29" s="3" t="n">
        <v>13</v>
      </c>
      <c r="O29" s="3" t="n">
        <v>16</v>
      </c>
      <c r="P29" s="3" t="inlineStr">
        <is>
          <t>0.0134 SOL</t>
        </is>
      </c>
      <c r="Q29" s="3" t="n">
        <v>237</v>
      </c>
      <c r="R29" s="3" t="n">
        <v>1.7</v>
      </c>
    </row>
    <row r="30">
      <c r="A30" s="2" t="inlineStr">
        <is>
          <t>6X1jSkx7uDssCkm2PfXAWpvqT7s8ydt4663HF6YNLVZN</t>
        </is>
      </c>
      <c r="B30" s="3" t="inlineStr">
        <is>
          <t>8.33 SOL</t>
        </is>
      </c>
      <c r="C30" s="3" t="inlineStr">
        <is>
          <t>63%</t>
        </is>
      </c>
      <c r="D30" s="4" t="inlineStr">
        <is>
          <t>134%</t>
        </is>
      </c>
      <c r="E30" s="4" t="inlineStr">
        <is>
          <t>7.91 SOL</t>
        </is>
      </c>
      <c r="F30" s="3" t="inlineStr">
        <is>
          <t>0 (0%)</t>
        </is>
      </c>
      <c r="G30" s="3" t="inlineStr">
        <is>
          <t>0 (0%)</t>
        </is>
      </c>
      <c r="H30" s="3" t="n">
        <v>8</v>
      </c>
      <c r="I30" s="3" t="n">
        <v>0</v>
      </c>
      <c r="J30" s="3" t="inlineStr">
        <is>
          <t>1 days</t>
        </is>
      </c>
      <c r="K30" s="3" t="inlineStr">
        <is>
          <t>7 min</t>
        </is>
      </c>
      <c r="L30" s="4" t="inlineStr">
        <is>
          <t>40%</t>
        </is>
      </c>
      <c r="M30" s="3" t="inlineStr">
        <is>
          <t>25%</t>
        </is>
      </c>
      <c r="N30" s="3" t="n">
        <v>8</v>
      </c>
      <c r="O30" s="3" t="n">
        <v>2</v>
      </c>
      <c r="P30" s="3" t="inlineStr">
        <is>
          <t>1.6006 SOL</t>
        </is>
      </c>
      <c r="Q30" s="3" t="n">
        <v>1</v>
      </c>
      <c r="R30" s="3" t="n">
        <v>1.1</v>
      </c>
    </row>
    <row r="31">
      <c r="A31" s="2" t="inlineStr">
        <is>
          <t>9UHGG5A73zsxE5uB5ZB67wc3p7zoNEer8assxVpJ7w3t</t>
        </is>
      </c>
      <c r="B31" s="3" t="inlineStr">
        <is>
          <t>10.86 SOL</t>
        </is>
      </c>
      <c r="C31" s="3" t="inlineStr">
        <is>
          <t>56%</t>
        </is>
      </c>
      <c r="D31" s="4" t="inlineStr">
        <is>
          <t>86%</t>
        </is>
      </c>
      <c r="E31" s="4" t="inlineStr">
        <is>
          <t>8.27 SOL</t>
        </is>
      </c>
      <c r="F31" s="3" t="inlineStr">
        <is>
          <t>0 (0%)</t>
        </is>
      </c>
      <c r="G31" s="3" t="inlineStr">
        <is>
          <t>0 (0%)</t>
        </is>
      </c>
      <c r="H31" s="3" t="n">
        <v>9</v>
      </c>
      <c r="I31" s="3" t="n">
        <v>0</v>
      </c>
      <c r="J31" s="3" t="inlineStr">
        <is>
          <t>3 days</t>
        </is>
      </c>
      <c r="K31" s="3" t="inlineStr">
        <is>
          <t>4 min</t>
        </is>
      </c>
      <c r="L31" s="4" t="inlineStr">
        <is>
          <t>18%</t>
        </is>
      </c>
      <c r="M31" s="3" t="inlineStr">
        <is>
          <t>33%</t>
        </is>
      </c>
      <c r="N31" s="3" t="n">
        <v>9</v>
      </c>
      <c r="O31" s="3" t="n">
        <v>2</v>
      </c>
      <c r="P31" s="3" t="inlineStr">
        <is>
          <t>1.9201 SOL</t>
        </is>
      </c>
      <c r="Q31" s="3" t="n">
        <v>3</v>
      </c>
      <c r="R31" s="3" t="n">
        <v>1</v>
      </c>
    </row>
    <row r="32">
      <c r="A32" s="2" t="inlineStr">
        <is>
          <t>5Y5gmTQe5fKs4VFBAPSDtAxqUehBq7WURcF1gt762LMb</t>
        </is>
      </c>
      <c r="B32" s="3" t="inlineStr">
        <is>
          <t>1.99 SOL</t>
        </is>
      </c>
      <c r="C32" s="3" t="inlineStr">
        <is>
          <t>71%</t>
        </is>
      </c>
      <c r="D32" s="4" t="inlineStr">
        <is>
          <t>81%</t>
        </is>
      </c>
      <c r="E32" s="4" t="inlineStr">
        <is>
          <t>2.20 SOL</t>
        </is>
      </c>
      <c r="F32" s="3" t="inlineStr">
        <is>
          <t>0 (0%)</t>
        </is>
      </c>
      <c r="G32" s="3" t="inlineStr">
        <is>
          <t>0 (0%)</t>
        </is>
      </c>
      <c r="H32" s="3" t="n">
        <v>7</v>
      </c>
      <c r="I32" s="3" t="n">
        <v>0</v>
      </c>
      <c r="J32" s="3" t="inlineStr">
        <is>
          <t>5 days</t>
        </is>
      </c>
      <c r="K32" s="3" t="inlineStr">
        <is>
          <t>3 h</t>
        </is>
      </c>
      <c r="L32" s="4" t="inlineStr">
        <is>
          <t>69%</t>
        </is>
      </c>
      <c r="M32" s="3" t="inlineStr">
        <is>
          <t>29%</t>
        </is>
      </c>
      <c r="N32" s="3" t="n">
        <v>1</v>
      </c>
      <c r="O32" s="3" t="n">
        <v>12</v>
      </c>
      <c r="P32" s="3" t="inlineStr">
        <is>
          <t>0.0083 SOL</t>
        </is>
      </c>
      <c r="Q32" s="3" t="n">
        <v>7</v>
      </c>
      <c r="R32" s="3" t="n">
        <v>1.7</v>
      </c>
    </row>
    <row r="33">
      <c r="A33" s="2" t="inlineStr">
        <is>
          <t>8H3xT8L4hHkkVv5B861nVfr81vgw1RuYcbnufBsgxwyk</t>
        </is>
      </c>
      <c r="B33" s="3" t="inlineStr">
        <is>
          <t>5.34 SOL</t>
        </is>
      </c>
      <c r="C33" s="3" t="inlineStr">
        <is>
          <t>45%</t>
        </is>
      </c>
      <c r="D33" s="4" t="inlineStr">
        <is>
          <t>57%</t>
        </is>
      </c>
      <c r="E33" s="4" t="inlineStr">
        <is>
          <t>13.06 SOL</t>
        </is>
      </c>
      <c r="F33" s="3" t="inlineStr">
        <is>
          <t>1 (3%)</t>
        </is>
      </c>
      <c r="G33" s="3" t="inlineStr">
        <is>
          <t>0 (0%)</t>
        </is>
      </c>
      <c r="H33" s="3" t="n">
        <v>33</v>
      </c>
      <c r="I33" s="3" t="n">
        <v>0</v>
      </c>
      <c r="J33" s="3" t="inlineStr">
        <is>
          <t>6 days</t>
        </is>
      </c>
      <c r="K33" s="3" t="inlineStr">
        <is>
          <t>6 min</t>
        </is>
      </c>
      <c r="L33" s="5" t="inlineStr">
        <is>
          <t>-13%</t>
        </is>
      </c>
      <c r="M33" s="3" t="inlineStr">
        <is>
          <t>15%</t>
        </is>
      </c>
      <c r="N33" s="3" t="n">
        <v>24</v>
      </c>
      <c r="O33" s="3" t="n">
        <v>34</v>
      </c>
      <c r="P33" s="3" t="inlineStr">
        <is>
          <t>1.2706 SOL</t>
        </is>
      </c>
      <c r="Q33" s="3" t="n">
        <v>6</v>
      </c>
      <c r="R33" s="3" t="n">
        <v>1.7</v>
      </c>
    </row>
    <row r="34">
      <c r="A34" s="2" t="inlineStr">
        <is>
          <t>8GC8KU7bZVAevvSCF3JqTuG6iZbT4FKttjAwdxqEw8zM</t>
        </is>
      </c>
      <c r="B34" s="3" t="inlineStr">
        <is>
          <t>6.99 SOL</t>
        </is>
      </c>
      <c r="C34" s="3" t="inlineStr">
        <is>
          <t>75%</t>
        </is>
      </c>
      <c r="D34" s="4" t="inlineStr">
        <is>
          <t>53%</t>
        </is>
      </c>
      <c r="E34" s="4" t="inlineStr">
        <is>
          <t>51.89 SOL</t>
        </is>
      </c>
      <c r="F34" s="5" t="inlineStr">
        <is>
          <t>27 (96%)</t>
        </is>
      </c>
      <c r="G34" s="3" t="inlineStr">
        <is>
          <t>0 (0%)</t>
        </is>
      </c>
      <c r="H34" s="3" t="n">
        <v>28</v>
      </c>
      <c r="I34" s="3" t="n">
        <v>0</v>
      </c>
      <c r="J34" s="3" t="inlineStr">
        <is>
          <t>11 days</t>
        </is>
      </c>
      <c r="K34" s="3" t="inlineStr">
        <is>
          <t>7 sec</t>
        </is>
      </c>
      <c r="L34" s="4" t="inlineStr">
        <is>
          <t>33%</t>
        </is>
      </c>
      <c r="M34" s="3" t="inlineStr">
        <is>
          <t>7%</t>
        </is>
      </c>
      <c r="N34" s="3" t="n">
        <v>14</v>
      </c>
      <c r="O34" s="3" t="n">
        <v>31</v>
      </c>
      <c r="P34" s="3" t="inlineStr">
        <is>
          <t>2.0803 SOL</t>
        </is>
      </c>
      <c r="Q34" s="3" t="n">
        <v>11</v>
      </c>
      <c r="R34" s="3" t="n">
        <v>1</v>
      </c>
    </row>
    <row r="35">
      <c r="A35" s="2" t="inlineStr">
        <is>
          <t>DAvFwQyaHCUhnVKWgykeB1aJeCX2JeRRMZebqmiozpWx</t>
        </is>
      </c>
      <c r="B35" s="3" t="inlineStr">
        <is>
          <t>86.22 SOL</t>
        </is>
      </c>
      <c r="C35" s="3" t="inlineStr">
        <is>
          <t>80%</t>
        </is>
      </c>
      <c r="D35" s="4" t="inlineStr">
        <is>
          <t>147%</t>
        </is>
      </c>
      <c r="E35" s="4" t="inlineStr">
        <is>
          <t>64.82 SOL</t>
        </is>
      </c>
      <c r="F35" s="3" t="inlineStr">
        <is>
          <t>1 (20%)</t>
        </is>
      </c>
      <c r="G35" s="3" t="inlineStr">
        <is>
          <t>0 (0%)</t>
        </is>
      </c>
      <c r="H35" s="3" t="n">
        <v>5</v>
      </c>
      <c r="I35" s="3" t="n">
        <v>0</v>
      </c>
      <c r="J35" s="3" t="inlineStr">
        <is>
          <t>10 days</t>
        </is>
      </c>
      <c r="K35" s="3" t="inlineStr">
        <is>
          <t>8 min</t>
        </is>
      </c>
      <c r="L35" s="4" t="inlineStr">
        <is>
          <t>73%</t>
        </is>
      </c>
      <c r="M35" s="3" t="inlineStr">
        <is>
          <t>40%</t>
        </is>
      </c>
      <c r="N35" s="3" t="n">
        <v>3</v>
      </c>
      <c r="O35" s="3" t="n">
        <v>31</v>
      </c>
      <c r="P35" s="3" t="inlineStr">
        <is>
          <t>0.0039 SOL</t>
        </is>
      </c>
      <c r="Q35" s="3" t="n">
        <v>172</v>
      </c>
      <c r="R35" s="3" t="n">
        <v>1.2</v>
      </c>
    </row>
    <row r="36">
      <c r="A36" s="2" t="inlineStr">
        <is>
          <t>4DzbUe9RJ254JPVnknx6uLvXzJZhRgYeB3bER1HmDvk2</t>
        </is>
      </c>
      <c r="B36" s="3" t="inlineStr">
        <is>
          <t>45.85 SOL</t>
        </is>
      </c>
      <c r="C36" s="3" t="inlineStr">
        <is>
          <t>4%</t>
        </is>
      </c>
      <c r="D36" s="5" t="inlineStr">
        <is>
          <t>-56%</t>
        </is>
      </c>
      <c r="E36" s="5" t="inlineStr">
        <is>
          <t>-352.03 SOL</t>
        </is>
      </c>
      <c r="F36" s="3" t="inlineStr">
        <is>
          <t>0 (0%)</t>
        </is>
      </c>
      <c r="G36" s="3" t="inlineStr">
        <is>
          <t>0 (0%)</t>
        </is>
      </c>
      <c r="H36" s="3" t="n">
        <v>162</v>
      </c>
      <c r="I36" s="5" t="n">
        <v>39</v>
      </c>
      <c r="J36" s="3" t="inlineStr">
        <is>
          <t>13 days</t>
        </is>
      </c>
      <c r="K36" s="3" t="inlineStr">
        <is>
          <t>51 min</t>
        </is>
      </c>
      <c r="L36" s="5" t="inlineStr">
        <is>
          <t>-100%</t>
        </is>
      </c>
      <c r="M36" s="3" t="inlineStr">
        <is>
          <t>3%</t>
        </is>
      </c>
      <c r="N36" s="3" t="n">
        <v>27</v>
      </c>
      <c r="O36" s="3" t="n">
        <v>69</v>
      </c>
      <c r="P36" s="3" t="inlineStr">
        <is>
          <t>0.0158 SOL</t>
        </is>
      </c>
      <c r="Q36" s="3" t="n">
        <v>14</v>
      </c>
      <c r="R36" s="3" t="n">
        <v>1.4</v>
      </c>
    </row>
    <row r="37">
      <c r="A37" s="2" t="inlineStr">
        <is>
          <t>4ANWddp8hUV2MUD8uDdRaMPLXg68kayLpLGDbinit7QF</t>
        </is>
      </c>
      <c r="B37" s="3" t="inlineStr">
        <is>
          <t>1.01 SOL</t>
        </is>
      </c>
      <c r="C37" s="3" t="inlineStr">
        <is>
          <t>50%</t>
        </is>
      </c>
      <c r="D37" s="4" t="inlineStr">
        <is>
          <t>63%</t>
        </is>
      </c>
      <c r="E37" s="4" t="inlineStr">
        <is>
          <t>0.98 SOL</t>
        </is>
      </c>
      <c r="F37" s="3" t="inlineStr">
        <is>
          <t>0 (0%)</t>
        </is>
      </c>
      <c r="G37" s="3" t="inlineStr">
        <is>
          <t>0 (0%)</t>
        </is>
      </c>
      <c r="H37" s="3" t="n">
        <v>20</v>
      </c>
      <c r="I37" s="3" t="n">
        <v>1</v>
      </c>
      <c r="J37" s="3" t="inlineStr">
        <is>
          <t>18 days</t>
        </is>
      </c>
      <c r="K37" s="3" t="inlineStr">
        <is>
          <t>1 days</t>
        </is>
      </c>
      <c r="L37" s="4" t="inlineStr">
        <is>
          <t>4%</t>
        </is>
      </c>
      <c r="M37" s="3" t="inlineStr">
        <is>
          <t>15%</t>
        </is>
      </c>
      <c r="N37" s="3" t="n">
        <v>3</v>
      </c>
      <c r="O37" s="3" t="n">
        <v>15</v>
      </c>
      <c r="P37" s="3" t="inlineStr">
        <is>
          <t>0.0080 SOL</t>
        </is>
      </c>
      <c r="Q37" s="3" t="n">
        <v>21</v>
      </c>
      <c r="R37" s="3" t="n">
        <v>1.4</v>
      </c>
    </row>
    <row r="38">
      <c r="A38" s="2" t="inlineStr">
        <is>
          <t>D5ZZVQCLWYJcFPoYinPMnGixJxV1om1HohfcaXbQq3cG</t>
        </is>
      </c>
      <c r="B38" s="3" t="inlineStr">
        <is>
          <t>70.22 SOL</t>
        </is>
      </c>
      <c r="C38" s="3" t="inlineStr">
        <is>
          <t>43%</t>
        </is>
      </c>
      <c r="D38" s="4" t="inlineStr">
        <is>
          <t>92%</t>
        </is>
      </c>
      <c r="E38" s="4" t="inlineStr">
        <is>
          <t>60.59 SOL</t>
        </is>
      </c>
      <c r="F38" s="3" t="inlineStr">
        <is>
          <t>25 (14%)</t>
        </is>
      </c>
      <c r="G38" s="3" t="inlineStr">
        <is>
          <t>0 (0%)</t>
        </is>
      </c>
      <c r="H38" s="3" t="n">
        <v>176</v>
      </c>
      <c r="I38" s="3" t="n">
        <v>1</v>
      </c>
      <c r="J38" s="3" t="inlineStr">
        <is>
          <t>26 days</t>
        </is>
      </c>
      <c r="K38" s="3" t="inlineStr">
        <is>
          <t>8 min</t>
        </is>
      </c>
      <c r="L38" s="5" t="inlineStr">
        <is>
          <t>-4%</t>
        </is>
      </c>
      <c r="M38" s="3" t="inlineStr">
        <is>
          <t>11%</t>
        </is>
      </c>
      <c r="N38" s="3" t="n">
        <v>95</v>
      </c>
      <c r="O38" s="3" t="n">
        <v>416</v>
      </c>
      <c r="P38" s="3" t="inlineStr">
        <is>
          <t>2.0286 SOL</t>
        </is>
      </c>
      <c r="Q38" s="3" t="n">
        <v>26</v>
      </c>
      <c r="R38" s="3" t="n">
        <v>1.4</v>
      </c>
    </row>
    <row r="39">
      <c r="A39" s="2" t="inlineStr">
        <is>
          <t>D1QSf63deurkfuJKuwiR1BzGjuwpYW43iZEyFmef94dq</t>
        </is>
      </c>
      <c r="B39" s="3" t="inlineStr">
        <is>
          <t>85.13 SOL</t>
        </is>
      </c>
      <c r="C39" s="3" t="inlineStr">
        <is>
          <t>52%</t>
        </is>
      </c>
      <c r="D39" s="4" t="inlineStr">
        <is>
          <t>74%</t>
        </is>
      </c>
      <c r="E39" s="4" t="inlineStr">
        <is>
          <t>46.26 SOL</t>
        </is>
      </c>
      <c r="F39" s="3" t="inlineStr">
        <is>
          <t>3 (12%)</t>
        </is>
      </c>
      <c r="G39" s="3" t="inlineStr">
        <is>
          <t>0 (0%)</t>
        </is>
      </c>
      <c r="H39" s="3" t="n">
        <v>25</v>
      </c>
      <c r="I39" s="3" t="n">
        <v>0</v>
      </c>
      <c r="J39" s="3" t="inlineStr">
        <is>
          <t>6 days</t>
        </is>
      </c>
      <c r="K39" s="3" t="inlineStr">
        <is>
          <t>7 min</t>
        </is>
      </c>
      <c r="L39" s="4" t="inlineStr">
        <is>
          <t>1%</t>
        </is>
      </c>
      <c r="M39" s="3" t="inlineStr">
        <is>
          <t>16%</t>
        </is>
      </c>
      <c r="N39" s="3" t="n">
        <v>16</v>
      </c>
      <c r="O39" s="3" t="n">
        <v>12</v>
      </c>
      <c r="P39" s="3" t="inlineStr">
        <is>
          <t>0.0925 SOL</t>
        </is>
      </c>
      <c r="Q39" s="3" t="n">
        <v>7</v>
      </c>
      <c r="R39" s="3" t="n">
        <v>1.8</v>
      </c>
    </row>
    <row r="40">
      <c r="A40" s="2" t="inlineStr">
        <is>
          <t>7794TDb3fZJQKUs57TmFj2LcsWMu1AQX8zf2rSNFB6Gd</t>
        </is>
      </c>
      <c r="B40" s="3" t="inlineStr">
        <is>
          <t>12.92 SOL</t>
        </is>
      </c>
      <c r="C40" s="3" t="inlineStr">
        <is>
          <t>56%</t>
        </is>
      </c>
      <c r="D40" s="4" t="inlineStr">
        <is>
          <t>121%</t>
        </is>
      </c>
      <c r="E40" s="4" t="inlineStr">
        <is>
          <t>54.62 SOL</t>
        </is>
      </c>
      <c r="F40" s="3" t="inlineStr">
        <is>
          <t>1 (3%)</t>
        </is>
      </c>
      <c r="G40" s="3" t="inlineStr">
        <is>
          <t>0 (0%)</t>
        </is>
      </c>
      <c r="H40" s="3" t="n">
        <v>32</v>
      </c>
      <c r="I40" s="3" t="n">
        <v>0</v>
      </c>
      <c r="J40" s="3" t="inlineStr">
        <is>
          <t>15 days</t>
        </is>
      </c>
      <c r="K40" s="3" t="inlineStr">
        <is>
          <t>5 min</t>
        </is>
      </c>
      <c r="L40" s="4" t="inlineStr">
        <is>
          <t>7%</t>
        </is>
      </c>
      <c r="M40" s="3" t="inlineStr">
        <is>
          <t>12%</t>
        </is>
      </c>
      <c r="N40" s="3" t="n">
        <v>8</v>
      </c>
      <c r="O40" s="3" t="n">
        <v>15</v>
      </c>
      <c r="P40" s="3" t="inlineStr">
        <is>
          <t>0.4528 SOL</t>
        </is>
      </c>
      <c r="Q40" s="3" t="n">
        <v>15</v>
      </c>
      <c r="R40" s="3" t="n">
        <v>1.4</v>
      </c>
    </row>
    <row r="41">
      <c r="A41" s="2" t="inlineStr">
        <is>
          <t>BuaCKVPQXAhbG7n9NxZ9Kq76nhwyirZCy3pbk453E9sx</t>
        </is>
      </c>
      <c r="B41" s="3" t="inlineStr">
        <is>
          <t>12.30 SOL</t>
        </is>
      </c>
      <c r="C41" s="3" t="inlineStr">
        <is>
          <t>75%</t>
        </is>
      </c>
      <c r="D41" s="4" t="inlineStr">
        <is>
          <t>125%</t>
        </is>
      </c>
      <c r="E41" s="4" t="inlineStr">
        <is>
          <t>10.56 SOL</t>
        </is>
      </c>
      <c r="F41" s="3" t="inlineStr">
        <is>
          <t>0 (0%)</t>
        </is>
      </c>
      <c r="G41" s="3" t="inlineStr">
        <is>
          <t>0 (0%)</t>
        </is>
      </c>
      <c r="H41" s="3" t="n">
        <v>8</v>
      </c>
      <c r="I41" s="3" t="n">
        <v>0</v>
      </c>
      <c r="J41" s="3" t="inlineStr">
        <is>
          <t>3 days</t>
        </is>
      </c>
      <c r="K41" s="3" t="inlineStr">
        <is>
          <t>4 min</t>
        </is>
      </c>
      <c r="L41" s="4" t="inlineStr">
        <is>
          <t>136%</t>
        </is>
      </c>
      <c r="M41" s="3" t="inlineStr">
        <is>
          <t>50%</t>
        </is>
      </c>
      <c r="N41" s="3" t="n">
        <v>8</v>
      </c>
      <c r="O41" s="3" t="n">
        <v>7</v>
      </c>
      <c r="P41" s="3" t="inlineStr">
        <is>
          <t>1.9101 SOL</t>
        </is>
      </c>
      <c r="Q41" s="3" t="n">
        <v>3</v>
      </c>
      <c r="R41" s="3" t="n">
        <v>1</v>
      </c>
    </row>
    <row r="42">
      <c r="A42" s="2" t="inlineStr">
        <is>
          <t>5mcVquZq8V6pHWxLRww8zv3YSmh2DqWTAURjtcDJmECd</t>
        </is>
      </c>
      <c r="B42" s="3" t="inlineStr">
        <is>
          <t>81.32 SOL</t>
        </is>
      </c>
      <c r="C42" s="3" t="inlineStr">
        <is>
          <t>50%</t>
        </is>
      </c>
      <c r="D42" s="4" t="inlineStr">
        <is>
          <t>70%</t>
        </is>
      </c>
      <c r="E42" s="4" t="inlineStr">
        <is>
          <t>113.52 SOL</t>
        </is>
      </c>
      <c r="F42" s="3" t="inlineStr">
        <is>
          <t>1 (7%)</t>
        </is>
      </c>
      <c r="G42" s="3" t="inlineStr">
        <is>
          <t>0 (0%)</t>
        </is>
      </c>
      <c r="H42" s="3" t="n">
        <v>14</v>
      </c>
      <c r="I42" s="3" t="n">
        <v>0</v>
      </c>
      <c r="J42" s="3" t="inlineStr">
        <is>
          <t>14 days</t>
        </is>
      </c>
      <c r="K42" s="3" t="inlineStr">
        <is>
          <t>16 min</t>
        </is>
      </c>
      <c r="L42" s="5" t="inlineStr">
        <is>
          <t>-13%</t>
        </is>
      </c>
      <c r="M42" s="3" t="inlineStr">
        <is>
          <t>29%</t>
        </is>
      </c>
      <c r="N42" s="3" t="n">
        <v>12</v>
      </c>
      <c r="O42" s="3" t="n">
        <v>20</v>
      </c>
      <c r="P42" s="3" t="inlineStr">
        <is>
          <t>0.0203 SOL</t>
        </is>
      </c>
      <c r="Q42" s="3" t="n">
        <v>228</v>
      </c>
      <c r="R42" s="3" t="n">
        <v>3.9</v>
      </c>
    </row>
    <row r="43">
      <c r="A43" s="2" t="inlineStr">
        <is>
          <t>6WPK59QrXbeVEjnu8Mt5b4itQ6vSTPm7326i3CcZbTsD</t>
        </is>
      </c>
      <c r="B43" s="3" t="inlineStr">
        <is>
          <t>70.91 SOL</t>
        </is>
      </c>
      <c r="C43" s="3" t="inlineStr">
        <is>
          <t>67%</t>
        </is>
      </c>
      <c r="D43" s="4" t="inlineStr">
        <is>
          <t>86%</t>
        </is>
      </c>
      <c r="E43" s="4" t="inlineStr">
        <is>
          <t>72.32 SOL</t>
        </is>
      </c>
      <c r="F43" s="3" t="inlineStr">
        <is>
          <t>1 (3%)</t>
        </is>
      </c>
      <c r="G43" s="3" t="inlineStr">
        <is>
          <t>0 (0%)</t>
        </is>
      </c>
      <c r="H43" s="3" t="n">
        <v>30</v>
      </c>
      <c r="I43" s="3" t="n">
        <v>0</v>
      </c>
      <c r="J43" s="3" t="inlineStr">
        <is>
          <t>7 days</t>
        </is>
      </c>
      <c r="K43" s="3" t="inlineStr">
        <is>
          <t>4 min</t>
        </is>
      </c>
      <c r="L43" s="4" t="inlineStr">
        <is>
          <t>28%</t>
        </is>
      </c>
      <c r="M43" s="3" t="inlineStr">
        <is>
          <t>30%</t>
        </is>
      </c>
      <c r="N43" s="3" t="n">
        <v>30</v>
      </c>
      <c r="O43" s="3" t="n">
        <v>13</v>
      </c>
      <c r="P43" s="3" t="inlineStr">
        <is>
          <t>0.7837 SOL</t>
        </is>
      </c>
      <c r="Q43" s="3" t="n">
        <v>118</v>
      </c>
      <c r="R43" s="3" t="n">
        <v>1.8</v>
      </c>
    </row>
    <row r="44">
      <c r="A44" s="2" t="inlineStr">
        <is>
          <t>2q6vC6eFpAxTSWcGYn1MDumGZgko8E2n419MsGMy2Gx9</t>
        </is>
      </c>
      <c r="B44" s="3" t="inlineStr">
        <is>
          <t>4.27 SOL</t>
        </is>
      </c>
      <c r="C44" s="3" t="inlineStr">
        <is>
          <t>57%</t>
        </is>
      </c>
      <c r="D44" s="4" t="inlineStr">
        <is>
          <t>90%</t>
        </is>
      </c>
      <c r="E44" s="4" t="inlineStr">
        <is>
          <t>4.31 SOL</t>
        </is>
      </c>
      <c r="F44" s="3" t="inlineStr">
        <is>
          <t>0 (0%)</t>
        </is>
      </c>
      <c r="G44" s="3" t="inlineStr">
        <is>
          <t>0 (0%)</t>
        </is>
      </c>
      <c r="H44" s="3" t="n">
        <v>7</v>
      </c>
      <c r="I44" s="3" t="n">
        <v>1</v>
      </c>
      <c r="J44" s="3" t="inlineStr">
        <is>
          <t>7 days</t>
        </is>
      </c>
      <c r="K44" s="3" t="inlineStr">
        <is>
          <t>3 h</t>
        </is>
      </c>
      <c r="L44" s="4" t="inlineStr">
        <is>
          <t>87%</t>
        </is>
      </c>
      <c r="M44" s="3" t="inlineStr">
        <is>
          <t>43%</t>
        </is>
      </c>
      <c r="N44" s="3" t="n">
        <v>3</v>
      </c>
      <c r="O44" s="3" t="n">
        <v>8</v>
      </c>
      <c r="P44" s="3" t="inlineStr">
        <is>
          <t>0.0190 SOL</t>
        </is>
      </c>
      <c r="Q44" s="3" t="n">
        <v>12</v>
      </c>
      <c r="R44" s="3" t="n">
        <v>1.4</v>
      </c>
    </row>
    <row r="45">
      <c r="A45" s="2" t="inlineStr">
        <is>
          <t>639xVN39LfwXdaEN696qXU4hmvbUg9Jkmt4LffHZ4Lt2</t>
        </is>
      </c>
      <c r="B45" s="3" t="inlineStr">
        <is>
          <t>38.60 SOL</t>
        </is>
      </c>
      <c r="C45" s="3" t="inlineStr">
        <is>
          <t>37%</t>
        </is>
      </c>
      <c r="D45" s="5" t="inlineStr">
        <is>
          <t>-13%</t>
        </is>
      </c>
      <c r="E45" s="5" t="inlineStr">
        <is>
          <t>-5.25 SOL</t>
        </is>
      </c>
      <c r="F45" s="3" t="inlineStr">
        <is>
          <t>0 (0%)</t>
        </is>
      </c>
      <c r="G45" s="3" t="inlineStr">
        <is>
          <t>0 (0%)</t>
        </is>
      </c>
      <c r="H45" s="3" t="n">
        <v>19</v>
      </c>
      <c r="I45" s="3" t="n">
        <v>4</v>
      </c>
      <c r="J45" s="3" t="inlineStr">
        <is>
          <t>14 days</t>
        </is>
      </c>
      <c r="K45" s="3" t="inlineStr">
        <is>
          <t>23 h</t>
        </is>
      </c>
      <c r="L45" s="5" t="inlineStr">
        <is>
          <t>-85%</t>
        </is>
      </c>
      <c r="M45" s="3" t="inlineStr">
        <is>
          <t>11%</t>
        </is>
      </c>
      <c r="N45" s="3" t="n">
        <v>4</v>
      </c>
      <c r="O45" s="3" t="n">
        <v>17</v>
      </c>
      <c r="P45" s="3" t="inlineStr">
        <is>
          <t>0.3902 SOL</t>
        </is>
      </c>
      <c r="Q45" s="3" t="n">
        <v>15</v>
      </c>
      <c r="R45" s="3" t="n">
        <v>1.2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HYPERLINK("https://gmgn.ai/sol/address/7DAMCyYSf3PpNn6jVzcrC3tyBQ5tD45JMajpKBocboHW", "GMGN")</f>
        <v/>
      </c>
    </row>
    <row r="2">
      <c r="A2" s="3" t="inlineStr">
        <is>
          <t>7DAMCyYSf3PpNn6jVzcrC3tyBQ5tD45JMajpKBocboHW</t>
        </is>
      </c>
      <c r="B2" s="3" t="inlineStr">
        <is>
          <t>9.24 SOL</t>
        </is>
      </c>
      <c r="C2" s="3" t="inlineStr">
        <is>
          <t>56%</t>
        </is>
      </c>
      <c r="D2" s="3" t="inlineStr">
        <is>
          <t>128%</t>
        </is>
      </c>
      <c r="E2" s="3" t="inlineStr">
        <is>
          <t>9.08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HYPERLINK("https://solscan.io/account/7DAMCyYSf3PpNn6jVzcrC3tyBQ5tD45JMajpKBocboHW", "Solscan")</f>
        <v/>
      </c>
    </row>
    <row r="3">
      <c r="A3" s="7" t="inlineStr">
        <is>
          <t>Median ROI</t>
        </is>
      </c>
      <c r="B3" s="4" t="inlineStr">
        <is>
          <t>28.83%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HYPERLINK("https://birdeye.so/profile/7DAMCyYSf3PpNn6jVzcrC3tyBQ5tD45JMajpKBocboHW", "Birdeye")</f>
        <v/>
      </c>
    </row>
    <row r="4">
      <c r="A4" s="7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2</v>
      </c>
      <c r="D10" s="7" t="n">
        <v>1</v>
      </c>
      <c r="E10" s="7" t="n">
        <v>1</v>
      </c>
      <c r="F10" s="7" t="n">
        <v>3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11.1%</t>
        </is>
      </c>
      <c r="C11" s="7" t="inlineStr">
        <is>
          <t>22.2%</t>
        </is>
      </c>
      <c r="D11" s="7" t="inlineStr">
        <is>
          <t>11.1%</t>
        </is>
      </c>
      <c r="E11" s="7" t="inlineStr">
        <is>
          <t>11.1%</t>
        </is>
      </c>
      <c r="F11" s="7" t="inlineStr">
        <is>
          <t>33.3%</t>
        </is>
      </c>
      <c r="G11" s="7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6.8 SOL</t>
        </is>
      </c>
      <c r="C12" s="7" t="inlineStr">
        <is>
          <t>2.4 SOL</t>
        </is>
      </c>
      <c r="D12" s="7" t="inlineStr">
        <is>
          <t>0.6 SOL</t>
        </is>
      </c>
      <c r="E12" s="7" t="inlineStr">
        <is>
          <t>0.1 SOL</t>
        </is>
      </c>
      <c r="F12" s="7" t="inlineStr">
        <is>
          <t>-0.7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0.617 SOL</t>
        </is>
      </c>
      <c r="F20" s="17" t="inlineStr">
        <is>
          <t>0.457 SOL</t>
        </is>
      </c>
      <c r="G20" s="25" t="inlineStr">
        <is>
          <t>-0.179 SOL</t>
        </is>
      </c>
      <c r="H20" s="25" t="inlineStr">
        <is>
          <t>-28.17%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17:34:58</t>
        </is>
      </c>
      <c r="M20" s="17" t="inlineStr">
        <is>
          <t>3 min</t>
        </is>
      </c>
      <c r="N20" s="17" t="inlineStr">
        <is>
          <t xml:space="preserve">         12K             9K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0.170080</t>
        </is>
      </c>
      <c r="E21" s="21" t="inlineStr">
        <is>
          <t>0.740 SOL</t>
        </is>
      </c>
      <c r="F21" s="21" t="inlineStr">
        <is>
          <t>1.476 SOL</t>
        </is>
      </c>
      <c r="G21" s="24" t="inlineStr">
        <is>
          <t>0.566 SOL</t>
        </is>
      </c>
      <c r="H21" s="24" t="inlineStr">
        <is>
          <t>62.23%</t>
        </is>
      </c>
      <c r="I21" s="21" t="inlineStr">
        <is>
          <t>N/A</t>
        </is>
      </c>
      <c r="J21" s="21" t="n">
        <v>1</v>
      </c>
      <c r="K21" s="21" t="n">
        <v>16</v>
      </c>
      <c r="L21" s="21" t="inlineStr">
        <is>
          <t>30.10.2024 13:20:50</t>
        </is>
      </c>
      <c r="M21" s="21" t="inlineStr">
        <is>
          <t>4 min</t>
        </is>
      </c>
      <c r="N21" s="21" t="inlineStr">
        <is>
          <t xml:space="preserve">         14K            14K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10163367</v>
      </c>
      <c r="C22" s="17" t="n">
        <v>10163367</v>
      </c>
      <c r="D22" s="17" t="inlineStr">
        <is>
          <t>0.130060</t>
        </is>
      </c>
      <c r="E22" s="17" t="inlineStr">
        <is>
          <t>0.639 SOL</t>
        </is>
      </c>
      <c r="F22" s="17" t="inlineStr">
        <is>
          <t>1.941 SOL</t>
        </is>
      </c>
      <c r="G22" s="24" t="inlineStr">
        <is>
          <t>1.172 SOL</t>
        </is>
      </c>
      <c r="H22" s="24" t="inlineStr">
        <is>
          <t>152.46%</t>
        </is>
      </c>
      <c r="I22" s="17" t="inlineStr">
        <is>
          <t>N/A</t>
        </is>
      </c>
      <c r="J22" s="17" t="n">
        <v>1</v>
      </c>
      <c r="K22" s="17" t="n">
        <v>12</v>
      </c>
      <c r="L22" s="17" t="inlineStr">
        <is>
          <t>30.10.2024 06:27:36</t>
        </is>
      </c>
      <c r="M22" s="17" t="inlineStr">
        <is>
          <t>6 min</t>
        </is>
      </c>
      <c r="N22" s="17" t="inlineStr">
        <is>
          <t xml:space="preserve">         11K            19K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Torin</t>
        </is>
      </c>
      <c r="B23" s="21" t="n">
        <v>8831328</v>
      </c>
      <c r="C23" s="21" t="n">
        <v>8831328</v>
      </c>
      <c r="D23" s="21" t="inlineStr">
        <is>
          <t>0.630320</t>
        </is>
      </c>
      <c r="E23" s="21" t="inlineStr">
        <is>
          <t>0.432 SOL</t>
        </is>
      </c>
      <c r="F23" s="21" t="inlineStr">
        <is>
          <t>7.839 SOL</t>
        </is>
      </c>
      <c r="G23" s="24" t="inlineStr">
        <is>
          <t>6.777 SOL</t>
        </is>
      </c>
      <c r="H23" s="24" t="inlineStr">
        <is>
          <t>637.64%</t>
        </is>
      </c>
      <c r="I23" s="21" t="inlineStr">
        <is>
          <t>N/A</t>
        </is>
      </c>
      <c r="J23" s="21" t="n">
        <v>1</v>
      </c>
      <c r="K23" s="21" t="n">
        <v>62</v>
      </c>
      <c r="L23" s="21" t="inlineStr">
        <is>
          <t>30.10.2024 06:17:46</t>
        </is>
      </c>
      <c r="M23" s="21" t="inlineStr">
        <is>
          <t>7 min</t>
        </is>
      </c>
      <c r="N23" s="21" t="inlineStr">
        <is>
          <t xml:space="preserve">          9K           100K             7K</t>
        </is>
      </c>
      <c r="O23" s="21" t="inlineStr">
        <is>
          <t>ALKTKLRTyF3P83KMCAvGEtY4CsoMzvh1k38uixCgpump</t>
        </is>
      </c>
      <c r="P23" s="21">
        <f>HYPERLINK("https://photon-sol.tinyastro.io/en/lp/ALKTKLRTyF3P83KMCAvGEtY4CsoMzvh1k38uixCgpump?handle=676050794bc1b1657a56b", "View")</f>
        <v/>
      </c>
    </row>
    <row r="24">
      <c r="A24" s="16" t="inlineStr">
        <is>
          <t>Butters</t>
        </is>
      </c>
      <c r="B24" s="17" t="n">
        <v>7929767</v>
      </c>
      <c r="C24" s="17" t="n">
        <v>7929767</v>
      </c>
      <c r="D24" s="17" t="inlineStr">
        <is>
          <t>0.020010</t>
        </is>
      </c>
      <c r="E24" s="17" t="inlineStr">
        <is>
          <t>0.489 SOL</t>
        </is>
      </c>
      <c r="F24" s="17" t="inlineStr">
        <is>
          <t>0.656 SOL</t>
        </is>
      </c>
      <c r="G24" s="22" t="inlineStr">
        <is>
          <t>0.147 SOL</t>
        </is>
      </c>
      <c r="H24" s="22" t="inlineStr">
        <is>
          <t>28.83%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18:25:18</t>
        </is>
      </c>
      <c r="M24" s="17" t="inlineStr">
        <is>
          <t>8 min</t>
        </is>
      </c>
      <c r="N24" s="17" t="inlineStr">
        <is>
          <t xml:space="preserve">         11K            14K             4K</t>
        </is>
      </c>
      <c r="O24" s="17" t="inlineStr">
        <is>
          <t>BFc3G2JaqZA3eCJzWiSMhGZp7aXwonXETtr2Nudppump</t>
        </is>
      </c>
      <c r="P24" s="17">
        <f>HYPERLINK("https://photon-sol.tinyastro.io/en/lp/BFc3G2JaqZA3eCJzWiSMhGZp7aXwonXETtr2Nudppump?handle=676050794bc1b1657a56b", "View")</f>
        <v/>
      </c>
    </row>
    <row r="25">
      <c r="A25" s="20" t="inlineStr">
        <is>
          <t>Nina</t>
        </is>
      </c>
      <c r="B25" s="21" t="n">
        <v>11778199</v>
      </c>
      <c r="C25" s="21" t="n">
        <v>11778199</v>
      </c>
      <c r="D25" s="21" t="inlineStr">
        <is>
          <t>0.020010</t>
        </is>
      </c>
      <c r="E25" s="21" t="inlineStr">
        <is>
          <t>1.070 SOL</t>
        </is>
      </c>
      <c r="F25" s="21" t="inlineStr">
        <is>
          <t>0.945 SOL</t>
        </is>
      </c>
      <c r="G25" s="25" t="inlineStr">
        <is>
          <t>-0.145 SOL</t>
        </is>
      </c>
      <c r="H25" s="25" t="inlineStr">
        <is>
          <t>-13.32%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15:46:54</t>
        </is>
      </c>
      <c r="M25" s="21" t="inlineStr">
        <is>
          <t>4 min</t>
        </is>
      </c>
      <c r="N25" s="21" t="inlineStr">
        <is>
          <t xml:space="preserve">         16K            14K             5K</t>
        </is>
      </c>
      <c r="O25" s="21" t="inlineStr">
        <is>
          <t>CDkwBE7pPovZLJC2KxM7jvWXkyygR1Y1u2R7f6hmpump</t>
        </is>
      </c>
      <c r="P25" s="21">
        <f>HYPERLINK("https://photon-sol.tinyastro.io/en/lp/CDkwBE7pPovZLJC2KxM7jvWXkyygR1Y1u2R7f6hmpump?handle=676050794bc1b1657a56b", "View")</f>
        <v/>
      </c>
    </row>
    <row r="26">
      <c r="A26" s="16" t="inlineStr">
        <is>
          <t>MOLANG</t>
        </is>
      </c>
      <c r="B26" s="17" t="n">
        <v>1793028</v>
      </c>
      <c r="C26" s="17" t="n">
        <v>1793028</v>
      </c>
      <c r="D26" s="17" t="inlineStr">
        <is>
          <t>0.220020</t>
        </is>
      </c>
      <c r="E26" s="17" t="inlineStr">
        <is>
          <t>0.548 SOL</t>
        </is>
      </c>
      <c r="F26" s="17" t="inlineStr">
        <is>
          <t>0.443 SOL</t>
        </is>
      </c>
      <c r="G26" s="25" t="inlineStr">
        <is>
          <t>-0.326 SOL</t>
        </is>
      </c>
      <c r="H26" s="25" t="inlineStr">
        <is>
          <t>-42.39%</t>
        </is>
      </c>
      <c r="I26" s="17" t="inlineStr">
        <is>
          <t>N/A</t>
        </is>
      </c>
      <c r="J26" s="17" t="n">
        <v>2</v>
      </c>
      <c r="K26" s="17" t="n">
        <v>2</v>
      </c>
      <c r="L26" s="17" t="inlineStr">
        <is>
          <t>29.10.2024 14:48:15</t>
        </is>
      </c>
      <c r="M26" s="17" t="inlineStr">
        <is>
          <t>10 min</t>
        </is>
      </c>
      <c r="N26" s="17" t="inlineStr">
        <is>
          <t xml:space="preserve">         56K            32K             4K</t>
        </is>
      </c>
      <c r="O26" s="17" t="inlineStr">
        <is>
          <t>BPFXTGBjoARa89gbSvbp7Dy6cQwgGc7efW1jE8nTpump</t>
        </is>
      </c>
      <c r="P26" s="17">
        <f>HYPERLINK("https://photon-sol.tinyastro.io/en/lp/BPFXTGBjoARa89gbSvbp7Dy6cQwgGc7efW1jE8nTpump?handle=676050794bc1b1657a56b", "View")</f>
        <v/>
      </c>
    </row>
    <row r="27">
      <c r="A27" s="20" t="inlineStr">
        <is>
          <t>Trina</t>
        </is>
      </c>
      <c r="B27" s="21" t="n">
        <v>11384893</v>
      </c>
      <c r="C27" s="21" t="n">
        <v>11384893</v>
      </c>
      <c r="D27" s="21" t="inlineStr">
        <is>
          <t>0.470190</t>
        </is>
      </c>
      <c r="E27" s="21" t="inlineStr">
        <is>
          <t>0.633 SOL</t>
        </is>
      </c>
      <c r="F27" s="21" t="inlineStr">
        <is>
          <t>2.298 SOL</t>
        </is>
      </c>
      <c r="G27" s="24" t="inlineStr">
        <is>
          <t>1.195 SOL</t>
        </is>
      </c>
      <c r="H27" s="24" t="inlineStr">
        <is>
          <t>108.28%</t>
        </is>
      </c>
      <c r="I27" s="21" t="inlineStr">
        <is>
          <t>N/A</t>
        </is>
      </c>
      <c r="J27" s="21" t="n">
        <v>1</v>
      </c>
      <c r="K27" s="21" t="n">
        <v>37</v>
      </c>
      <c r="L27" s="21" t="inlineStr">
        <is>
          <t>29.10.2024 13:33:37</t>
        </is>
      </c>
      <c r="M27" s="21" t="inlineStr">
        <is>
          <t>9 min</t>
        </is>
      </c>
      <c r="N27" s="21" t="inlineStr">
        <is>
          <t xml:space="preserve">         11K            11K             4K</t>
        </is>
      </c>
      <c r="O27" s="21" t="inlineStr">
        <is>
          <t>DirQ7FDi1C5SZCy8ai1GTSvnm9o8MDf9s4C4cExzpump</t>
        </is>
      </c>
      <c r="P27" s="21">
        <f>HYPERLINK("https://photon-sol.tinyastro.io/en/lp/DirQ7FDi1C5SZCy8ai1GTSvnm9o8MDf9s4C4cExzpump?handle=676050794bc1b1657a56b", "View")</f>
        <v/>
      </c>
    </row>
    <row r="28">
      <c r="A28" s="16" t="inlineStr">
        <is>
          <t>Trina</t>
        </is>
      </c>
      <c r="B28" s="17" t="n">
        <v>585788</v>
      </c>
      <c r="C28" s="17" t="n">
        <v>585788</v>
      </c>
      <c r="D28" s="17" t="inlineStr">
        <is>
          <t>0.110010</t>
        </is>
      </c>
      <c r="E28" s="17" t="inlineStr">
        <is>
          <t>0.131 SOL</t>
        </is>
      </c>
      <c r="F28" s="17" t="inlineStr">
        <is>
          <t>0.116 SOL</t>
        </is>
      </c>
      <c r="G28" s="23" t="inlineStr">
        <is>
          <t>-0.126 SOL</t>
        </is>
      </c>
      <c r="H28" s="23" t="inlineStr">
        <is>
          <t>-52.15%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13:22:14</t>
        </is>
      </c>
      <c r="M28" s="17" t="inlineStr">
        <is>
          <t>8 min</t>
        </is>
      </c>
      <c r="N28" s="17" t="inlineStr">
        <is>
          <t xml:space="preserve">         39K            35K             5K</t>
        </is>
      </c>
      <c r="O28" s="17" t="inlineStr">
        <is>
          <t>CsT44i2W2MWp23WQ2EqjorxZVVzuN4niw1cj1Qr5pump</t>
        </is>
      </c>
      <c r="P28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HYPERLINK("https://gmgn.ai/sol/address/E7Vpwi8ys3iRf2gyVtXLxA8K2CxrtCR2bD2igzR4gWWa", "GMGN")</f>
        <v/>
      </c>
    </row>
    <row r="2">
      <c r="A2" s="3" t="inlineStr">
        <is>
          <t>E7Vpwi8ys3iRf2gyVtXLxA8K2CxrtCR2bD2igzR4gWWa</t>
        </is>
      </c>
      <c r="B2" s="3" t="inlineStr">
        <is>
          <t>20.77 SOL</t>
        </is>
      </c>
      <c r="C2" s="3" t="inlineStr">
        <is>
          <t>83%</t>
        </is>
      </c>
      <c r="D2" s="3" t="inlineStr">
        <is>
          <t>138%</t>
        </is>
      </c>
      <c r="E2" s="3" t="inlineStr">
        <is>
          <t>19.05 SOL</t>
        </is>
      </c>
      <c r="F2" s="3" t="inlineStr">
        <is>
          <t>1 (8%)</t>
        </is>
      </c>
      <c r="G2" s="3" t="inlineStr">
        <is>
          <t>0 (0%)</t>
        </is>
      </c>
      <c r="H2" s="3" t="n">
        <v>12</v>
      </c>
      <c r="I2" s="3" t="n">
        <v>0</v>
      </c>
      <c r="J2" s="3" t="inlineStr">
        <is>
          <t>3 days</t>
        </is>
      </c>
      <c r="K2" s="3" t="inlineStr">
        <is>
          <t>5 min</t>
        </is>
      </c>
      <c r="L2" s="3" t="n">
        <v>11</v>
      </c>
      <c r="M2" s="3" t="n">
        <v>7</v>
      </c>
      <c r="N2" s="3">
        <f>HYPERLINK("https://solscan.io/account/E7Vpwi8ys3iRf2gyVtXLxA8K2CxrtCR2bD2igzR4gWWa", "Solscan")</f>
        <v/>
      </c>
    </row>
    <row r="3">
      <c r="A3" s="7" t="inlineStr">
        <is>
          <t>Median ROI</t>
        </is>
      </c>
      <c r="B3" s="4" t="inlineStr">
        <is>
          <t>67.06%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HYPERLINK("https://birdeye.so/profile/E7Vpwi8ys3iRf2gyVtXLxA8K2CxrtCR2bD2igzR4gWWa", "Birdeye")</f>
        <v/>
      </c>
    </row>
    <row r="4">
      <c r="A4" s="7" t="inlineStr">
        <is>
          <t>Rockets percent</t>
        </is>
      </c>
      <c r="B4" s="4" t="inlineStr">
        <is>
          <t>42%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4</v>
      </c>
      <c r="D10" s="7" t="n">
        <v>2</v>
      </c>
      <c r="E10" s="7" t="n">
        <v>3</v>
      </c>
      <c r="F10" s="7" t="n">
        <v>0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8.3%</t>
        </is>
      </c>
      <c r="C11" s="7" t="inlineStr">
        <is>
          <t>33.3%</t>
        </is>
      </c>
      <c r="D11" s="7" t="inlineStr">
        <is>
          <t>16.7%</t>
        </is>
      </c>
      <c r="E11" s="7" t="inlineStr">
        <is>
          <t>25.0%</t>
        </is>
      </c>
      <c r="F11" s="7" t="inlineStr">
        <is>
          <t>0.0%</t>
        </is>
      </c>
      <c r="G11" s="7" t="inlineStr">
        <is>
          <t>16.7%</t>
        </is>
      </c>
      <c r="H11" s="3" t="n"/>
      <c r="I11" s="3" t="inlineStr">
        <is>
          <t>5k-30k</t>
        </is>
      </c>
      <c r="J11" s="3" t="inlineStr">
        <is>
          <t>9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6.8 SOL</t>
        </is>
      </c>
      <c r="C12" s="7" t="inlineStr">
        <is>
          <t>11.2 SOL</t>
        </is>
      </c>
      <c r="D12" s="7" t="inlineStr">
        <is>
          <t>1.5 SOL</t>
        </is>
      </c>
      <c r="E12" s="7" t="inlineStr">
        <is>
          <t>0.9 SOL</t>
        </is>
      </c>
      <c r="F12" s="7" t="inlineStr">
        <is>
          <t>0.0 SOL</t>
        </is>
      </c>
      <c r="G12" s="7" t="inlineStr">
        <is>
          <t>-1.3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ZEN</t>
        </is>
      </c>
      <c r="B20" s="17" t="n">
        <v>9847334</v>
      </c>
      <c r="C20" s="17" t="n">
        <v>9847334</v>
      </c>
      <c r="D20" s="17" t="inlineStr">
        <is>
          <t>0.240010</t>
        </is>
      </c>
      <c r="E20" s="17" t="inlineStr">
        <is>
          <t>1.094 SOL</t>
        </is>
      </c>
      <c r="F20" s="17" t="inlineStr">
        <is>
          <t>1.566 SOL</t>
        </is>
      </c>
      <c r="G20" s="22" t="inlineStr">
        <is>
          <t>0.231 SOL</t>
        </is>
      </c>
      <c r="H20" s="22" t="inlineStr">
        <is>
          <t>17.35%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16:41:50</t>
        </is>
      </c>
      <c r="M20" s="17" t="inlineStr">
        <is>
          <t>3 min</t>
        </is>
      </c>
      <c r="N20" s="17" t="inlineStr">
        <is>
          <t xml:space="preserve">        N/A           N/A           N/A</t>
        </is>
      </c>
      <c r="O20" s="17" t="inlineStr">
        <is>
          <t>4KdmmBF845nJknS1DpWWdL8CsjKExFoUmiEnzHrtpump</t>
        </is>
      </c>
      <c r="P20" s="17">
        <f>HYPERLINK("https://photon-sol.tinyastro.io/en/lp/4KdmmBF845nJknS1DpWWdL8CsjKExFoUmiEnzHrtpump?handle=676050794bc1b1657a56b", "View")</f>
        <v/>
      </c>
    </row>
    <row r="21">
      <c r="A21" s="20" t="inlineStr">
        <is>
          <t>SPARKY</t>
        </is>
      </c>
      <c r="B21" s="21" t="n">
        <v>8038025</v>
      </c>
      <c r="C21" s="21" t="n">
        <v>8038025</v>
      </c>
      <c r="D21" s="21" t="inlineStr">
        <is>
          <t>0.240010</t>
        </is>
      </c>
      <c r="E21" s="21" t="inlineStr">
        <is>
          <t>0.493 SOL</t>
        </is>
      </c>
      <c r="F21" s="21" t="inlineStr">
        <is>
          <t>0.805 SOL</t>
        </is>
      </c>
      <c r="G21" s="22" t="inlineStr">
        <is>
          <t>0.071 SOL</t>
        </is>
      </c>
      <c r="H21" s="22" t="inlineStr">
        <is>
          <t>9.75%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13:29:20</t>
        </is>
      </c>
      <c r="M21" s="19" t="inlineStr">
        <is>
          <t>59 sec</t>
        </is>
      </c>
      <c r="N21" s="21" t="inlineStr">
        <is>
          <t xml:space="preserve">         11K            18K             5K</t>
        </is>
      </c>
      <c r="O21" s="21" t="inlineStr">
        <is>
          <t>ChhFGDYQ5n6UkCcsX3NDXHfdgoFbjBMn1msye5HDpump</t>
        </is>
      </c>
      <c r="P21" s="21">
        <f>HYPERLINK("https://photon-sol.tinyastro.io/en/lp/ChhFGDYQ5n6UkCcsX3NDXHfdgoFbjBMn1msye5HDpump?handle=676050794bc1b1657a56b", "View")</f>
        <v/>
      </c>
    </row>
    <row r="22">
      <c r="A22" s="16" t="inlineStr">
        <is>
          <t>SOAR</t>
        </is>
      </c>
      <c r="B22" s="17" t="n">
        <v>9953129</v>
      </c>
      <c r="C22" s="17" t="n">
        <v>9953129</v>
      </c>
      <c r="D22" s="17" t="inlineStr">
        <is>
          <t>0.240010</t>
        </is>
      </c>
      <c r="E22" s="17" t="inlineStr">
        <is>
          <t>1.361 SOL</t>
        </is>
      </c>
      <c r="F22" s="17" t="inlineStr">
        <is>
          <t>4.683 SOL</t>
        </is>
      </c>
      <c r="G22" s="24" t="inlineStr">
        <is>
          <t>3.082 SOL</t>
        </is>
      </c>
      <c r="H22" s="24" t="inlineStr">
        <is>
          <t>192.48%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12:48:04</t>
        </is>
      </c>
      <c r="M22" s="17" t="inlineStr">
        <is>
          <t>3 min</t>
        </is>
      </c>
      <c r="N22" s="17" t="inlineStr">
        <is>
          <t xml:space="preserve">         25K            25K             4K</t>
        </is>
      </c>
      <c r="O22" s="17" t="inlineStr">
        <is>
          <t>DSMBxacyzGiqNgmadjZPMMGY2EEjRriH4HMbFDbRpump</t>
        </is>
      </c>
      <c r="P22" s="17">
        <f>HYPERLINK("https://photon-sol.tinyastro.io/en/lp/DSMBxacyzGiqNgmadjZPMMGY2EEjRriH4HMbFDbRpump?handle=676050794bc1b1657a56b", "View")</f>
        <v/>
      </c>
    </row>
    <row r="23">
      <c r="A23" s="20" t="inlineStr">
        <is>
          <t>Torin</t>
        </is>
      </c>
      <c r="B23" s="21" t="n">
        <v>5770298</v>
      </c>
      <c r="C23" s="21" t="n">
        <v>5770298</v>
      </c>
      <c r="D23" s="21" t="inlineStr">
        <is>
          <t>0.240010</t>
        </is>
      </c>
      <c r="E23" s="21" t="inlineStr">
        <is>
          <t>0.928 SOL</t>
        </is>
      </c>
      <c r="F23" s="21" t="inlineStr">
        <is>
          <t>0.535 SOL</t>
        </is>
      </c>
      <c r="G23" s="23" t="inlineStr">
        <is>
          <t>-0.633 SOL</t>
        </is>
      </c>
      <c r="H23" s="23" t="inlineStr">
        <is>
          <t>-54.19%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06:27:41</t>
        </is>
      </c>
      <c r="M23" s="21" t="inlineStr">
        <is>
          <t>5 min</t>
        </is>
      </c>
      <c r="N23" s="21" t="inlineStr">
        <is>
          <t xml:space="preserve">         28K            16K             3K</t>
        </is>
      </c>
      <c r="O23" s="21" t="inlineStr">
        <is>
          <t>HxdzGHd2jLF12UHjgFKCb6zMzgfqGnwRvwKweXmXpump</t>
        </is>
      </c>
      <c r="P23" s="21">
        <f>HYPERLINK("https://photon-sol.tinyastro.io/en/lp/HxdzGHd2jLF12UHjgFKCb6zMzgfqGnwRvwKweXmXpump?handle=676050794bc1b1657a56b", "View")</f>
        <v/>
      </c>
    </row>
    <row r="24">
      <c r="A24" s="16" t="inlineStr">
        <is>
          <t>MOLANG</t>
        </is>
      </c>
      <c r="B24" s="17" t="n">
        <v>6485448</v>
      </c>
      <c r="C24" s="17" t="n">
        <v>6485448</v>
      </c>
      <c r="D24" s="17" t="inlineStr">
        <is>
          <t>0.240010</t>
        </is>
      </c>
      <c r="E24" s="17" t="inlineStr">
        <is>
          <t>0.803 SOL</t>
        </is>
      </c>
      <c r="F24" s="17" t="inlineStr">
        <is>
          <t>1.832 SOL</t>
        </is>
      </c>
      <c r="G24" s="24" t="inlineStr">
        <is>
          <t>0.788 SOL</t>
        </is>
      </c>
      <c r="H24" s="24" t="inlineStr">
        <is>
          <t>75.53%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14:47:57</t>
        </is>
      </c>
      <c r="M24" s="17" t="inlineStr">
        <is>
          <t>10 min</t>
        </is>
      </c>
      <c r="N24" s="17" t="inlineStr">
        <is>
          <t xml:space="preserve">         21K            49K             4K</t>
        </is>
      </c>
      <c r="O24" s="17" t="inlineStr">
        <is>
          <t>BPFXTGBjoARa89gbSvbp7Dy6cQwgGc7efW1jE8nTpump</t>
        </is>
      </c>
      <c r="P24" s="17">
        <f>HYPERLINK("https://photon-sol.tinyastro.io/en/lp/BPFXTGBjoARa89gbSvbp7Dy6cQwgGc7efW1jE8nTpump?handle=676050794bc1b1657a56b", "View")</f>
        <v/>
      </c>
    </row>
    <row r="25">
      <c r="A25" s="20" t="inlineStr">
        <is>
          <t>MOLANG</t>
        </is>
      </c>
      <c r="B25" s="21" t="n">
        <v>10056459</v>
      </c>
      <c r="C25" s="21" t="n">
        <v>10056459</v>
      </c>
      <c r="D25" s="21" t="inlineStr">
        <is>
          <t>0.280020</t>
        </is>
      </c>
      <c r="E25" s="21" t="inlineStr">
        <is>
          <t>0.857 SOL</t>
        </is>
      </c>
      <c r="F25" s="21" t="inlineStr">
        <is>
          <t>2.464 SOL</t>
        </is>
      </c>
      <c r="G25" s="24" t="inlineStr">
        <is>
          <t>1.326 SOL</t>
        </is>
      </c>
      <c r="H25" s="24" t="inlineStr">
        <is>
          <t>116.59%</t>
        </is>
      </c>
      <c r="I25" s="21" t="inlineStr">
        <is>
          <t>N/A</t>
        </is>
      </c>
      <c r="J25" s="21" t="n">
        <v>1</v>
      </c>
      <c r="K25" s="21" t="n">
        <v>2</v>
      </c>
      <c r="L25" s="21" t="inlineStr">
        <is>
          <t>29.10.2024 14:25:37</t>
        </is>
      </c>
      <c r="M25" s="21" t="inlineStr">
        <is>
          <t>7 min</t>
        </is>
      </c>
      <c r="N25" s="21" t="inlineStr">
        <is>
          <t xml:space="preserve">         14K            38K             4K</t>
        </is>
      </c>
      <c r="O25" s="21" t="inlineStr">
        <is>
          <t>FAS87Vmmejcf5RBtpfGZ8vPAjR2VuUZJ6Sojf8Jgpump</t>
        </is>
      </c>
      <c r="P25" s="21">
        <f>HYPERLINK("https://photon-sol.tinyastro.io/en/lp/FAS87Vmmejcf5RBtpfGZ8vPAjR2VuUZJ6Sojf8Jgpump?handle=676050794bc1b1657a56b", "View")</f>
        <v/>
      </c>
    </row>
    <row r="26">
      <c r="A26" s="16" t="inlineStr">
        <is>
          <t>SOLO</t>
        </is>
      </c>
      <c r="B26" s="17" t="n">
        <v>11589762</v>
      </c>
      <c r="C26" s="17" t="n">
        <v>11589762</v>
      </c>
      <c r="D26" s="17" t="inlineStr">
        <is>
          <t>0.280020</t>
        </is>
      </c>
      <c r="E26" s="17" t="inlineStr">
        <is>
          <t>0.961 SOL</t>
        </is>
      </c>
      <c r="F26" s="17" t="inlineStr">
        <is>
          <t>1.969 SOL</t>
        </is>
      </c>
      <c r="G26" s="24" t="inlineStr">
        <is>
          <t>0.727 SOL</t>
        </is>
      </c>
      <c r="H26" s="24" t="inlineStr">
        <is>
          <t>58.60%</t>
        </is>
      </c>
      <c r="I26" s="17" t="inlineStr">
        <is>
          <t>N/A</t>
        </is>
      </c>
      <c r="J26" s="17" t="n">
        <v>1</v>
      </c>
      <c r="K26" s="17" t="n">
        <v>2</v>
      </c>
      <c r="L26" s="17" t="inlineStr">
        <is>
          <t>29.10.2024 13:00:00</t>
        </is>
      </c>
      <c r="M26" s="17" t="inlineStr">
        <is>
          <t>4 min</t>
        </is>
      </c>
      <c r="N26" s="17" t="inlineStr">
        <is>
          <t xml:space="preserve">         13K            27K             4K</t>
        </is>
      </c>
      <c r="O26" s="17" t="inlineStr">
        <is>
          <t>GeHMGsBk1SfZSmRccWiUxoGd9ZpYHhTYYqMn95Hapump</t>
        </is>
      </c>
      <c r="P26" s="17">
        <f>HYPERLINK("https://photon-sol.tinyastro.io/en/lp/GeHMGsBk1SfZSmRccWiUxoGd9ZpYHhTYYqMn95Hapump?handle=676050794bc1b1657a56b", "View")</f>
        <v/>
      </c>
    </row>
    <row r="27">
      <c r="A27" s="20" t="inlineStr">
        <is>
          <t>LINK</t>
        </is>
      </c>
      <c r="B27" s="21" t="n">
        <v>7591064</v>
      </c>
      <c r="C27" s="21" t="n">
        <v>7591064</v>
      </c>
      <c r="D27" s="21" t="inlineStr">
        <is>
          <t>0.320020</t>
        </is>
      </c>
      <c r="E27" s="21" t="inlineStr">
        <is>
          <t>0.548 SOL</t>
        </is>
      </c>
      <c r="F27" s="21" t="inlineStr">
        <is>
          <t>7.649 SOL</t>
        </is>
      </c>
      <c r="G27" s="24" t="inlineStr">
        <is>
          <t>6.781 SOL</t>
        </is>
      </c>
      <c r="H27" s="24" t="inlineStr">
        <is>
          <t>780.76%</t>
        </is>
      </c>
      <c r="I27" s="21" t="inlineStr">
        <is>
          <t>N/A</t>
        </is>
      </c>
      <c r="J27" s="21" t="n">
        <v>1</v>
      </c>
      <c r="K27" s="21" t="n">
        <v>3</v>
      </c>
      <c r="L27" s="21" t="inlineStr">
        <is>
          <t>29.10.2024 04:29:53</t>
        </is>
      </c>
      <c r="M27" s="21" t="inlineStr">
        <is>
          <t>4 min</t>
        </is>
      </c>
      <c r="N27" s="21" t="inlineStr">
        <is>
          <t xml:space="preserve">         11K           152K             4K</t>
        </is>
      </c>
      <c r="O27" s="21" t="inlineStr">
        <is>
          <t>BxaRiJpUwPkiUfwUe7bXqMZV5EG8Xx5BZaY6QM3Jpump</t>
        </is>
      </c>
      <c r="P27" s="21">
        <f>HYPERLINK("https://photon-sol.tinyastro.io/en/lp/BxaRiJpUwPkiUfwUe7bXqMZV5EG8Xx5BZaY6QM3Jpump?handle=676050794bc1b1657a56b", "View")</f>
        <v/>
      </c>
    </row>
    <row r="28">
      <c r="A28" s="16" t="inlineStr">
        <is>
          <t>Ziggy</t>
        </is>
      </c>
      <c r="B28" s="17" t="n">
        <v>2783021</v>
      </c>
      <c r="C28" s="17" t="n">
        <v>2783021</v>
      </c>
      <c r="D28" s="17" t="inlineStr">
        <is>
          <t>0.240010</t>
        </is>
      </c>
      <c r="E28" s="17" t="inlineStr">
        <is>
          <t>1.000 SOL</t>
        </is>
      </c>
      <c r="F28" s="17" t="inlineStr">
        <is>
          <t>1.804 SOL</t>
        </is>
      </c>
      <c r="G28" s="22" t="inlineStr">
        <is>
          <t>0.564 SOL</t>
        </is>
      </c>
      <c r="H28" s="22" t="inlineStr">
        <is>
          <t>45.46%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28.10.2024 16:51:16</t>
        </is>
      </c>
      <c r="M28" s="17" t="inlineStr">
        <is>
          <t>1 min</t>
        </is>
      </c>
      <c r="N28" s="17" t="inlineStr">
        <is>
          <t xml:space="preserve">         63K           114K             4K</t>
        </is>
      </c>
      <c r="O28" s="17" t="inlineStr">
        <is>
          <t>9wBdGejMb6UJeXDdTSfvRhhECCCNi74vmzLFQixjpump</t>
        </is>
      </c>
      <c r="P28" s="17">
        <f>HYPERLINK("https://dexscreener.com/solana/9wBdGejMb6UJeXDdTSfvRhhECCCNi74vmzLFQixjpump", "View")</f>
        <v/>
      </c>
    </row>
    <row r="29">
      <c r="A29" s="20" t="inlineStr">
        <is>
          <t>LUNIX</t>
        </is>
      </c>
      <c r="B29" s="21" t="n">
        <v>8672520</v>
      </c>
      <c r="C29" s="21" t="n">
        <v>8672520</v>
      </c>
      <c r="D29" s="21" t="inlineStr">
        <is>
          <t>0.260010</t>
        </is>
      </c>
      <c r="E29" s="21" t="inlineStr">
        <is>
          <t>1.292 SOL</t>
        </is>
      </c>
      <c r="F29" s="21" t="inlineStr">
        <is>
          <t>6.279 SOL</t>
        </is>
      </c>
      <c r="G29" s="24" t="inlineStr">
        <is>
          <t>4.727 SOL</t>
        </is>
      </c>
      <c r="H29" s="24" t="inlineStr">
        <is>
          <t>304.65%</t>
        </is>
      </c>
      <c r="I29" s="21" t="inlineStr">
        <is>
          <t>N/A</t>
        </is>
      </c>
      <c r="J29" s="21" t="n">
        <v>1</v>
      </c>
      <c r="K29" s="21" t="n">
        <v>2</v>
      </c>
      <c r="L29" s="21" t="inlineStr">
        <is>
          <t>28.10.2024 15:36:37</t>
        </is>
      </c>
      <c r="M29" s="21" t="inlineStr">
        <is>
          <t>6 min</t>
        </is>
      </c>
      <c r="N29" s="21" t="inlineStr">
        <is>
          <t xml:space="preserve">         12K            44K             7K</t>
        </is>
      </c>
      <c r="O29" s="21" t="inlineStr">
        <is>
          <t>2vuTTsSqRjjDcozauGTXcUYR3a7GVJsnKMcMLpxjpump</t>
        </is>
      </c>
      <c r="P29" s="21">
        <f>HYPERLINK("https://photon-sol.tinyastro.io/en/lp/2vuTTsSqRjjDcozauGTXcUYR3a7GVJsnKMcMLpxjpump?handle=676050794bc1b1657a56b", "View")</f>
        <v/>
      </c>
    </row>
    <row r="30">
      <c r="A30" s="16" t="inlineStr">
        <is>
          <t>LUNIX</t>
        </is>
      </c>
      <c r="B30" s="17" t="n">
        <v>7843901</v>
      </c>
      <c r="C30" s="17" t="n">
        <v>7843901</v>
      </c>
      <c r="D30" s="17" t="inlineStr">
        <is>
          <t>0.240010</t>
        </is>
      </c>
      <c r="E30" s="17" t="inlineStr">
        <is>
          <t>0.539 SOL</t>
        </is>
      </c>
      <c r="F30" s="17" t="inlineStr">
        <is>
          <t>2.802 SOL</t>
        </is>
      </c>
      <c r="G30" s="24" t="inlineStr">
        <is>
          <t>2.023 SOL</t>
        </is>
      </c>
      <c r="H30" s="24" t="inlineStr">
        <is>
          <t>259.77%</t>
        </is>
      </c>
      <c r="I30" s="17" t="inlineStr">
        <is>
          <t>N/A</t>
        </is>
      </c>
      <c r="J30" s="17" t="n">
        <v>1</v>
      </c>
      <c r="K30" s="17" t="n">
        <v>2</v>
      </c>
      <c r="L30" s="17" t="inlineStr">
        <is>
          <t>28.10.2024 15:12:54</t>
        </is>
      </c>
      <c r="M30" s="17" t="inlineStr">
        <is>
          <t>5 min</t>
        </is>
      </c>
      <c r="N30" s="17" t="inlineStr">
        <is>
          <t xml:space="preserve">         12K            63K             4K</t>
        </is>
      </c>
      <c r="O30" s="17" t="inlineStr">
        <is>
          <t>DsDzFKro1PRxCX2CAuAKaYuc9uHRhmgtbrYLwWa3pump</t>
        </is>
      </c>
      <c r="P30" s="17">
        <f>HYPERLINK("https://photon-sol.tinyastro.io/en/lp/DsDzFKro1PRxCX2CAuAKaYuc9uHRhmgtbrYLwWa3pump?handle=676050794bc1b1657a56b", "View")</f>
        <v/>
      </c>
    </row>
    <row r="31">
      <c r="A31" s="20" t="inlineStr">
        <is>
          <t>LIZZERD</t>
        </is>
      </c>
      <c r="B31" s="21" t="n">
        <v>3387378</v>
      </c>
      <c r="C31" s="21" t="n">
        <v>3387378</v>
      </c>
      <c r="D31" s="21" t="inlineStr">
        <is>
          <t>0.240010</t>
        </is>
      </c>
      <c r="E31" s="21" t="inlineStr">
        <is>
          <t>0.866 SOL</t>
        </is>
      </c>
      <c r="F31" s="21" t="inlineStr">
        <is>
          <t>0.465 SOL</t>
        </is>
      </c>
      <c r="G31" s="23" t="inlineStr">
        <is>
          <t>-0.641 SOL</t>
        </is>
      </c>
      <c r="H31" s="23" t="inlineStr">
        <is>
          <t>-57.95%</t>
        </is>
      </c>
      <c r="I31" s="21" t="inlineStr">
        <is>
          <t>N/A</t>
        </is>
      </c>
      <c r="J31" s="21" t="n">
        <v>1</v>
      </c>
      <c r="K31" s="21" t="n">
        <v>2</v>
      </c>
      <c r="L31" s="21" t="inlineStr">
        <is>
          <t>27.10.2024 14:32:10</t>
        </is>
      </c>
      <c r="M31" s="21" t="inlineStr">
        <is>
          <t>23 min</t>
        </is>
      </c>
      <c r="N31" s="21" t="inlineStr">
        <is>
          <t xml:space="preserve">         46K             9K             4K</t>
        </is>
      </c>
      <c r="O31" s="21" t="inlineStr">
        <is>
          <t>7FisD5QTeFBCd2vbAVs5PQ89vefLqz9Qhaqja6XRpump</t>
        </is>
      </c>
      <c r="P31" s="21">
        <f>HYPERLINK("https://photon-sol.tinyastro.io/en/lp/7FisD5QTeFBCd2vbAVs5PQ89vefLqz9Qhaqja6XRpump?handle=676050794bc1b1657a56b", "View")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HYPERLINK("https://gmgn.ai/sol/address/5L2VdnbQDDBLHBxLn79chKbszxbfZKkHp3ENHaErsPGA", "GMGN")</f>
        <v/>
      </c>
    </row>
    <row r="2">
      <c r="A2" s="3" t="inlineStr">
        <is>
          <t>5L2VdnbQDDBLHBxLn79chKbszxbfZKkHp3ENHaErsPGA</t>
        </is>
      </c>
      <c r="B2" s="3" t="inlineStr">
        <is>
          <t>9.26 SOL</t>
        </is>
      </c>
      <c r="C2" s="3" t="inlineStr">
        <is>
          <t>67%</t>
        </is>
      </c>
      <c r="D2" s="3" t="inlineStr">
        <is>
          <t>142%</t>
        </is>
      </c>
      <c r="E2" s="3" t="inlineStr">
        <is>
          <t>9.03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HYPERLINK("https://solscan.io/account/5L2VdnbQDDBLHBxLn79chKbszxbfZKkHp3ENHaErsPGA", "Solscan")</f>
        <v/>
      </c>
    </row>
    <row r="3">
      <c r="A3" s="7" t="inlineStr">
        <is>
          <t>Median ROI</t>
        </is>
      </c>
      <c r="B3" s="4" t="inlineStr">
        <is>
          <t>65.55%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HYPERLINK("https://birdeye.so/profile/5L2VdnbQDDBLHBxLn79chKbszxbfZKkHp3ENHaErsPGA", "Birdeye")</f>
        <v/>
      </c>
    </row>
    <row r="4">
      <c r="A4" s="7" t="inlineStr">
        <is>
          <t>Rockets percent</t>
        </is>
      </c>
      <c r="B4" s="3" t="inlineStr">
        <is>
          <t>22%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3</v>
      </c>
      <c r="E10" s="7" t="n">
        <v>1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11.1%</t>
        </is>
      </c>
      <c r="C11" s="7" t="inlineStr">
        <is>
          <t>11.1%</t>
        </is>
      </c>
      <c r="D11" s="7" t="inlineStr">
        <is>
          <t>33.3%</t>
        </is>
      </c>
      <c r="E11" s="7" t="inlineStr">
        <is>
          <t>11.1%</t>
        </is>
      </c>
      <c r="F11" s="7" t="inlineStr">
        <is>
          <t>22.2%</t>
        </is>
      </c>
      <c r="G11" s="7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6.6 SOL</t>
        </is>
      </c>
      <c r="C12" s="7" t="inlineStr">
        <is>
          <t>1.1 SOL</t>
        </is>
      </c>
      <c r="D12" s="7" t="inlineStr">
        <is>
          <t>1.9 SOL</t>
        </is>
      </c>
      <c r="E12" s="7" t="inlineStr">
        <is>
          <t>0.0 SOL</t>
        </is>
      </c>
      <c r="F12" s="7" t="inlineStr">
        <is>
          <t>-0.4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0.522 SOL</t>
        </is>
      </c>
      <c r="F20" s="17" t="inlineStr">
        <is>
          <t>0.543 SOL</t>
        </is>
      </c>
      <c r="G20" s="22" t="inlineStr">
        <is>
          <t>0.001 SOL</t>
        </is>
      </c>
      <c r="H20" s="22" t="inlineStr">
        <is>
          <t>0.20%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17:34:53</t>
        </is>
      </c>
      <c r="M20" s="17" t="inlineStr">
        <is>
          <t>3 min</t>
        </is>
      </c>
      <c r="N20" s="17" t="inlineStr">
        <is>
          <t xml:space="preserve">         11K            11K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0.190090</t>
        </is>
      </c>
      <c r="E21" s="21" t="inlineStr">
        <is>
          <t>0.586 SOL</t>
        </is>
      </c>
      <c r="F21" s="21" t="inlineStr">
        <is>
          <t>1.497 SOL</t>
        </is>
      </c>
      <c r="G21" s="24" t="inlineStr">
        <is>
          <t>0.720 SOL</t>
        </is>
      </c>
      <c r="H21" s="24" t="inlineStr">
        <is>
          <t>92.75%</t>
        </is>
      </c>
      <c r="I21" s="21" t="inlineStr">
        <is>
          <t>N/A</t>
        </is>
      </c>
      <c r="J21" s="21" t="n">
        <v>1</v>
      </c>
      <c r="K21" s="21" t="n">
        <v>18</v>
      </c>
      <c r="L21" s="21" t="inlineStr">
        <is>
          <t>30.10.2024 13:20:50</t>
        </is>
      </c>
      <c r="M21" s="21" t="inlineStr">
        <is>
          <t>4 min</t>
        </is>
      </c>
      <c r="N21" s="21" t="inlineStr">
        <is>
          <t xml:space="preserve">         12K            12K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10163367</v>
      </c>
      <c r="C22" s="17" t="n">
        <v>10163367</v>
      </c>
      <c r="D22" s="17" t="inlineStr">
        <is>
          <t>0.130060</t>
        </is>
      </c>
      <c r="E22" s="17" t="inlineStr">
        <is>
          <t>0.590 SOL</t>
        </is>
      </c>
      <c r="F22" s="17" t="inlineStr">
        <is>
          <t>1.779 SOL</t>
        </is>
      </c>
      <c r="G22" s="24" t="inlineStr">
        <is>
          <t>1.059 SOL</t>
        </is>
      </c>
      <c r="H22" s="24" t="inlineStr">
        <is>
          <t>147.10%</t>
        </is>
      </c>
      <c r="I22" s="17" t="inlineStr">
        <is>
          <t>N/A</t>
        </is>
      </c>
      <c r="J22" s="17" t="n">
        <v>1</v>
      </c>
      <c r="K22" s="17" t="n">
        <v>12</v>
      </c>
      <c r="L22" s="17" t="inlineStr">
        <is>
          <t>30.10.2024 06:27:45</t>
        </is>
      </c>
      <c r="M22" s="17" t="inlineStr">
        <is>
          <t>7 min</t>
        </is>
      </c>
      <c r="N22" s="17" t="inlineStr">
        <is>
          <t xml:space="preserve">         11K            14K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Torin</t>
        </is>
      </c>
      <c r="B23" s="21" t="n">
        <v>8831328</v>
      </c>
      <c r="C23" s="21" t="n">
        <v>8831328</v>
      </c>
      <c r="D23" s="21" t="inlineStr">
        <is>
          <t>0.610300</t>
        </is>
      </c>
      <c r="E23" s="21" t="inlineStr">
        <is>
          <t>0.392 SOL</t>
        </is>
      </c>
      <c r="F23" s="21" t="inlineStr">
        <is>
          <t>7.611 SOL</t>
        </is>
      </c>
      <c r="G23" s="24" t="inlineStr">
        <is>
          <t>6.609 SOL</t>
        </is>
      </c>
      <c r="H23" s="24" t="inlineStr">
        <is>
          <t>659.65%</t>
        </is>
      </c>
      <c r="I23" s="21" t="inlineStr">
        <is>
          <t>N/A</t>
        </is>
      </c>
      <c r="J23" s="21" t="n">
        <v>1</v>
      </c>
      <c r="K23" s="21" t="n">
        <v>60</v>
      </c>
      <c r="L23" s="21" t="inlineStr">
        <is>
          <t>30.10.2024 06:17:46</t>
        </is>
      </c>
      <c r="M23" s="21" t="inlineStr">
        <is>
          <t>7 min</t>
        </is>
      </c>
      <c r="N23" s="21" t="inlineStr">
        <is>
          <t xml:space="preserve">          7K           102K             7K</t>
        </is>
      </c>
      <c r="O23" s="21" t="inlineStr">
        <is>
          <t>ALKTKLRTyF3P83KMCAvGEtY4CsoMzvh1k38uixCgpump</t>
        </is>
      </c>
      <c r="P23" s="21">
        <f>HYPERLINK("https://photon-sol.tinyastro.io/en/lp/ALKTKLRTyF3P83KMCAvGEtY4CsoMzvh1k38uixCgpump?handle=676050794bc1b1657a56b", "View")</f>
        <v/>
      </c>
    </row>
    <row r="24">
      <c r="A24" s="16" t="inlineStr">
        <is>
          <t>Butters</t>
        </is>
      </c>
      <c r="B24" s="17" t="n">
        <v>7929767</v>
      </c>
      <c r="C24" s="17" t="n">
        <v>7929767</v>
      </c>
      <c r="D24" s="17" t="inlineStr">
        <is>
          <t>0.020010</t>
        </is>
      </c>
      <c r="E24" s="17" t="inlineStr">
        <is>
          <t>0.538 SOL</t>
        </is>
      </c>
      <c r="F24" s="17" t="inlineStr">
        <is>
          <t>0.923 SOL</t>
        </is>
      </c>
      <c r="G24" s="24" t="inlineStr">
        <is>
          <t>0.366 SOL</t>
        </is>
      </c>
      <c r="H24" s="24" t="inlineStr">
        <is>
          <t>65.55%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18:24:57</t>
        </is>
      </c>
      <c r="M24" s="17" t="inlineStr">
        <is>
          <t>7 min</t>
        </is>
      </c>
      <c r="N24" s="17" t="inlineStr">
        <is>
          <t xml:space="preserve">         12K            21K             4K</t>
        </is>
      </c>
      <c r="O24" s="17" t="inlineStr">
        <is>
          <t>BFc3G2JaqZA3eCJzWiSMhGZp7aXwonXETtr2Nudppump</t>
        </is>
      </c>
      <c r="P24" s="17">
        <f>HYPERLINK("https://photon-sol.tinyastro.io/en/lp/BFc3G2JaqZA3eCJzWiSMhGZp7aXwonXETtr2Nudppump?handle=676050794bc1b1657a56b", "View")</f>
        <v/>
      </c>
    </row>
    <row r="25">
      <c r="A25" s="20" t="inlineStr">
        <is>
          <t>Nina</t>
        </is>
      </c>
      <c r="B25" s="21" t="n">
        <v>11778199</v>
      </c>
      <c r="C25" s="21" t="n">
        <v>11778199</v>
      </c>
      <c r="D25" s="21" t="inlineStr">
        <is>
          <t>0.020010</t>
        </is>
      </c>
      <c r="E25" s="21" t="inlineStr">
        <is>
          <t>0.806 SOL</t>
        </is>
      </c>
      <c r="F25" s="21" t="inlineStr">
        <is>
          <t>0.726 SOL</t>
        </is>
      </c>
      <c r="G25" s="25" t="inlineStr">
        <is>
          <t>-0.100 SOL</t>
        </is>
      </c>
      <c r="H25" s="25" t="inlineStr">
        <is>
          <t>-12.07%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15:47:07</t>
        </is>
      </c>
      <c r="M25" s="21" t="inlineStr">
        <is>
          <t>4 min</t>
        </is>
      </c>
      <c r="N25" s="21" t="inlineStr">
        <is>
          <t xml:space="preserve">         12K            11K             5K</t>
        </is>
      </c>
      <c r="O25" s="21" t="inlineStr">
        <is>
          <t>CDkwBE7pPovZLJC2KxM7jvWXkyygR1Y1u2R7f6hmpump</t>
        </is>
      </c>
      <c r="P25" s="21">
        <f>HYPERLINK("https://photon-sol.tinyastro.io/en/lp/CDkwBE7pPovZLJC2KxM7jvWXkyygR1Y1u2R7f6hmpump?handle=676050794bc1b1657a56b", "View")</f>
        <v/>
      </c>
    </row>
    <row r="26">
      <c r="A26" s="16" t="inlineStr">
        <is>
          <t>MOLANG</t>
        </is>
      </c>
      <c r="B26" s="17" t="n">
        <v>1793028</v>
      </c>
      <c r="C26" s="17" t="n">
        <v>1793028</v>
      </c>
      <c r="D26" s="17" t="inlineStr">
        <is>
          <t>0.220020</t>
        </is>
      </c>
      <c r="E26" s="17" t="inlineStr">
        <is>
          <t>0.544 SOL</t>
        </is>
      </c>
      <c r="F26" s="17" t="inlineStr">
        <is>
          <t>0.470 SOL</t>
        </is>
      </c>
      <c r="G26" s="25" t="inlineStr">
        <is>
          <t>-0.294 SOL</t>
        </is>
      </c>
      <c r="H26" s="25" t="inlineStr">
        <is>
          <t>-38.49%</t>
        </is>
      </c>
      <c r="I26" s="17" t="inlineStr">
        <is>
          <t>N/A</t>
        </is>
      </c>
      <c r="J26" s="17" t="n">
        <v>2</v>
      </c>
      <c r="K26" s="17" t="n">
        <v>2</v>
      </c>
      <c r="L26" s="17" t="inlineStr">
        <is>
          <t>29.10.2024 14:48:15</t>
        </is>
      </c>
      <c r="M26" s="17" t="inlineStr">
        <is>
          <t>10 min</t>
        </is>
      </c>
      <c r="N26" s="17" t="inlineStr">
        <is>
          <t xml:space="preserve">         54K            32K             4K</t>
        </is>
      </c>
      <c r="O26" s="17" t="inlineStr">
        <is>
          <t>BPFXTGBjoARa89gbSvbp7Dy6cQwgGc7efW1jE8nTpump</t>
        </is>
      </c>
      <c r="P26" s="17">
        <f>HYPERLINK("https://photon-sol.tinyastro.io/en/lp/BPFXTGBjoARa89gbSvbp7Dy6cQwgGc7efW1jE8nTpump?handle=676050794bc1b1657a56b", "View")</f>
        <v/>
      </c>
    </row>
    <row r="27">
      <c r="A27" s="20" t="inlineStr">
        <is>
          <t>Trina</t>
        </is>
      </c>
      <c r="B27" s="21" t="n">
        <v>11384893</v>
      </c>
      <c r="C27" s="21" t="n">
        <v>11384893</v>
      </c>
      <c r="D27" s="21" t="inlineStr">
        <is>
          <t>0.420160</t>
        </is>
      </c>
      <c r="E27" s="21" t="inlineStr">
        <is>
          <t>0.505 SOL</t>
        </is>
      </c>
      <c r="F27" s="21" t="inlineStr">
        <is>
          <t>1.717 SOL</t>
        </is>
      </c>
      <c r="G27" s="24" t="inlineStr">
        <is>
          <t>0.792 SOL</t>
        </is>
      </c>
      <c r="H27" s="24" t="inlineStr">
        <is>
          <t>85.55%</t>
        </is>
      </c>
      <c r="I27" s="21" t="inlineStr">
        <is>
          <t>N/A</t>
        </is>
      </c>
      <c r="J27" s="21" t="n">
        <v>1</v>
      </c>
      <c r="K27" s="21" t="n">
        <v>32</v>
      </c>
      <c r="L27" s="21" t="inlineStr">
        <is>
          <t>29.10.2024 13:33:44</t>
        </is>
      </c>
      <c r="M27" s="21" t="inlineStr">
        <is>
          <t>10 min</t>
        </is>
      </c>
      <c r="N27" s="21" t="inlineStr">
        <is>
          <t xml:space="preserve">          7K             9K             4K</t>
        </is>
      </c>
      <c r="O27" s="21" t="inlineStr">
        <is>
          <t>DirQ7FDi1C5SZCy8ai1GTSvnm9o8MDf9s4C4cExzpump</t>
        </is>
      </c>
      <c r="P27" s="21">
        <f>HYPERLINK("https://photon-sol.tinyastro.io/en/lp/DirQ7FDi1C5SZCy8ai1GTSvnm9o8MDf9s4C4cExzpump?handle=676050794bc1b1657a56b", "View")</f>
        <v/>
      </c>
    </row>
    <row r="28">
      <c r="A28" s="16" t="inlineStr">
        <is>
          <t>Trina</t>
        </is>
      </c>
      <c r="B28" s="17" t="n">
        <v>585788</v>
      </c>
      <c r="C28" s="17" t="n">
        <v>585788</v>
      </c>
      <c r="D28" s="17" t="inlineStr">
        <is>
          <t>0.110010</t>
        </is>
      </c>
      <c r="E28" s="17" t="inlineStr">
        <is>
          <t>0.131 SOL</t>
        </is>
      </c>
      <c r="F28" s="17" t="inlineStr">
        <is>
          <t>0.119 SOL</t>
        </is>
      </c>
      <c r="G28" s="23" t="inlineStr">
        <is>
          <t>-0.122 SOL</t>
        </is>
      </c>
      <c r="H28" s="23" t="inlineStr">
        <is>
          <t>-50.52%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13:22:14</t>
        </is>
      </c>
      <c r="M28" s="17" t="inlineStr">
        <is>
          <t>8 min</t>
        </is>
      </c>
      <c r="N28" s="17" t="inlineStr">
        <is>
          <t xml:space="preserve">         39K            35K             5K</t>
        </is>
      </c>
      <c r="O28" s="17" t="inlineStr">
        <is>
          <t>CsT44i2W2MWp23WQ2EqjorxZVVzuN4niw1cj1Qr5pump</t>
        </is>
      </c>
      <c r="P28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HYPERLINK("https://gmgn.ai/sol/address/DSsSCWgC7rfYfLUvQBt2QEgwLHretBbmxPCgWMwb49pB", "GMGN")</f>
        <v/>
      </c>
    </row>
    <row r="2">
      <c r="A2" s="3" t="inlineStr">
        <is>
          <t>DSsSCWgC7rfYfLUvQBt2QEgwLHretBbmxPCgWMwb49pB</t>
        </is>
      </c>
      <c r="B2" s="3" t="inlineStr">
        <is>
          <t>9.00 SOL</t>
        </is>
      </c>
      <c r="C2" s="3" t="inlineStr">
        <is>
          <t>63%</t>
        </is>
      </c>
      <c r="D2" s="3" t="inlineStr">
        <is>
          <t>157%</t>
        </is>
      </c>
      <c r="E2" s="3" t="inlineStr">
        <is>
          <t>8.73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HYPERLINK("https://solscan.io/account/DSsSCWgC7rfYfLUvQBt2QEgwLHretBbmxPCgWMwb49pB", "Solscan")</f>
        <v/>
      </c>
    </row>
    <row r="3">
      <c r="A3" s="7" t="inlineStr">
        <is>
          <t>Median ROI</t>
        </is>
      </c>
      <c r="B3" s="4" t="inlineStr">
        <is>
          <t>50.45%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HYPERLINK("https://birdeye.so/profile/DSsSCWgC7rfYfLUvQBt2QEgwLHretBbmxPCgWMwb49pB", "Birdeye")</f>
        <v/>
      </c>
    </row>
    <row r="4">
      <c r="A4" s="7" t="inlineStr">
        <is>
          <t>Rockets percent</t>
        </is>
      </c>
      <c r="B4" s="4" t="inlineStr">
        <is>
          <t>38%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2</v>
      </c>
      <c r="D10" s="7" t="n">
        <v>1</v>
      </c>
      <c r="E10" s="7" t="n">
        <v>1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25.0%</t>
        </is>
      </c>
      <c r="D11" s="7" t="inlineStr">
        <is>
          <t>12.5%</t>
        </is>
      </c>
      <c r="E11" s="7" t="inlineStr">
        <is>
          <t>12.5%</t>
        </is>
      </c>
      <c r="F11" s="7" t="inlineStr">
        <is>
          <t>25.0%</t>
        </is>
      </c>
      <c r="G11" s="7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6.1 SOL</t>
        </is>
      </c>
      <c r="C12" s="7" t="inlineStr">
        <is>
          <t>2.2 SOL</t>
        </is>
      </c>
      <c r="D12" s="7" t="inlineStr">
        <is>
          <t>0.8 SOL</t>
        </is>
      </c>
      <c r="E12" s="7" t="inlineStr">
        <is>
          <t>0.1 SOL</t>
        </is>
      </c>
      <c r="F12" s="7" t="inlineStr">
        <is>
          <t>-0.4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11.5K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Liberty</t>
        </is>
      </c>
      <c r="B20" s="17" t="n">
        <v>8959841</v>
      </c>
      <c r="C20" s="17" t="n">
        <v>8959841</v>
      </c>
      <c r="D20" s="17" t="inlineStr">
        <is>
          <t>0.210100</t>
        </is>
      </c>
      <c r="E20" s="17" t="inlineStr">
        <is>
          <t>0.616 SOL</t>
        </is>
      </c>
      <c r="F20" s="17" t="inlineStr">
        <is>
          <t>1.657 SOL</t>
        </is>
      </c>
      <c r="G20" s="24" t="inlineStr">
        <is>
          <t>0.831 SOL</t>
        </is>
      </c>
      <c r="H20" s="24" t="inlineStr">
        <is>
          <t>100.61%</t>
        </is>
      </c>
      <c r="I20" s="17" t="inlineStr">
        <is>
          <t>N/A</t>
        </is>
      </c>
      <c r="J20" s="17" t="n">
        <v>1</v>
      </c>
      <c r="K20" s="17" t="n">
        <v>20</v>
      </c>
      <c r="L20" s="17" t="inlineStr">
        <is>
          <t>30.10.2024 13:20:49</t>
        </is>
      </c>
      <c r="M20" s="17" t="inlineStr">
        <is>
          <t>4 min</t>
        </is>
      </c>
      <c r="N20" s="17" t="inlineStr">
        <is>
          <t xml:space="preserve">         12K            12K             5K</t>
        </is>
      </c>
      <c r="O20" s="17" t="inlineStr">
        <is>
          <t>CqBmg5ZUoaPg5Yx5uAKYzpyRcXme2UpVmZ8U5iotpump</t>
        </is>
      </c>
      <c r="P20" s="17">
        <f>HYPERLINK("https://photon-sol.tinyastro.io/en/lp/CqBmg5ZUoaPg5Yx5uAKYzpyRcXme2UpVmZ8U5iotpump?handle=676050794bc1b1657a56b", "View")</f>
        <v/>
      </c>
    </row>
    <row r="21">
      <c r="A21" s="20" t="inlineStr">
        <is>
          <t>Torin</t>
        </is>
      </c>
      <c r="B21" s="21" t="n">
        <v>10163367</v>
      </c>
      <c r="C21" s="21" t="n">
        <v>10163367</v>
      </c>
      <c r="D21" s="21" t="inlineStr">
        <is>
          <t>0.150070</t>
        </is>
      </c>
      <c r="E21" s="21" t="inlineStr">
        <is>
          <t>0.414 SOL</t>
        </is>
      </c>
      <c r="F21" s="21" t="inlineStr">
        <is>
          <t>1.979 SOL</t>
        </is>
      </c>
      <c r="G21" s="24" t="inlineStr">
        <is>
          <t>1.415 SOL</t>
        </is>
      </c>
      <c r="H21" s="24" t="inlineStr">
        <is>
          <t>250.67%</t>
        </is>
      </c>
      <c r="I21" s="21" t="inlineStr">
        <is>
          <t>N/A</t>
        </is>
      </c>
      <c r="J21" s="21" t="n">
        <v>1</v>
      </c>
      <c r="K21" s="21" t="n">
        <v>14</v>
      </c>
      <c r="L21" s="21" t="inlineStr">
        <is>
          <t>30.10.2024 06:27:36</t>
        </is>
      </c>
      <c r="M21" s="21" t="inlineStr">
        <is>
          <t>6 min</t>
        </is>
      </c>
      <c r="N21" s="21" t="inlineStr">
        <is>
          <t xml:space="preserve">          7K            19K             3K</t>
        </is>
      </c>
      <c r="O21" s="21" t="inlineStr">
        <is>
          <t>HxdzGHd2jLF12UHjgFKCb6zMzgfqGnwRvwKweXmXpump</t>
        </is>
      </c>
      <c r="P21" s="21">
        <f>HYPERLINK("https://photon-sol.tinyastro.io/en/lp/HxdzGHd2jLF12UHjgFKCb6zMzgfqGnwRvwKweXmXpump?handle=676050794bc1b1657a56b",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0.590290</t>
        </is>
      </c>
      <c r="E22" s="17" t="inlineStr">
        <is>
          <t>0.384 SOL</t>
        </is>
      </c>
      <c r="F22" s="17" t="inlineStr">
        <is>
          <t>7.120 SOL</t>
        </is>
      </c>
      <c r="G22" s="24" t="inlineStr">
        <is>
          <t>6.146 SOL</t>
        </is>
      </c>
      <c r="H22" s="24" t="inlineStr">
        <is>
          <t>630.70%</t>
        </is>
      </c>
      <c r="I22" s="17" t="inlineStr">
        <is>
          <t>N/A</t>
        </is>
      </c>
      <c r="J22" s="17" t="n">
        <v>1</v>
      </c>
      <c r="K22" s="17" t="n">
        <v>58</v>
      </c>
      <c r="L22" s="17" t="inlineStr">
        <is>
          <t>30.10.2024 06:17:46</t>
        </is>
      </c>
      <c r="M22" s="17" t="inlineStr">
        <is>
          <t>7 min</t>
        </is>
      </c>
      <c r="N22" s="17" t="inlineStr">
        <is>
          <t xml:space="preserve">          7K           102K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Butters</t>
        </is>
      </c>
      <c r="B23" s="21" t="n">
        <v>7929767</v>
      </c>
      <c r="C23" s="21" t="n">
        <v>7929767</v>
      </c>
      <c r="D23" s="21" t="inlineStr">
        <is>
          <t>0.020010</t>
        </is>
      </c>
      <c r="E23" s="21" t="inlineStr">
        <is>
          <t>0.575 SOL</t>
        </is>
      </c>
      <c r="F23" s="21" t="inlineStr">
        <is>
          <t>0.572 SOL</t>
        </is>
      </c>
      <c r="G23" s="25" t="inlineStr">
        <is>
          <t>-0.022 SOL</t>
        </is>
      </c>
      <c r="H23" s="25" t="inlineStr">
        <is>
          <t>-3.77%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18:25:21</t>
        </is>
      </c>
      <c r="M23" s="21" t="inlineStr">
        <is>
          <t>8 min</t>
        </is>
      </c>
      <c r="N23" s="21" t="inlineStr">
        <is>
          <t xml:space="preserve">         12K            12K             4K</t>
        </is>
      </c>
      <c r="O23" s="21" t="inlineStr">
        <is>
          <t>BFc3G2JaqZA3eCJzWiSMhGZp7aXwonXETtr2Nudppump</t>
        </is>
      </c>
      <c r="P23" s="21">
        <f>HYPERLINK("https://photon-sol.tinyastro.io/en/lp/BFc3G2JaqZA3eCJzWiSMhGZp7aXwonXETtr2Nudppump?handle=676050794bc1b1657a56b", "View")</f>
        <v/>
      </c>
    </row>
    <row r="24">
      <c r="A24" s="16" t="inlineStr">
        <is>
          <t>Nina</t>
        </is>
      </c>
      <c r="B24" s="17" t="n">
        <v>11778199</v>
      </c>
      <c r="C24" s="17" t="n">
        <v>11778199</v>
      </c>
      <c r="D24" s="17" t="inlineStr">
        <is>
          <t>0.020010</t>
        </is>
      </c>
      <c r="E24" s="17" t="inlineStr">
        <is>
          <t>0.732 SOL</t>
        </is>
      </c>
      <c r="F24" s="17" t="inlineStr">
        <is>
          <t>0.814 SOL</t>
        </is>
      </c>
      <c r="G24" s="22" t="inlineStr">
        <is>
          <t>0.062 SOL</t>
        </is>
      </c>
      <c r="H24" s="22" t="inlineStr">
        <is>
          <t>8.25%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15:46:54</t>
        </is>
      </c>
      <c r="M24" s="17" t="inlineStr">
        <is>
          <t>4 min</t>
        </is>
      </c>
      <c r="N24" s="17" t="inlineStr">
        <is>
          <t xml:space="preserve">         11K            12K             5K</t>
        </is>
      </c>
      <c r="O24" s="17" t="inlineStr">
        <is>
          <t>CDkwBE7pPovZLJC2KxM7jvWXkyygR1Y1u2R7f6hmpump</t>
        </is>
      </c>
      <c r="P24" s="17">
        <f>HYPERLINK("https://photon-sol.tinyastro.io/en/lp/CDkwBE7pPovZLJC2KxM7jvWXkyygR1Y1u2R7f6hmpump?handle=676050794bc1b1657a56b", "View")</f>
        <v/>
      </c>
    </row>
    <row r="25">
      <c r="A25" s="20" t="inlineStr">
        <is>
          <t>MOLANG</t>
        </is>
      </c>
      <c r="B25" s="21" t="n">
        <v>1793028</v>
      </c>
      <c r="C25" s="21" t="n">
        <v>1793028</v>
      </c>
      <c r="D25" s="21" t="inlineStr">
        <is>
          <t>0.220020</t>
        </is>
      </c>
      <c r="E25" s="21" t="inlineStr">
        <is>
          <t>0.550 SOL</t>
        </is>
      </c>
      <c r="F25" s="21" t="inlineStr">
        <is>
          <t>0.419 SOL</t>
        </is>
      </c>
      <c r="G25" s="25" t="inlineStr">
        <is>
          <t>-0.351 SOL</t>
        </is>
      </c>
      <c r="H25" s="25" t="inlineStr">
        <is>
          <t>-45.55%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14:48:15</t>
        </is>
      </c>
      <c r="M25" s="21" t="inlineStr">
        <is>
          <t>10 min</t>
        </is>
      </c>
      <c r="N25" s="21" t="inlineStr">
        <is>
          <t xml:space="preserve">         54K            32K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Trina</t>
        </is>
      </c>
      <c r="B26" s="17" t="n">
        <v>11384893</v>
      </c>
      <c r="C26" s="17" t="n">
        <v>11384893</v>
      </c>
      <c r="D26" s="17" t="inlineStr">
        <is>
          <t>0.390150</t>
        </is>
      </c>
      <c r="E26" s="17" t="inlineStr">
        <is>
          <t>0.447 SOL</t>
        </is>
      </c>
      <c r="F26" s="17" t="inlineStr">
        <is>
          <t>1.612 SOL</t>
        </is>
      </c>
      <c r="G26" s="24" t="inlineStr">
        <is>
          <t>0.775 SOL</t>
        </is>
      </c>
      <c r="H26" s="24" t="inlineStr">
        <is>
          <t>92.65%</t>
        </is>
      </c>
      <c r="I26" s="17" t="inlineStr">
        <is>
          <t>N/A</t>
        </is>
      </c>
      <c r="J26" s="17" t="n">
        <v>1</v>
      </c>
      <c r="K26" s="17" t="n">
        <v>29</v>
      </c>
      <c r="L26" s="17" t="inlineStr">
        <is>
          <t>29.10.2024 13:33:41</t>
        </is>
      </c>
      <c r="M26" s="17" t="inlineStr">
        <is>
          <t>10 min</t>
        </is>
      </c>
      <c r="N26" s="17" t="inlineStr">
        <is>
          <t xml:space="preserve">          7K            11K             4K</t>
        </is>
      </c>
      <c r="O26" s="17" t="inlineStr">
        <is>
          <t>DirQ7FDi1C5SZCy8ai1GTSvnm9o8MDf9s4C4cExzpump</t>
        </is>
      </c>
      <c r="P26" s="17">
        <f>HYPERLINK("https://photon-sol.tinyastro.io/en/lp/DirQ7FDi1C5SZCy8ai1GTSvnm9o8MDf9s4C4cExzpump?handle=676050794bc1b1657a56b", "View")</f>
        <v/>
      </c>
    </row>
    <row r="27">
      <c r="A27" s="20" t="inlineStr">
        <is>
          <t>Trina</t>
        </is>
      </c>
      <c r="B27" s="21" t="n">
        <v>585788</v>
      </c>
      <c r="C27" s="21" t="n">
        <v>585788</v>
      </c>
      <c r="D27" s="21" t="inlineStr">
        <is>
          <t>0.110010</t>
        </is>
      </c>
      <c r="E27" s="21" t="inlineStr">
        <is>
          <t>0.131 SOL</t>
        </is>
      </c>
      <c r="F27" s="21" t="inlineStr">
        <is>
          <t>0.118 SOL</t>
        </is>
      </c>
      <c r="G27" s="23" t="inlineStr">
        <is>
          <t>-0.123 SOL</t>
        </is>
      </c>
      <c r="H27" s="23" t="inlineStr">
        <is>
          <t>-51.12%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13:22:12</t>
        </is>
      </c>
      <c r="M27" s="21" t="inlineStr">
        <is>
          <t>8 min</t>
        </is>
      </c>
      <c r="N27" s="21" t="inlineStr">
        <is>
          <t xml:space="preserve">         39K            35K             5K</t>
        </is>
      </c>
      <c r="O27" s="21" t="inlineStr">
        <is>
          <t>CsT44i2W2MWp23WQ2EqjorxZVVzuN4niw1cj1Qr5pump</t>
        </is>
      </c>
      <c r="P27" s="21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HYPERLINK("https://gmgn.ai/sol/address/3p2CpeP8gbVRDoFLr5a3mXzRdwGMp1VCHP4RhthE5Rzo", "GMGN")</f>
        <v/>
      </c>
    </row>
    <row r="2">
      <c r="A2" s="3" t="inlineStr">
        <is>
          <t>3p2CpeP8gbVRDoFLr5a3mXzRdwGMp1VCHP4RhthE5Rzo</t>
        </is>
      </c>
      <c r="B2" s="3" t="inlineStr">
        <is>
          <t>13.42 SOL</t>
        </is>
      </c>
      <c r="C2" s="3" t="inlineStr">
        <is>
          <t>14%</t>
        </is>
      </c>
      <c r="D2" s="3" t="inlineStr">
        <is>
          <t>7%</t>
        </is>
      </c>
      <c r="E2" s="3" t="inlineStr">
        <is>
          <t>5.54 SOL</t>
        </is>
      </c>
      <c r="F2" s="3" t="inlineStr">
        <is>
          <t>0 (0%)</t>
        </is>
      </c>
      <c r="G2" s="3" t="inlineStr">
        <is>
          <t>0 (0%)</t>
        </is>
      </c>
      <c r="H2" s="3" t="n">
        <v>14</v>
      </c>
      <c r="I2" s="3" t="n">
        <v>0</v>
      </c>
      <c r="J2" s="3" t="inlineStr">
        <is>
          <t>6 days</t>
        </is>
      </c>
      <c r="K2" s="3" t="inlineStr">
        <is>
          <t>2 days</t>
        </is>
      </c>
      <c r="L2" s="3" t="n">
        <v>7</v>
      </c>
      <c r="M2" s="3" t="n">
        <v>7</v>
      </c>
      <c r="N2" s="3">
        <f>HYPERLINK("https://solscan.io/account/3p2CpeP8gbVRDoFLr5a3mXzRdwGMp1VCHP4RhthE5Rzo",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HYPERLINK("https://birdeye.so/profile/3p2CpeP8gbVRDoFLr5a3mXzRdwGMp1VCHP4RhthE5Rzo", "Birdeye")</f>
        <v/>
      </c>
    </row>
    <row r="4">
      <c r="A4" s="7" t="inlineStr">
        <is>
          <t>Rockets percent</t>
        </is>
      </c>
      <c r="B4" s="3" t="inlineStr">
        <is>
          <t>7%</t>
        </is>
      </c>
      <c r="C4" s="3" t="inlineStr"/>
      <c r="D4" s="3" t="inlineStr">
        <is>
          <t>110%</t>
        </is>
      </c>
      <c r="E4" s="3" t="inlineStr">
        <is>
          <t>96.23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163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1.6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1</v>
      </c>
      <c r="D10" s="7" t="n">
        <v>0</v>
      </c>
      <c r="E10" s="7" t="n">
        <v>1</v>
      </c>
      <c r="F10" s="7" t="n">
        <v>0</v>
      </c>
      <c r="G10" s="7" t="n">
        <v>12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7.1%</t>
        </is>
      </c>
      <c r="D11" s="7" t="inlineStr">
        <is>
          <t>0.0%</t>
        </is>
      </c>
      <c r="E11" s="7" t="inlineStr">
        <is>
          <t>7.1%</t>
        </is>
      </c>
      <c r="F11" s="7" t="inlineStr">
        <is>
          <t>0.0%</t>
        </is>
      </c>
      <c r="G11" s="7" t="inlineStr">
        <is>
          <t>85.7%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42.9 SOL</t>
        </is>
      </c>
      <c r="D12" s="7" t="inlineStr">
        <is>
          <t>0.0 SOL</t>
        </is>
      </c>
      <c r="E12" s="7" t="inlineStr">
        <is>
          <t>3.3 SOL</t>
        </is>
      </c>
      <c r="F12" s="7" t="inlineStr">
        <is>
          <t>0.0 SOL</t>
        </is>
      </c>
      <c r="G12" s="7" t="inlineStr">
        <is>
          <t>-40.7 SOL</t>
        </is>
      </c>
      <c r="H12" s="3" t="n"/>
      <c r="I12" s="3" t="inlineStr">
        <is>
          <t>30k-100k</t>
        </is>
      </c>
      <c r="J12" s="3" t="inlineStr">
        <is>
          <t>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47.5K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Rex</t>
        </is>
      </c>
      <c r="B20" s="17" t="n">
        <v>4943198</v>
      </c>
      <c r="C20" s="17" t="n">
        <v>3333333</v>
      </c>
      <c r="D20" s="17" t="inlineStr">
        <is>
          <t>0.000050</t>
        </is>
      </c>
      <c r="E20" s="17" t="inlineStr">
        <is>
          <t>7.050 SOL</t>
        </is>
      </c>
      <c r="F20" s="17" t="inlineStr">
        <is>
          <t>10.388 SOL</t>
        </is>
      </c>
      <c r="G20" s="22" t="inlineStr">
        <is>
          <t>3.338 SOL</t>
        </is>
      </c>
      <c r="H20" s="22" t="inlineStr">
        <is>
          <t>47.35%</t>
        </is>
      </c>
      <c r="I20" s="17" t="inlineStr">
        <is>
          <t>N/A</t>
        </is>
      </c>
      <c r="J20" s="17" t="n">
        <v>2</v>
      </c>
      <c r="K20" s="17" t="n">
        <v>1</v>
      </c>
      <c r="L20" s="17" t="inlineStr">
        <is>
          <t>30.10.2024 17:33:40</t>
        </is>
      </c>
      <c r="M20" s="17" t="inlineStr">
        <is>
          <t>6 hours</t>
        </is>
      </c>
      <c r="N20" s="17" t="inlineStr">
        <is>
          <t xml:space="preserve">        312K           197K           585K</t>
        </is>
      </c>
      <c r="O20" s="17" t="inlineStr">
        <is>
          <t>Hm4dVV7PtackAn2ePAv4kPNVxfhFahxndCJHCYqdpump</t>
        </is>
      </c>
      <c r="P20" s="17">
        <f>HYPERLINK("https://dexscreener.com/solana/Hm4dVV7PtackAn2ePAv4kPNVxfhFahxndCJHCYqdpump", "View")</f>
        <v/>
      </c>
    </row>
    <row r="21">
      <c r="A21" s="20" t="inlineStr">
        <is>
          <t>foo</t>
        </is>
      </c>
      <c r="B21" s="21" t="n">
        <v>4515665</v>
      </c>
      <c r="C21" s="21" t="n">
        <v>0</v>
      </c>
      <c r="D21" s="21" t="inlineStr">
        <is>
          <t>0.004960</t>
        </is>
      </c>
      <c r="E21" s="21" t="inlineStr">
        <is>
          <t>1.150 SOL</t>
        </is>
      </c>
      <c r="F21" s="21" t="inlineStr">
        <is>
          <t>0.000 SOL</t>
        </is>
      </c>
      <c r="G21" s="18" t="inlineStr">
        <is>
          <t>-1.155 SOL</t>
        </is>
      </c>
      <c r="H21" s="18" t="inlineStr">
        <is>
          <t>0.00%</t>
        </is>
      </c>
      <c r="I21" s="21" t="inlineStr">
        <is>
          <t>4,515,665</t>
        </is>
      </c>
      <c r="J21" s="21" t="n">
        <v>1</v>
      </c>
      <c r="K21" s="21" t="n">
        <v>0</v>
      </c>
      <c r="L21" s="21" t="inlineStr">
        <is>
          <t>30.10.2024 17:07:22</t>
        </is>
      </c>
      <c r="M21" s="19" t="inlineStr">
        <is>
          <t>0 sec</t>
        </is>
      </c>
      <c r="N21" s="21" t="inlineStr">
        <is>
          <t xml:space="preserve">         44K            44K             7K</t>
        </is>
      </c>
      <c r="O21" s="21" t="inlineStr">
        <is>
          <t>41g7KyGh4u6QFkZAEEK1cLYjHfg6TMWECE1YTc5apump</t>
        </is>
      </c>
      <c r="P21" s="21">
        <f>HYPERLINK("https://dexscreener.com/solana/41g7KyGh4u6QFkZAEEK1cLYjHfg6TMWECE1YTc5apump", "View")</f>
        <v/>
      </c>
    </row>
    <row r="22">
      <c r="A22" s="16" t="inlineStr">
        <is>
          <t>Croco</t>
        </is>
      </c>
      <c r="B22" s="17" t="n">
        <v>23989630</v>
      </c>
      <c r="C22" s="17" t="n">
        <v>0</v>
      </c>
      <c r="D22" s="17" t="inlineStr">
        <is>
          <t>0.000420</t>
        </is>
      </c>
      <c r="E22" s="17" t="inlineStr">
        <is>
          <t>0.861 SOL</t>
        </is>
      </c>
      <c r="F22" s="17" t="inlineStr">
        <is>
          <t>0.000 SOL</t>
        </is>
      </c>
      <c r="G22" s="18" t="inlineStr">
        <is>
          <t>-0.861 SOL</t>
        </is>
      </c>
      <c r="H22" s="18" t="inlineStr">
        <is>
          <t>0.00%</t>
        </is>
      </c>
      <c r="I22" s="17" t="inlineStr">
        <is>
          <t>23,989,630</t>
        </is>
      </c>
      <c r="J22" s="17" t="n">
        <v>1</v>
      </c>
      <c r="K22" s="17" t="n">
        <v>0</v>
      </c>
      <c r="L22" s="17" t="inlineStr">
        <is>
          <t>30.10.2024 14:44:48</t>
        </is>
      </c>
      <c r="M22" s="19" t="inlineStr">
        <is>
          <t>0 sec</t>
        </is>
      </c>
      <c r="N22" s="17" t="inlineStr">
        <is>
          <t xml:space="preserve">          7K             7K             5K</t>
        </is>
      </c>
      <c r="O22" s="17" t="inlineStr">
        <is>
          <t>bSPifrxupQPYfrh45hujTph3GoiPCHs5F85Li65pump</t>
        </is>
      </c>
      <c r="P22" s="17">
        <f>HYPERLINK("https://photon-sol.tinyastro.io/en/lp/bSPifrxupQPYfrh45hujTph3GoiPCHs5F85Li65pump?handle=676050794bc1b1657a56b", "View")</f>
        <v/>
      </c>
    </row>
    <row r="23">
      <c r="A23" s="20" t="inlineStr">
        <is>
          <t>CHARLES</t>
        </is>
      </c>
      <c r="B23" s="21" t="n">
        <v>51115795</v>
      </c>
      <c r="C23" s="21" t="n">
        <v>0</v>
      </c>
      <c r="D23" s="21" t="inlineStr">
        <is>
          <t>0.000840</t>
        </is>
      </c>
      <c r="E23" s="21" t="inlineStr">
        <is>
          <t>3.418 SOL</t>
        </is>
      </c>
      <c r="F23" s="21" t="inlineStr">
        <is>
          <t>0.000 SOL</t>
        </is>
      </c>
      <c r="G23" s="18" t="inlineStr">
        <is>
          <t>-3.418 SOL</t>
        </is>
      </c>
      <c r="H23" s="18" t="inlineStr">
        <is>
          <t>0.00%</t>
        </is>
      </c>
      <c r="I23" s="21" t="inlineStr">
        <is>
          <t>51,115,795</t>
        </is>
      </c>
      <c r="J23" s="21" t="n">
        <v>2</v>
      </c>
      <c r="K23" s="21" t="n">
        <v>0</v>
      </c>
      <c r="L23" s="21" t="inlineStr">
        <is>
          <t>30.10.2024 13:43:00</t>
        </is>
      </c>
      <c r="M23" s="21" t="inlineStr">
        <is>
          <t>33 min</t>
        </is>
      </c>
      <c r="N23" s="21" t="inlineStr">
        <is>
          <t xml:space="preserve">         18K             7K             6K</t>
        </is>
      </c>
      <c r="O23" s="21" t="inlineStr">
        <is>
          <t>4egZWa36ndFdBqiHB66NdwXYfWCWSvkV3umSX6cupump</t>
        </is>
      </c>
      <c r="P23" s="21">
        <f>HYPERLINK("https://photon-sol.tinyastro.io/en/lp/4egZWa36ndFdBqiHB66NdwXYfWCWSvkV3umSX6cupump?handle=676050794bc1b1657a56b", "View")</f>
        <v/>
      </c>
    </row>
    <row r="24">
      <c r="A24" s="16" t="inlineStr">
        <is>
          <t>TRUMP</t>
        </is>
      </c>
      <c r="B24" s="17" t="n">
        <v>1775818</v>
      </c>
      <c r="C24" s="17" t="n">
        <v>0</v>
      </c>
      <c r="D24" s="17" t="inlineStr">
        <is>
          <t>0.000600</t>
        </is>
      </c>
      <c r="E24" s="17" t="inlineStr">
        <is>
          <t>1.000 SOL</t>
        </is>
      </c>
      <c r="F24" s="17" t="inlineStr">
        <is>
          <t>0.000 SOL</t>
        </is>
      </c>
      <c r="G24" s="18" t="inlineStr">
        <is>
          <t>-1.001 SOL</t>
        </is>
      </c>
      <c r="H24" s="18" t="inlineStr">
        <is>
          <t>0.00%</t>
        </is>
      </c>
      <c r="I24" s="17" t="inlineStr">
        <is>
          <t>1,775,818</t>
        </is>
      </c>
      <c r="J24" s="17" t="n">
        <v>1</v>
      </c>
      <c r="K24" s="17" t="n">
        <v>0</v>
      </c>
      <c r="L24" s="17" t="inlineStr">
        <is>
          <t>30.10.2024 13:41:59</t>
        </is>
      </c>
      <c r="M24" s="19" t="inlineStr">
        <is>
          <t>0 sec</t>
        </is>
      </c>
      <c r="N24" s="17" t="inlineStr">
        <is>
          <t xml:space="preserve">         98K            98K            11K</t>
        </is>
      </c>
      <c r="O24" s="17" t="inlineStr">
        <is>
          <t>BNqefzuRXjFQZdgn8zFsM1svNprTAeQJ1SKkMh7Qpump</t>
        </is>
      </c>
      <c r="P24" s="17">
        <f>HYPERLINK("https://dexscreener.com/solana/BNqefzuRXjFQZdgn8zFsM1svNprTAeQJ1SKkMh7Qpump", "View")</f>
        <v/>
      </c>
    </row>
    <row r="25">
      <c r="A25" s="20" t="inlineStr">
        <is>
          <t>Water</t>
        </is>
      </c>
      <c r="B25" s="21" t="n">
        <v>38606763</v>
      </c>
      <c r="C25" s="21" t="n">
        <v>0</v>
      </c>
      <c r="D25" s="21" t="inlineStr">
        <is>
          <t>0.001050</t>
        </is>
      </c>
      <c r="E25" s="21" t="inlineStr">
        <is>
          <t>5.209 SOL</t>
        </is>
      </c>
      <c r="F25" s="21" t="inlineStr">
        <is>
          <t>0.000 SOL</t>
        </is>
      </c>
      <c r="G25" s="18" t="inlineStr">
        <is>
          <t>-5.211 SOL</t>
        </is>
      </c>
      <c r="H25" s="18" t="inlineStr">
        <is>
          <t>0.00%</t>
        </is>
      </c>
      <c r="I25" s="21" t="inlineStr">
        <is>
          <t>38,606,763</t>
        </is>
      </c>
      <c r="J25" s="21" t="n">
        <v>3</v>
      </c>
      <c r="K25" s="21" t="n">
        <v>0</v>
      </c>
      <c r="L25" s="21" t="inlineStr">
        <is>
          <t>30.10.2024 13:33:17</t>
        </is>
      </c>
      <c r="M25" s="21" t="inlineStr">
        <is>
          <t>36 min</t>
        </is>
      </c>
      <c r="N25" s="21" t="inlineStr">
        <is>
          <t xml:space="preserve">         25K            23K             7K</t>
        </is>
      </c>
      <c r="O25" s="21" t="inlineStr">
        <is>
          <t>AiCw26DPkAVmFNecgBzCM7sejz3CHidytKuAcaGrpump</t>
        </is>
      </c>
      <c r="P25" s="21">
        <f>HYPERLINK("https://photon-sol.tinyastro.io/en/lp/AiCw26DPkAVmFNecgBzCM7sejz3CHidytKuAcaGrpump?handle=676050794bc1b1657a56b", "View")</f>
        <v/>
      </c>
    </row>
    <row r="26">
      <c r="A26" s="16" t="inlineStr">
        <is>
          <t>Charles</t>
        </is>
      </c>
      <c r="B26" s="17" t="n">
        <v>33645873</v>
      </c>
      <c r="C26" s="17" t="n">
        <v>0</v>
      </c>
      <c r="D26" s="17" t="inlineStr">
        <is>
          <t>0.000420</t>
        </is>
      </c>
      <c r="E26" s="17" t="inlineStr">
        <is>
          <t>3.225 SOL</t>
        </is>
      </c>
      <c r="F26" s="17" t="inlineStr">
        <is>
          <t>0.000 SOL</t>
        </is>
      </c>
      <c r="G26" s="18" t="inlineStr">
        <is>
          <t>-3.226 SOL</t>
        </is>
      </c>
      <c r="H26" s="18" t="inlineStr">
        <is>
          <t>0.00%</t>
        </is>
      </c>
      <c r="I26" s="17" t="inlineStr">
        <is>
          <t>33,645,873</t>
        </is>
      </c>
      <c r="J26" s="17" t="n">
        <v>1</v>
      </c>
      <c r="K26" s="17" t="n">
        <v>0</v>
      </c>
      <c r="L26" s="17" t="inlineStr">
        <is>
          <t>30.10.2024 13:28:46</t>
        </is>
      </c>
      <c r="M26" s="19" t="inlineStr">
        <is>
          <t>0 sec</t>
        </is>
      </c>
      <c r="N26" s="17" t="inlineStr">
        <is>
          <t xml:space="preserve">         18K            18K             4K</t>
        </is>
      </c>
      <c r="O26" s="17" t="inlineStr">
        <is>
          <t>AjwFwqEWTnUxucfyeWixDMWoEgE21vsWLq8dLkBupump</t>
        </is>
      </c>
      <c r="P26" s="17">
        <f>HYPERLINK("https://photon-sol.tinyastro.io/en/lp/AjwFwqEWTnUxucfyeWixDMWoEgE21vsWLq8dLkBupump?handle=676050794bc1b1657a56b", "View")</f>
        <v/>
      </c>
    </row>
    <row r="27">
      <c r="A27" s="20" t="inlineStr">
        <is>
          <t>COKE</t>
        </is>
      </c>
      <c r="B27" s="21" t="n">
        <v>17011677</v>
      </c>
      <c r="C27" s="21" t="n">
        <v>0</v>
      </c>
      <c r="D27" s="21" t="inlineStr">
        <is>
          <t>0.000210</t>
        </is>
      </c>
      <c r="E27" s="21" t="inlineStr">
        <is>
          <t>2.088 SOL</t>
        </is>
      </c>
      <c r="F27" s="21" t="inlineStr">
        <is>
          <t>0.000 SOL</t>
        </is>
      </c>
      <c r="G27" s="18" t="inlineStr">
        <is>
          <t>-2.088 SOL</t>
        </is>
      </c>
      <c r="H27" s="18" t="inlineStr">
        <is>
          <t>0.00%</t>
        </is>
      </c>
      <c r="I27" s="21" t="inlineStr">
        <is>
          <t>17,011,677</t>
        </is>
      </c>
      <c r="J27" s="21" t="n">
        <v>1</v>
      </c>
      <c r="K27" s="21" t="n">
        <v>0</v>
      </c>
      <c r="L27" s="21" t="inlineStr">
        <is>
          <t>30.10.2024 12:55:37</t>
        </is>
      </c>
      <c r="M27" s="19" t="inlineStr">
        <is>
          <t>0 sec</t>
        </is>
      </c>
      <c r="N27" s="21" t="inlineStr">
        <is>
          <t xml:space="preserve">         21K            21K             6K</t>
        </is>
      </c>
      <c r="O27" s="21" t="inlineStr">
        <is>
          <t>8WTke7BisW4eD11HeqoXMAYCqYbVmii1d1hajWYJpump</t>
        </is>
      </c>
      <c r="P27" s="21">
        <f>HYPERLINK("https://photon-sol.tinyastro.io/en/lp/8WTke7BisW4eD11HeqoXMAYCqYbVmii1d1hajWYJpump?handle=676050794bc1b1657a56b", "View")</f>
        <v/>
      </c>
    </row>
    <row r="28">
      <c r="A28" s="16" t="inlineStr">
        <is>
          <t>69.420%</t>
        </is>
      </c>
      <c r="B28" s="17" t="n">
        <v>8453929</v>
      </c>
      <c r="C28" s="17" t="n">
        <v>0</v>
      </c>
      <c r="D28" s="17" t="inlineStr">
        <is>
          <t>0.000420</t>
        </is>
      </c>
      <c r="E28" s="17" t="inlineStr">
        <is>
          <t>2.039 SOL</t>
        </is>
      </c>
      <c r="F28" s="17" t="inlineStr">
        <is>
          <t>0.000 SOL</t>
        </is>
      </c>
      <c r="G28" s="18" t="inlineStr">
        <is>
          <t>-2.039 SOL</t>
        </is>
      </c>
      <c r="H28" s="18" t="inlineStr">
        <is>
          <t>0.00%</t>
        </is>
      </c>
      <c r="I28" s="17" t="inlineStr">
        <is>
          <t>8,453,929</t>
        </is>
      </c>
      <c r="J28" s="17" t="n">
        <v>1</v>
      </c>
      <c r="K28" s="17" t="n">
        <v>0</v>
      </c>
      <c r="L28" s="17" t="inlineStr">
        <is>
          <t>30.10.2024 12:34:02</t>
        </is>
      </c>
      <c r="M28" s="19" t="inlineStr">
        <is>
          <t>0 sec</t>
        </is>
      </c>
      <c r="N28" s="17" t="inlineStr">
        <is>
          <t xml:space="preserve">         42K            42K            35K</t>
        </is>
      </c>
      <c r="O28" s="17" t="inlineStr">
        <is>
          <t>Djv9h45qTD1Bf9KrePGDecHB9ynreMHssDTQkLrupump</t>
        </is>
      </c>
      <c r="P28" s="17">
        <f>HYPERLINK("https://photon-sol.tinyastro.io/en/lp/Djv9h45qTD1Bf9KrePGDecHB9ynreMHssDTQkLrupump?handle=676050794bc1b1657a56b", "View")</f>
        <v/>
      </c>
    </row>
    <row r="29">
      <c r="A29" s="20" t="inlineStr">
        <is>
          <t>santa</t>
        </is>
      </c>
      <c r="B29" s="21" t="n">
        <v>14515343</v>
      </c>
      <c r="C29" s="21" t="n">
        <v>0</v>
      </c>
      <c r="D29" s="21" t="inlineStr">
        <is>
          <t>0.000010</t>
        </is>
      </c>
      <c r="E29" s="21" t="inlineStr">
        <is>
          <t>5.000 SOL</t>
        </is>
      </c>
      <c r="F29" s="21" t="inlineStr">
        <is>
          <t>0.000 SOL</t>
        </is>
      </c>
      <c r="G29" s="18" t="inlineStr">
        <is>
          <t>-5.000 SOL</t>
        </is>
      </c>
      <c r="H29" s="18" t="inlineStr">
        <is>
          <t>0.00%</t>
        </is>
      </c>
      <c r="I29" s="21" t="inlineStr">
        <is>
          <t>14,515,343</t>
        </is>
      </c>
      <c r="J29" s="21" t="n">
        <v>1</v>
      </c>
      <c r="K29" s="21" t="n">
        <v>0</v>
      </c>
      <c r="L29" s="21" t="inlineStr">
        <is>
          <t>30.10.2024 12:08:04</t>
        </is>
      </c>
      <c r="M29" s="19" t="inlineStr">
        <is>
          <t>0 sec</t>
        </is>
      </c>
      <c r="N29" s="21" t="inlineStr">
        <is>
          <t xml:space="preserve">         60K            60K            64K</t>
        </is>
      </c>
      <c r="O29" s="21" t="inlineStr">
        <is>
          <t>34wfgAa6JzKxN1TGCneRk3LY1xetvnF8q5n6H7fzf2TY</t>
        </is>
      </c>
      <c r="P29" s="21">
        <f>HYPERLINK("https://dexscreener.com/solana/34wfgAa6JzKxN1TGCneRk3LY1xetvnF8q5n6H7fzf2TY", "View")</f>
        <v/>
      </c>
    </row>
    <row r="30">
      <c r="A30" s="16" t="inlineStr">
        <is>
          <t>#TRUMP</t>
        </is>
      </c>
      <c r="B30" s="17" t="n">
        <v>14812718</v>
      </c>
      <c r="C30" s="17" t="n">
        <v>157986</v>
      </c>
      <c r="D30" s="17" t="inlineStr">
        <is>
          <t>0.000170</t>
        </is>
      </c>
      <c r="E30" s="17" t="inlineStr">
        <is>
          <t>10.050 SOL</t>
        </is>
      </c>
      <c r="F30" s="17" t="inlineStr">
        <is>
          <t>0.220 SOL</t>
        </is>
      </c>
      <c r="G30" s="23" t="inlineStr">
        <is>
          <t>-9.830 SOL</t>
        </is>
      </c>
      <c r="H30" s="23" t="inlineStr">
        <is>
          <t>-97.81%</t>
        </is>
      </c>
      <c r="I30" s="17" t="inlineStr">
        <is>
          <t>N/A</t>
        </is>
      </c>
      <c r="J30" s="17" t="n">
        <v>3</v>
      </c>
      <c r="K30" s="17" t="n">
        <v>1</v>
      </c>
      <c r="L30" s="17" t="inlineStr">
        <is>
          <t>30.10.2024 11:29:55</t>
        </is>
      </c>
      <c r="M30" s="17" t="inlineStr">
        <is>
          <t>1 months</t>
        </is>
      </c>
      <c r="N30" s="17" t="inlineStr">
        <is>
          <t xml:space="preserve">        112K           244K            87K</t>
        </is>
      </c>
      <c r="O30" s="17" t="inlineStr">
        <is>
          <t>HJBHJPL6QZ5wq5sXEsEmMNPLZqxJKsQBHiRF3Hj3pump</t>
        </is>
      </c>
      <c r="P30" s="17">
        <f>HYPERLINK("https://dexscreener.com/solana/HJBHJPL6QZ5wq5sXEsEmMNPLZqxJKsQBHiRF3Hj3pump", "View")</f>
        <v/>
      </c>
    </row>
    <row r="31">
      <c r="A31" s="20" t="inlineStr">
        <is>
          <t>GENIUS</t>
        </is>
      </c>
      <c r="B31" s="21" t="n">
        <v>9238530</v>
      </c>
      <c r="C31" s="21" t="n">
        <v>0</v>
      </c>
      <c r="D31" s="21" t="inlineStr">
        <is>
          <t>0.000010</t>
        </is>
      </c>
      <c r="E31" s="21" t="inlineStr">
        <is>
          <t>3.000 SOL</t>
        </is>
      </c>
      <c r="F31" s="21" t="inlineStr">
        <is>
          <t>0.000 SOL</t>
        </is>
      </c>
      <c r="G31" s="18" t="inlineStr">
        <is>
          <t>-3.000 SOL</t>
        </is>
      </c>
      <c r="H31" s="18" t="inlineStr">
        <is>
          <t>0.00%</t>
        </is>
      </c>
      <c r="I31" s="21" t="inlineStr">
        <is>
          <t>9,238,530</t>
        </is>
      </c>
      <c r="J31" s="21" t="n">
        <v>1</v>
      </c>
      <c r="K31" s="21" t="n">
        <v>0</v>
      </c>
      <c r="L31" s="21" t="inlineStr">
        <is>
          <t>30.10.2024 06:48:27</t>
        </is>
      </c>
      <c r="M31" s="19" t="inlineStr">
        <is>
          <t>0 sec</t>
        </is>
      </c>
      <c r="N31" s="21" t="inlineStr">
        <is>
          <t xml:space="preserve">         51K            51K            48K</t>
        </is>
      </c>
      <c r="O31" s="21" t="inlineStr">
        <is>
          <t>6UmMAjSYeA5vR94Bn2qD7n2jWpQdd3nW22Vo95RSpump</t>
        </is>
      </c>
      <c r="P31" s="21">
        <f>HYPERLINK("https://dexscreener.com/solana/6UmMAjSYeA5vR94Bn2qD7n2jWpQdd3nW22Vo95RSpump", "View")</f>
        <v/>
      </c>
    </row>
    <row r="32">
      <c r="A32" s="16" t="inlineStr">
        <is>
          <t>FROGE</t>
        </is>
      </c>
      <c r="B32" s="17" t="n">
        <v>58080923</v>
      </c>
      <c r="C32" s="17" t="n">
        <v>30000000</v>
      </c>
      <c r="D32" s="17" t="inlineStr">
        <is>
          <t>0.000440</t>
        </is>
      </c>
      <c r="E32" s="17" t="inlineStr">
        <is>
          <t>37.167 SOL</t>
        </is>
      </c>
      <c r="F32" s="17" t="inlineStr">
        <is>
          <t>80.058 SOL</t>
        </is>
      </c>
      <c r="G32" s="24" t="inlineStr">
        <is>
          <t>42.891 SOL</t>
        </is>
      </c>
      <c r="H32" s="24" t="inlineStr">
        <is>
          <t>115.40%</t>
        </is>
      </c>
      <c r="I32" s="17" t="inlineStr">
        <is>
          <t>N/A</t>
        </is>
      </c>
      <c r="J32" s="17" t="n">
        <v>3</v>
      </c>
      <c r="K32" s="17" t="n">
        <v>3</v>
      </c>
      <c r="L32" s="17" t="inlineStr">
        <is>
          <t>30.10.2024 06:46:53</t>
        </is>
      </c>
      <c r="M32" s="17" t="inlineStr">
        <is>
          <t>5 days</t>
        </is>
      </c>
      <c r="N32" s="17" t="inlineStr">
        <is>
          <t xml:space="preserve">        474K           393K           426K</t>
        </is>
      </c>
      <c r="O32" s="17" t="inlineStr">
        <is>
          <t>FA9jJDQzBEeV4qunJpt7XY7wC4smNYLsBNtMCTPsj3pp</t>
        </is>
      </c>
      <c r="P32" s="17">
        <f>HYPERLINK("https://photon-sol.tinyastro.io/en/lp/FA9jJDQzBEeV4qunJpt7XY7wC4smNYLsBNtMCTPsj3pp?handle=676050794bc1b1657a56b", "View")</f>
        <v/>
      </c>
    </row>
    <row r="33">
      <c r="A33" s="20" t="inlineStr">
        <is>
          <t>す る AI</t>
        </is>
      </c>
      <c r="B33" s="21" t="n">
        <v>9636402</v>
      </c>
      <c r="C33" s="21" t="n">
        <v>9636402</v>
      </c>
      <c r="D33" s="21" t="inlineStr">
        <is>
          <t>0.000020</t>
        </is>
      </c>
      <c r="E33" s="21" t="inlineStr">
        <is>
          <t>6.040 SOL</t>
        </is>
      </c>
      <c r="F33" s="21" t="inlineStr">
        <is>
          <t>2.174 SOL</t>
        </is>
      </c>
      <c r="G33" s="23" t="inlineStr">
        <is>
          <t>-3.866 SOL</t>
        </is>
      </c>
      <c r="H33" s="23" t="inlineStr">
        <is>
          <t>-64.01%</t>
        </is>
      </c>
      <c r="I33" s="21" t="inlineStr">
        <is>
          <t>N/A</t>
        </is>
      </c>
      <c r="J33" s="21" t="n">
        <v>2</v>
      </c>
      <c r="K33" s="21" t="n">
        <v>1</v>
      </c>
      <c r="L33" s="21" t="inlineStr">
        <is>
          <t>23.10.2024 21:22:36</t>
        </is>
      </c>
      <c r="M33" s="21" t="inlineStr">
        <is>
          <t>19 min</t>
        </is>
      </c>
      <c r="N33" s="21" t="inlineStr">
        <is>
          <t xml:space="preserve">        104K            40K             8K</t>
        </is>
      </c>
      <c r="O33" s="21" t="inlineStr">
        <is>
          <t>Ctkd5XNt9SAYVgdoD36BQw7cTktjMAUJ954kah1Hpump</t>
        </is>
      </c>
      <c r="P33" s="21">
        <f>HYPERLINK("https://dexscreener.com/solana/Ctkd5XNt9SAYVgdoD36BQw7cTktjMAUJ954kah1Hpump", "View")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HYPERLINK("https://gmgn.ai/sol/address/EwMT7ygvaGxSsg7dn9gH6vRXLNSRv9BHYCf8fNUJVxdU", "GMGN")</f>
        <v/>
      </c>
    </row>
    <row r="2">
      <c r="A2" s="3" t="inlineStr">
        <is>
          <t>EwMT7ygvaGxSsg7dn9gH6vRXLNSRv9BHYCf8fNUJVxdU</t>
        </is>
      </c>
      <c r="B2" s="3" t="inlineStr">
        <is>
          <t>10.92 SOL</t>
        </is>
      </c>
      <c r="C2" s="3" t="inlineStr">
        <is>
          <t>20%</t>
        </is>
      </c>
      <c r="D2" s="3" t="inlineStr">
        <is>
          <t>-53%</t>
        </is>
      </c>
      <c r="E2" s="3" t="inlineStr">
        <is>
          <t>-4.30 SOL</t>
        </is>
      </c>
      <c r="F2" s="3" t="inlineStr">
        <is>
          <t>1 (7%)</t>
        </is>
      </c>
      <c r="G2" s="3" t="inlineStr">
        <is>
          <t>0 (0%)</t>
        </is>
      </c>
      <c r="H2" s="3" t="n">
        <v>15</v>
      </c>
      <c r="I2" s="3" t="n">
        <v>3</v>
      </c>
      <c r="J2" s="3" t="inlineStr">
        <is>
          <t>8 days</t>
        </is>
      </c>
      <c r="K2" s="3" t="inlineStr">
        <is>
          <t>12 min</t>
        </is>
      </c>
      <c r="L2" s="3" t="n">
        <v>7</v>
      </c>
      <c r="M2" s="3" t="n">
        <v>12</v>
      </c>
      <c r="N2" s="3">
        <f>HYPERLINK("https://solscan.io/account/EwMT7ygvaGxSsg7dn9gH6vRXLNSRv9BHYCf8fNUJVxdU", "Solscan")</f>
        <v/>
      </c>
    </row>
    <row r="3">
      <c r="A3" s="7" t="inlineStr">
        <is>
          <t>Median ROI</t>
        </is>
      </c>
      <c r="B3" s="5" t="inlineStr">
        <is>
          <t>-84.87%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HYPERLINK("https://birdeye.so/profile/EwMT7ygvaGxSsg7dn9gH6vRXLNSRv9BHYCf8fNUJVxdU", "Birdeye")</f>
        <v/>
      </c>
    </row>
    <row r="4">
      <c r="A4" s="7" t="inlineStr">
        <is>
          <t>Rockets percent</t>
        </is>
      </c>
      <c r="B4" s="3" t="inlineStr">
        <is>
          <t>13%</t>
        </is>
      </c>
      <c r="C4" s="3" t="inlineStr"/>
      <c r="D4" s="3" t="inlineStr">
        <is>
          <t>67%</t>
        </is>
      </c>
      <c r="E4" s="3" t="inlineStr">
        <is>
          <t>5.43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8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2</v>
      </c>
      <c r="D10" s="7" t="n">
        <v>1</v>
      </c>
      <c r="E10" s="7" t="n">
        <v>0</v>
      </c>
      <c r="F10" s="7" t="n">
        <v>3</v>
      </c>
      <c r="G10" s="7" t="n">
        <v>9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13.3%</t>
        </is>
      </c>
      <c r="D11" s="7" t="inlineStr">
        <is>
          <t>6.7%</t>
        </is>
      </c>
      <c r="E11" s="7" t="inlineStr">
        <is>
          <t>0.0%</t>
        </is>
      </c>
      <c r="F11" s="7" t="inlineStr">
        <is>
          <t>20.0%</t>
        </is>
      </c>
      <c r="G11" s="7" t="inlineStr">
        <is>
          <t>60.0%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1.0 SOL</t>
        </is>
      </c>
      <c r="D12" s="7" t="inlineStr">
        <is>
          <t>0.5 SOL</t>
        </is>
      </c>
      <c r="E12" s="7" t="inlineStr">
        <is>
          <t>0.0 SOL</t>
        </is>
      </c>
      <c r="F12" s="7" t="inlineStr">
        <is>
          <t>-0.1 SOL</t>
        </is>
      </c>
      <c r="G12" s="7" t="inlineStr">
        <is>
          <t>-5.7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8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525.0K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BFLYZ</t>
        </is>
      </c>
      <c r="B20" s="17" t="n">
        <v>6650</v>
      </c>
      <c r="C20" s="17" t="n">
        <v>6650</v>
      </c>
      <c r="D20" s="17" t="inlineStr">
        <is>
          <t>0.006010</t>
        </is>
      </c>
      <c r="E20" s="17" t="inlineStr">
        <is>
          <t>0.100 SOL</t>
        </is>
      </c>
      <c r="F20" s="17" t="inlineStr">
        <is>
          <t>0.053 SOL</t>
        </is>
      </c>
      <c r="G20" s="25" t="inlineStr">
        <is>
          <t>-0.053 SOL</t>
        </is>
      </c>
      <c r="H20" s="25" t="inlineStr">
        <is>
          <t>-49.86%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07:34:41</t>
        </is>
      </c>
      <c r="M20" s="17" t="inlineStr">
        <is>
          <t>12 min</t>
        </is>
      </c>
      <c r="N20" s="17" t="inlineStr">
        <is>
          <t xml:space="preserve">          3M             1M           170K</t>
        </is>
      </c>
      <c r="O20" s="17" t="inlineStr">
        <is>
          <t>DDxS3mzbFiwPgmpK7j573MDvD7EQj5stPHZ8K8Wppump</t>
        </is>
      </c>
      <c r="P20" s="17">
        <f>HYPERLINK("https://dexscreener.com/solana/DDxS3mzbFiwPgmpK7j573MDvD7EQj5stPHZ8K8Wppump", "View")</f>
        <v/>
      </c>
    </row>
    <row r="21">
      <c r="A21" s="20" t="inlineStr">
        <is>
          <t>치비</t>
        </is>
      </c>
      <c r="B21" s="21" t="n">
        <v>1297850</v>
      </c>
      <c r="C21" s="21" t="n">
        <v>1297850</v>
      </c>
      <c r="D21" s="21" t="inlineStr">
        <is>
          <t>0.006010</t>
        </is>
      </c>
      <c r="E21" s="21" t="inlineStr">
        <is>
          <t>0.137 SOL</t>
        </is>
      </c>
      <c r="F21" s="21" t="inlineStr">
        <is>
          <t>0.298 SOL</t>
        </is>
      </c>
      <c r="G21" s="24" t="inlineStr">
        <is>
          <t>0.155 SOL</t>
        </is>
      </c>
      <c r="H21" s="24" t="inlineStr">
        <is>
          <t>108.71%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06:57:55</t>
        </is>
      </c>
      <c r="M21" s="19" t="inlineStr">
        <is>
          <t>52 sec</t>
        </is>
      </c>
      <c r="N21" s="21" t="inlineStr">
        <is>
          <t xml:space="preserve">         19K            40K             4K</t>
        </is>
      </c>
      <c r="O21" s="21" t="inlineStr">
        <is>
          <t>Brr65HPDUpnYinFiRFqMdFTRjX9mN9Bk9t77PHdTpump</t>
        </is>
      </c>
      <c r="P21" s="21">
        <f>HYPERLINK("https://photon-sol.tinyastro.io/en/lp/Brr65HPDUpnYinFiRFqMdFTRjX9mN9Bk9t77PHdTpump?handle=676050794bc1b1657a56b", "View")</f>
        <v/>
      </c>
    </row>
    <row r="22">
      <c r="A22" s="16" t="inlineStr">
        <is>
          <t>COLIN</t>
        </is>
      </c>
      <c r="B22" s="17" t="n">
        <v>1603805</v>
      </c>
      <c r="C22" s="17" t="n">
        <v>1603805</v>
      </c>
      <c r="D22" s="17" t="inlineStr">
        <is>
          <t>0.006010</t>
        </is>
      </c>
      <c r="E22" s="17" t="inlineStr">
        <is>
          <t>0.119 SOL</t>
        </is>
      </c>
      <c r="F22" s="17" t="inlineStr">
        <is>
          <t>0.066 SOL</t>
        </is>
      </c>
      <c r="G22" s="25" t="inlineStr">
        <is>
          <t>-0.059 SOL</t>
        </is>
      </c>
      <c r="H22" s="25" t="inlineStr">
        <is>
          <t>-46.84%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06:55:59</t>
        </is>
      </c>
      <c r="M22" s="17" t="inlineStr">
        <is>
          <t>1 min</t>
        </is>
      </c>
      <c r="N22" s="17" t="inlineStr">
        <is>
          <t xml:space="preserve">         12K             7K             5K</t>
        </is>
      </c>
      <c r="O22" s="17" t="inlineStr">
        <is>
          <t>DYun9hK6Y5HeWBoRMFGyKZfZt5GztLoa3ErrgUzTpump</t>
        </is>
      </c>
      <c r="P22" s="17">
        <f>HYPERLINK("https://photon-sol.tinyastro.io/en/lp/DYun9hK6Y5HeWBoRMFGyKZfZt5GztLoa3ErrgUzTpump?handle=676050794bc1b1657a56b", "View")</f>
        <v/>
      </c>
    </row>
    <row r="23">
      <c r="A23" s="20" t="inlineStr">
        <is>
          <t>GG</t>
        </is>
      </c>
      <c r="B23" s="21" t="n">
        <v>418455</v>
      </c>
      <c r="C23" s="21" t="n">
        <v>418455</v>
      </c>
      <c r="D23" s="21" t="inlineStr">
        <is>
          <t>0.006010</t>
        </is>
      </c>
      <c r="E23" s="21" t="inlineStr">
        <is>
          <t>0.110 SOL</t>
        </is>
      </c>
      <c r="F23" s="21" t="inlineStr">
        <is>
          <t>0.017 SOL</t>
        </is>
      </c>
      <c r="G23" s="23" t="inlineStr">
        <is>
          <t>-0.098 SOL</t>
        </is>
      </c>
      <c r="H23" s="23" t="inlineStr">
        <is>
          <t>-84.87%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06:54:48</t>
        </is>
      </c>
      <c r="M23" s="21" t="inlineStr">
        <is>
          <t>12 min</t>
        </is>
      </c>
      <c r="N23" s="21" t="inlineStr">
        <is>
          <t xml:space="preserve">         46K             7K             4K</t>
        </is>
      </c>
      <c r="O23" s="21" t="inlineStr">
        <is>
          <t>FcmwNqBmM5Qo3dZXEkhsFGRQTLCDJrhzzb9ubjKrpump</t>
        </is>
      </c>
      <c r="P23" s="21">
        <f>HYPERLINK("https://photon-sol.tinyastro.io/en/lp/FcmwNqBmM5Qo3dZXEkhsFGRQTLCDJrhzzb9ubjKrpump?handle=676050794bc1b1657a56b", "View")</f>
        <v/>
      </c>
    </row>
    <row r="24">
      <c r="A24" s="16" t="inlineStr">
        <is>
          <t>LUCE</t>
        </is>
      </c>
      <c r="B24" s="17" t="n">
        <v>16563</v>
      </c>
      <c r="C24" s="17" t="n">
        <v>6765</v>
      </c>
      <c r="D24" s="17" t="inlineStr">
        <is>
          <t>0.006340</t>
        </is>
      </c>
      <c r="E24" s="17" t="inlineStr">
        <is>
          <t>0.500 SOL</t>
        </is>
      </c>
      <c r="F24" s="17" t="inlineStr">
        <is>
          <t>1.350 SOL</t>
        </is>
      </c>
      <c r="G24" s="24" t="inlineStr">
        <is>
          <t>0.844 SOL</t>
        </is>
      </c>
      <c r="H24" s="24" t="inlineStr">
        <is>
          <t>166.63%</t>
        </is>
      </c>
      <c r="I24" s="17" t="inlineStr">
        <is>
          <t>N/A</t>
        </is>
      </c>
      <c r="J24" s="17" t="n">
        <v>1</v>
      </c>
      <c r="K24" s="17" t="n">
        <v>2</v>
      </c>
      <c r="L24" s="17" t="inlineStr">
        <is>
          <t>29.10.2024 14:18:24</t>
        </is>
      </c>
      <c r="M24" s="17" t="inlineStr">
        <is>
          <t>20 hours</t>
        </is>
      </c>
      <c r="N24" s="17" t="inlineStr">
        <is>
          <t xml:space="preserve">          5M            25M            57M</t>
        </is>
      </c>
      <c r="O24" s="17" t="inlineStr">
        <is>
          <t>CBdCxKo9QavR9hfShgpEBG3zekorAeD7W1jfq2o3pump</t>
        </is>
      </c>
      <c r="P24" s="17">
        <f>HYPERLINK("https://dexscreener.com/solana/CBdCxKo9QavR9hfShgpEBG3zekorAeD7W1jfq2o3pump", "View")</f>
        <v/>
      </c>
    </row>
    <row r="25">
      <c r="A25" s="20" t="inlineStr">
        <is>
          <t>ai16z</t>
        </is>
      </c>
      <c r="B25" s="21" t="n">
        <v>4181</v>
      </c>
      <c r="C25" s="21" t="n">
        <v>1943</v>
      </c>
      <c r="D25" s="21" t="inlineStr">
        <is>
          <t>0.009020</t>
        </is>
      </c>
      <c r="E25" s="21" t="inlineStr">
        <is>
          <t>1.000 SOL</t>
        </is>
      </c>
      <c r="F25" s="21" t="inlineStr">
        <is>
          <t>0.494 SOL</t>
        </is>
      </c>
      <c r="G25" s="23" t="inlineStr">
        <is>
          <t>-0.515 SOL</t>
        </is>
      </c>
      <c r="H25" s="23" t="inlineStr">
        <is>
          <t>-51.06%</t>
        </is>
      </c>
      <c r="I25" s="21" t="inlineStr">
        <is>
          <t>N/A</t>
        </is>
      </c>
      <c r="J25" s="21" t="n">
        <v>2</v>
      </c>
      <c r="K25" s="21" t="n">
        <v>1</v>
      </c>
      <c r="L25" s="21" t="inlineStr">
        <is>
          <t>28.10.2024 02:50:32</t>
        </is>
      </c>
      <c r="M25" s="21" t="inlineStr">
        <is>
          <t>4 min</t>
        </is>
      </c>
      <c r="N25" s="21" t="inlineStr">
        <is>
          <t xml:space="preserve">         46M            46M            23M</t>
        </is>
      </c>
      <c r="O25" s="21" t="inlineStr">
        <is>
          <t>HeLp6NuQkmYB4pYWo2zYs22mESHXPQYzXbB8n4V98jwC</t>
        </is>
      </c>
      <c r="P25" s="21">
        <f>HYPERLINK("https://dexscreener.com/solana/HeLp6NuQkmYB4pYWo2zYs22mESHXPQYzXbB8n4V98jwC", "View")</f>
        <v/>
      </c>
    </row>
    <row r="26">
      <c r="A26" s="16" t="inlineStr">
        <is>
          <t>test</t>
        </is>
      </c>
      <c r="B26" s="17" t="n">
        <v>344423</v>
      </c>
      <c r="C26" s="17" t="n">
        <v>0</v>
      </c>
      <c r="D26" s="17" t="inlineStr">
        <is>
          <t>0.003010</t>
        </is>
      </c>
      <c r="E26" s="17" t="inlineStr">
        <is>
          <t>1.000 SOL</t>
        </is>
      </c>
      <c r="F26" s="17" t="inlineStr">
        <is>
          <t>0.000 SOL</t>
        </is>
      </c>
      <c r="G26" s="18" t="inlineStr">
        <is>
          <t>-1.003 SOL</t>
        </is>
      </c>
      <c r="H26" s="18" t="inlineStr">
        <is>
          <t>0.00%</t>
        </is>
      </c>
      <c r="I26" s="17" t="inlineStr">
        <is>
          <t>344,423</t>
        </is>
      </c>
      <c r="J26" s="17" t="n">
        <v>1</v>
      </c>
      <c r="K26" s="17" t="n">
        <v>0</v>
      </c>
      <c r="L26" s="17" t="inlineStr">
        <is>
          <t>24.10.2024 06:20:27</t>
        </is>
      </c>
      <c r="M26" s="19" t="inlineStr">
        <is>
          <t>0 sec</t>
        </is>
      </c>
      <c r="N26" s="17" t="inlineStr">
        <is>
          <t xml:space="preserve">        509K           509K           398K</t>
        </is>
      </c>
      <c r="O26" s="17" t="inlineStr">
        <is>
          <t>4Hcm1TfA1MvVhCQHvJCcKL7ymUhJZAV7P439H5ZHnKRh</t>
        </is>
      </c>
      <c r="P26" s="17">
        <f>HYPERLINK("https://dexscreener.com/solana/4Hcm1TfA1MvVhCQHvJCcKL7ymUhJZAV7P439H5ZHnKRh", "View")</f>
        <v/>
      </c>
    </row>
    <row r="27">
      <c r="A27" s="20" t="inlineStr">
        <is>
          <t>flavia</t>
        </is>
      </c>
      <c r="B27" s="21" t="n">
        <v>4852</v>
      </c>
      <c r="C27" s="21" t="n">
        <v>0</v>
      </c>
      <c r="D27" s="21" t="inlineStr">
        <is>
          <t>0.003010</t>
        </is>
      </c>
      <c r="E27" s="21" t="inlineStr">
        <is>
          <t>1.000 SOL</t>
        </is>
      </c>
      <c r="F27" s="21" t="inlineStr">
        <is>
          <t>0.000 SOL</t>
        </is>
      </c>
      <c r="G27" s="18" t="inlineStr">
        <is>
          <t>-1.003 SOL</t>
        </is>
      </c>
      <c r="H27" s="18" t="inlineStr">
        <is>
          <t>0.00%</t>
        </is>
      </c>
      <c r="I27" s="21" t="inlineStr">
        <is>
          <t>4,852</t>
        </is>
      </c>
      <c r="J27" s="21" t="n">
        <v>1</v>
      </c>
      <c r="K27" s="21" t="n">
        <v>0</v>
      </c>
      <c r="L27" s="21" t="inlineStr">
        <is>
          <t>24.10.2024 06:20:08</t>
        </is>
      </c>
      <c r="M27" s="19" t="inlineStr">
        <is>
          <t>0 sec</t>
        </is>
      </c>
      <c r="N27" s="21" t="inlineStr">
        <is>
          <t xml:space="preserve">         36M            36M             1M</t>
        </is>
      </c>
      <c r="O27" s="21" t="inlineStr">
        <is>
          <t>3HYx6a9whu5a4dnzE62WNXg46MrEmu9LFxutR2YBpump</t>
        </is>
      </c>
      <c r="P27" s="21">
        <f>HYPERLINK("https://dexscreener.com/solana/3HYx6a9whu5a4dnzE62WNXg46MrEmu9LFxutR2YBpump", "View")</f>
        <v/>
      </c>
    </row>
    <row r="28">
      <c r="A28" s="16" t="inlineStr">
        <is>
          <t>OPUS</t>
        </is>
      </c>
      <c r="B28" s="17" t="n">
        <v>29956</v>
      </c>
      <c r="C28" s="17" t="n">
        <v>0</v>
      </c>
      <c r="D28" s="17" t="inlineStr">
        <is>
          <t>0.003010</t>
        </is>
      </c>
      <c r="E28" s="17" t="inlineStr">
        <is>
          <t>0.500 SOL</t>
        </is>
      </c>
      <c r="F28" s="17" t="inlineStr">
        <is>
          <t>0.000 SOL</t>
        </is>
      </c>
      <c r="G28" s="18" t="inlineStr">
        <is>
          <t>-0.503 SOL</t>
        </is>
      </c>
      <c r="H28" s="18" t="inlineStr">
        <is>
          <t>0.00%</t>
        </is>
      </c>
      <c r="I28" s="17" t="inlineStr">
        <is>
          <t>29,956</t>
        </is>
      </c>
      <c r="J28" s="17" t="n">
        <v>1</v>
      </c>
      <c r="K28" s="17" t="n">
        <v>0</v>
      </c>
      <c r="L28" s="17" t="inlineStr">
        <is>
          <t>23.10.2024 12:34:25</t>
        </is>
      </c>
      <c r="M28" s="19" t="inlineStr">
        <is>
          <t>0 sec</t>
        </is>
      </c>
      <c r="N28" s="17" t="inlineStr">
        <is>
          <t xml:space="preserve">          3M             3M             4M</t>
        </is>
      </c>
      <c r="O28" s="17" t="inlineStr">
        <is>
          <t>9JhFqCA21MoAXs2PTaeqNQp2XngPn1PgYr2rsEVCpump</t>
        </is>
      </c>
      <c r="P28" s="17">
        <f>HYPERLINK("https://dexscreener.com/solana/9JhFqCA21MoAXs2PTaeqNQp2XngPn1PgYr2rsEVCpump", "View")</f>
        <v/>
      </c>
    </row>
    <row r="29">
      <c r="A29" s="20" t="inlineStr">
        <is>
          <t>Claude</t>
        </is>
      </c>
      <c r="B29" s="21" t="n">
        <v>6892794</v>
      </c>
      <c r="C29" s="21" t="n">
        <v>3114874</v>
      </c>
      <c r="D29" s="21" t="inlineStr">
        <is>
          <t>0.003420</t>
        </is>
      </c>
      <c r="E29" s="21" t="inlineStr">
        <is>
          <t>0.510 SOL</t>
        </is>
      </c>
      <c r="F29" s="21" t="inlineStr">
        <is>
          <t>0.500 SOL</t>
        </is>
      </c>
      <c r="G29" s="25" t="inlineStr">
        <is>
          <t>-0.014 SOL</t>
        </is>
      </c>
      <c r="H29" s="25" t="inlineStr">
        <is>
          <t>-2.70%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23.10.2024 11:25:56</t>
        </is>
      </c>
      <c r="M29" s="21" t="inlineStr">
        <is>
          <t>1 days</t>
        </is>
      </c>
      <c r="N29" s="21" t="inlineStr">
        <is>
          <t xml:space="preserve">         12K            12K             8K</t>
        </is>
      </c>
      <c r="O29" s="21" t="inlineStr">
        <is>
          <t>HaL8cPcEZgwLaCbwyf6aAPh7rhw7iHck22zFXSNjpump</t>
        </is>
      </c>
      <c r="P29" s="21">
        <f>HYPERLINK("https://photon-sol.tinyastro.io/en/lp/HaL8cPcEZgwLaCbwyf6aAPh7rhw7iHck22zFXSNjpump?handle=676050794bc1b1657a56b", "View")</f>
        <v/>
      </c>
    </row>
    <row r="30">
      <c r="A30" s="16" t="inlineStr">
        <is>
          <t>kleros</t>
        </is>
      </c>
      <c r="B30" s="17" t="n">
        <v>282384</v>
      </c>
      <c r="C30" s="17" t="n">
        <v>0</v>
      </c>
      <c r="D30" s="17" t="inlineStr">
        <is>
          <t>0.006010</t>
        </is>
      </c>
      <c r="E30" s="17" t="inlineStr">
        <is>
          <t>1.000 SOL</t>
        </is>
      </c>
      <c r="F30" s="17" t="inlineStr">
        <is>
          <t>0.000 SOL</t>
        </is>
      </c>
      <c r="G30" s="18" t="inlineStr">
        <is>
          <t>-1.006 SOL</t>
        </is>
      </c>
      <c r="H30" s="18" t="inlineStr">
        <is>
          <t>0.00%</t>
        </is>
      </c>
      <c r="I30" s="17" t="inlineStr">
        <is>
          <t>282,384</t>
        </is>
      </c>
      <c r="J30" s="17" t="n">
        <v>2</v>
      </c>
      <c r="K30" s="17" t="n">
        <v>0</v>
      </c>
      <c r="L30" s="17" t="inlineStr">
        <is>
          <t>23.10.2024 10:49:23</t>
        </is>
      </c>
      <c r="M30" s="17" t="inlineStr">
        <is>
          <t>4 min</t>
        </is>
      </c>
      <c r="N30" s="17" t="inlineStr">
        <is>
          <t xml:space="preserve">        541K           732K            13K</t>
        </is>
      </c>
      <c r="O30" s="17" t="inlineStr">
        <is>
          <t>6G9UoNmvtpgdwzwNQuqCrTD4Bz3j8VyKVJPsjKnrpump</t>
        </is>
      </c>
      <c r="P30" s="17">
        <f>HYPERLINK("https://dexscreener.com/solana/6G9UoNmvtpgdwzwNQuqCrTD4Bz3j8VyKVJPsjKnrpump", "View")</f>
        <v/>
      </c>
    </row>
    <row r="31">
      <c r="A31" s="20" t="inlineStr">
        <is>
          <t>CLINST</t>
        </is>
      </c>
      <c r="B31" s="21" t="n">
        <v>82861</v>
      </c>
      <c r="C31" s="21" t="n">
        <v>0</v>
      </c>
      <c r="D31" s="21" t="inlineStr">
        <is>
          <t>0.004960</t>
        </is>
      </c>
      <c r="E31" s="21" t="inlineStr">
        <is>
          <t>0.500 SOL</t>
        </is>
      </c>
      <c r="F31" s="21" t="inlineStr">
        <is>
          <t>0.000 SOL</t>
        </is>
      </c>
      <c r="G31" s="18" t="inlineStr">
        <is>
          <t>-0.505 SOL</t>
        </is>
      </c>
      <c r="H31" s="18" t="inlineStr">
        <is>
          <t>0.00%</t>
        </is>
      </c>
      <c r="I31" s="21" t="inlineStr">
        <is>
          <t>82,861</t>
        </is>
      </c>
      <c r="J31" s="21" t="n">
        <v>1</v>
      </c>
      <c r="K31" s="21" t="n">
        <v>0</v>
      </c>
      <c r="L31" s="21" t="inlineStr">
        <is>
          <t>23.10.2024 09:46:55</t>
        </is>
      </c>
      <c r="M31" s="19" t="inlineStr">
        <is>
          <t>0 sec</t>
        </is>
      </c>
      <c r="N31" s="21" t="inlineStr">
        <is>
          <t xml:space="preserve">          1M             1M            97K</t>
        </is>
      </c>
      <c r="O31" s="21" t="inlineStr">
        <is>
          <t>8jv1q4Z1jbd22A5MSWruC77DhHESwMr6Er3D8hBXpump</t>
        </is>
      </c>
      <c r="P31" s="21">
        <f>HYPERLINK("https://dexscreener.com/solana/8jv1q4Z1jbd22A5MSWruC77DhHESwMr6Er3D8hBXpump", "View")</f>
        <v/>
      </c>
    </row>
    <row r="32">
      <c r="A32" s="16" t="inlineStr">
        <is>
          <t>Lima AI</t>
        </is>
      </c>
      <c r="B32" s="17" t="n">
        <v>10021158</v>
      </c>
      <c r="C32" s="17" t="n">
        <v>0</v>
      </c>
      <c r="D32" s="17" t="inlineStr">
        <is>
          <t>0.000220</t>
        </is>
      </c>
      <c r="E32" s="17" t="inlineStr">
        <is>
          <t>0.510 SOL</t>
        </is>
      </c>
      <c r="F32" s="17" t="inlineStr">
        <is>
          <t>0.000 SOL</t>
        </is>
      </c>
      <c r="G32" s="18" t="inlineStr">
        <is>
          <t>-0.510 SOL</t>
        </is>
      </c>
      <c r="H32" s="18" t="inlineStr">
        <is>
          <t>0.00%</t>
        </is>
      </c>
      <c r="I32" s="17" t="inlineStr">
        <is>
          <t>10,021,158</t>
        </is>
      </c>
      <c r="J32" s="17" t="n">
        <v>1</v>
      </c>
      <c r="K32" s="17" t="n">
        <v>0</v>
      </c>
      <c r="L32" s="17" t="inlineStr">
        <is>
          <t>22.10.2024 07:23:32</t>
        </is>
      </c>
      <c r="M32" s="19" t="inlineStr">
        <is>
          <t>0 sec</t>
        </is>
      </c>
      <c r="N32" s="17" t="inlineStr">
        <is>
          <t xml:space="preserve">          9K             9K             4K</t>
        </is>
      </c>
      <c r="O32" s="17" t="inlineStr">
        <is>
          <t>2Ft2kpgH43s98Q8wPksAqejM9cse4wueuzu9ypzspump</t>
        </is>
      </c>
      <c r="P32" s="17">
        <f>HYPERLINK("https://photon-sol.tinyastro.io/en/lp/2Ft2kpgH43s98Q8wPksAqejM9cse4wueuzu9ypzspump?handle=676050794bc1b1657a56b", "View")</f>
        <v/>
      </c>
    </row>
    <row r="33">
      <c r="A33" s="20" t="inlineStr">
        <is>
          <t>MCAT</t>
        </is>
      </c>
      <c r="B33" s="21" t="n">
        <v>6460258</v>
      </c>
      <c r="C33" s="21" t="n">
        <v>0</v>
      </c>
      <c r="D33" s="21" t="inlineStr">
        <is>
          <t>0.000420</t>
        </is>
      </c>
      <c r="E33" s="21" t="inlineStr">
        <is>
          <t>0.510 SOL</t>
        </is>
      </c>
      <c r="F33" s="21" t="inlineStr">
        <is>
          <t>0.000 SOL</t>
        </is>
      </c>
      <c r="G33" s="18" t="inlineStr">
        <is>
          <t>-0.511 SOL</t>
        </is>
      </c>
      <c r="H33" s="18" t="inlineStr">
        <is>
          <t>0.00%</t>
        </is>
      </c>
      <c r="I33" s="21" t="inlineStr">
        <is>
          <t>6,460,258</t>
        </is>
      </c>
      <c r="J33" s="21" t="n">
        <v>1</v>
      </c>
      <c r="K33" s="21" t="n">
        <v>0</v>
      </c>
      <c r="L33" s="21" t="inlineStr">
        <is>
          <t>22.10.2024 07:22:38</t>
        </is>
      </c>
      <c r="M33" s="19" t="inlineStr">
        <is>
          <t>0 sec</t>
        </is>
      </c>
      <c r="N33" s="21" t="inlineStr">
        <is>
          <t xml:space="preserve">        N/A           N/A           N/A</t>
        </is>
      </c>
      <c r="O33" s="21" t="inlineStr">
        <is>
          <t>D9fJwRdzNgh85MApLvQ5cKenhdk5DEoJbfnR9xJjAyVJ</t>
        </is>
      </c>
      <c r="P33" s="21">
        <f>HYPERLINK("https://photon-sol.tinyastro.io/en/lp/D9fJwRdzNgh85MApLvQ5cKenhdk5DEoJbfnR9xJjAyVJ?handle=676050794bc1b1657a56b", "View")</f>
        <v/>
      </c>
    </row>
    <row r="34">
      <c r="A34" s="16" t="inlineStr">
        <is>
          <t>Qliphoth</t>
        </is>
      </c>
      <c r="B34" s="17" t="n">
        <v>3630463</v>
      </c>
      <c r="C34" s="17" t="n">
        <v>774813</v>
      </c>
      <c r="D34" s="17" t="inlineStr">
        <is>
          <t>0.003420</t>
        </is>
      </c>
      <c r="E34" s="17" t="inlineStr">
        <is>
          <t>0.510 SOL</t>
        </is>
      </c>
      <c r="F34" s="17" t="inlineStr">
        <is>
          <t>1.000 SOL</t>
        </is>
      </c>
      <c r="G34" s="24" t="inlineStr">
        <is>
          <t>0.486 SOL</t>
        </is>
      </c>
      <c r="H34" s="24" t="inlineStr">
        <is>
          <t>94.60%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22.10.2024 07:18:39</t>
        </is>
      </c>
      <c r="M34" s="17" t="inlineStr">
        <is>
          <t>49 min</t>
        </is>
      </c>
      <c r="N34" s="17" t="inlineStr">
        <is>
          <t xml:space="preserve">         25K           227K             4K</t>
        </is>
      </c>
      <c r="O34" s="17" t="inlineStr">
        <is>
          <t>9StrGbWhX8nuKSuTNjv5B3BgfLNrbk3c3Hh9YB85pump</t>
        </is>
      </c>
      <c r="P34" s="17">
        <f>HYPERLINK("https://photon-sol.tinyastro.io/en/lp/9StrGbWhX8nuKSuTNjv5B3BgfLNrbk3c3Hh9YB85pump?handle=676050794bc1b1657a56b", "View")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30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HYPERLINK("https://gmgn.ai/sol/address/H9AcEk9znmS8ZHejkZyR8CZre3ca74PdAF34yNYPVFuy", "GMGN")</f>
        <v/>
      </c>
    </row>
    <row r="2">
      <c r="A2" s="3" t="inlineStr">
        <is>
          <t>H9AcEk9znmS8ZHejkZyR8CZre3ca74PdAF34yNYPVFuy</t>
        </is>
      </c>
      <c r="B2" s="3" t="inlineStr">
        <is>
          <t>5.15 SOL</t>
        </is>
      </c>
      <c r="C2" s="3" t="inlineStr">
        <is>
          <t>16%</t>
        </is>
      </c>
      <c r="D2" s="3" t="inlineStr">
        <is>
          <t>-26%</t>
        </is>
      </c>
      <c r="E2" s="3" t="inlineStr">
        <is>
          <t>-75.55 SOL</t>
        </is>
      </c>
      <c r="F2" s="3" t="inlineStr">
        <is>
          <t>0 (0%)</t>
        </is>
      </c>
      <c r="G2" s="3" t="inlineStr">
        <is>
          <t>0 (0%)</t>
        </is>
      </c>
      <c r="H2" s="3" t="n">
        <v>289</v>
      </c>
      <c r="I2" s="3" t="n">
        <v>84</v>
      </c>
      <c r="J2" s="3" t="inlineStr">
        <is>
          <t>23 days</t>
        </is>
      </c>
      <c r="K2" s="3" t="inlineStr">
        <is>
          <t>10 h</t>
        </is>
      </c>
      <c r="L2" s="3" t="n">
        <v>0</v>
      </c>
      <c r="M2" s="3" t="n">
        <v>140</v>
      </c>
      <c r="N2" s="3">
        <f>HYPERLINK("https://solscan.io/account/H9AcEk9znmS8ZHejkZyR8CZre3ca74PdAF34yNYPVFuy",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HYPERLINK("https://birdeye.so/profile/H9AcEk9znmS8ZHejkZyR8CZre3ca74PdAF34yNYPVFuy", "Birdeye")</f>
        <v/>
      </c>
    </row>
    <row r="4">
      <c r="A4" s="7" t="inlineStr">
        <is>
          <t>Rockets percent</t>
        </is>
      </c>
      <c r="B4" s="3" t="inlineStr">
        <is>
          <t>11%</t>
        </is>
      </c>
      <c r="C4" s="3" t="inlineStr"/>
      <c r="D4" s="3" t="inlineStr">
        <is>
          <t>13%</t>
        </is>
      </c>
      <c r="E4" s="3" t="inlineStr">
        <is>
          <t>38.36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122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10</v>
      </c>
      <c r="C10" s="7" t="n">
        <v>21</v>
      </c>
      <c r="D10" s="7" t="n">
        <v>6</v>
      </c>
      <c r="E10" s="7" t="n">
        <v>9</v>
      </c>
      <c r="F10" s="7" t="n">
        <v>15</v>
      </c>
      <c r="G10" s="7" t="n">
        <v>228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3.5%</t>
        </is>
      </c>
      <c r="C11" s="7" t="inlineStr">
        <is>
          <t>7.3%</t>
        </is>
      </c>
      <c r="D11" s="7" t="inlineStr">
        <is>
          <t>2.1%</t>
        </is>
      </c>
      <c r="E11" s="7" t="inlineStr">
        <is>
          <t>3.1%</t>
        </is>
      </c>
      <c r="F11" s="7" t="inlineStr">
        <is>
          <t>5.2%</t>
        </is>
      </c>
      <c r="G11" s="7" t="inlineStr">
        <is>
          <t>78.9%</t>
        </is>
      </c>
      <c r="H11" s="3" t="n"/>
      <c r="I11" s="3" t="inlineStr">
        <is>
          <t>5k-30k</t>
        </is>
      </c>
      <c r="J11" s="3" t="inlineStr">
        <is>
          <t>11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81.4 SOL</t>
        </is>
      </c>
      <c r="C12" s="7" t="inlineStr">
        <is>
          <t>58.3 SOL</t>
        </is>
      </c>
      <c r="D12" s="7" t="inlineStr">
        <is>
          <t>4.3 SOL</t>
        </is>
      </c>
      <c r="E12" s="7" t="inlineStr">
        <is>
          <t>1.7 SOL</t>
        </is>
      </c>
      <c r="F12" s="7" t="inlineStr">
        <is>
          <t>-3.2 SOL</t>
        </is>
      </c>
      <c r="G12" s="7" t="inlineStr">
        <is>
          <t>-218.0 SOL</t>
        </is>
      </c>
      <c r="H12" s="3" t="n"/>
      <c r="I12" s="3" t="inlineStr">
        <is>
          <t>30k-100k</t>
        </is>
      </c>
      <c r="J12" s="3" t="inlineStr">
        <is>
          <t>93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113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135.0K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BUIO</t>
        </is>
      </c>
      <c r="B20" s="17" t="n">
        <v>578521</v>
      </c>
      <c r="C20" s="17" t="n">
        <v>553481</v>
      </c>
      <c r="D20" s="17" t="inlineStr">
        <is>
          <t>0.000030</t>
        </is>
      </c>
      <c r="E20" s="17" t="inlineStr">
        <is>
          <t>0.980 SOL</t>
        </is>
      </c>
      <c r="F20" s="17" t="inlineStr">
        <is>
          <t>4.624 SOL</t>
        </is>
      </c>
      <c r="G20" s="24" t="inlineStr">
        <is>
          <t>3.644 SOL</t>
        </is>
      </c>
      <c r="H20" s="24" t="inlineStr">
        <is>
          <t>371.81%</t>
        </is>
      </c>
      <c r="I20" s="17" t="inlineStr">
        <is>
          <t>N/A</t>
        </is>
      </c>
      <c r="J20" s="17" t="n">
        <v>1</v>
      </c>
      <c r="K20" s="17" t="n">
        <v>4</v>
      </c>
      <c r="L20" s="17" t="inlineStr">
        <is>
          <t>30.10.2024 21:32:09</t>
        </is>
      </c>
      <c r="M20" s="17" t="inlineStr">
        <is>
          <t>22 hours</t>
        </is>
      </c>
      <c r="N20" s="17" t="inlineStr">
        <is>
          <t xml:space="preserve">        297K           994K           175K</t>
        </is>
      </c>
      <c r="O20" s="17" t="inlineStr">
        <is>
          <t>CaPS8EpC78RsnDdjNfZGd7Wjdg9156ijvC1aFcA1pump</t>
        </is>
      </c>
      <c r="P20" s="17">
        <f>HYPERLINK("https://dexscreener.com/solana/CaPS8EpC78RsnDdjNfZGd7Wjdg9156ijvC1aFcA1pump", "View")</f>
        <v/>
      </c>
    </row>
    <row r="21">
      <c r="A21" s="20" t="inlineStr">
        <is>
          <t>duck</t>
        </is>
      </c>
      <c r="B21" s="21" t="n">
        <v>2259955</v>
      </c>
      <c r="C21" s="21" t="n">
        <v>2033959</v>
      </c>
      <c r="D21" s="21" t="inlineStr">
        <is>
          <t>0.000010</t>
        </is>
      </c>
      <c r="E21" s="21" t="inlineStr">
        <is>
          <t>0.980 SOL</t>
        </is>
      </c>
      <c r="F21" s="21" t="inlineStr">
        <is>
          <t>0.073 SOL</t>
        </is>
      </c>
      <c r="G21" s="23" t="inlineStr">
        <is>
          <t>-0.907 SOL</t>
        </is>
      </c>
      <c r="H21" s="23" t="inlineStr">
        <is>
          <t>-92.57%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21:09:08</t>
        </is>
      </c>
      <c r="M21" s="21" t="inlineStr">
        <is>
          <t>47 min</t>
        </is>
      </c>
      <c r="N21" s="21" t="inlineStr">
        <is>
          <t xml:space="preserve">         76K            76K             5K</t>
        </is>
      </c>
      <c r="O21" s="21" t="inlineStr">
        <is>
          <t>DLhsuLGQMpfq4mZ6R5ng1Y8dmgZjTZLLUErwkKChdjBw</t>
        </is>
      </c>
      <c r="P21" s="21">
        <f>HYPERLINK("https://dexscreener.com/solana/DLhsuLGQMpfq4mZ6R5ng1Y8dmgZjTZLLUErwkKChdjBw", "View")</f>
        <v/>
      </c>
    </row>
    <row r="22">
      <c r="A22" s="16" t="inlineStr">
        <is>
          <t>POPGHOST</t>
        </is>
      </c>
      <c r="B22" s="17" t="n">
        <v>2367066</v>
      </c>
      <c r="C22" s="17" t="n">
        <v>2130359</v>
      </c>
      <c r="D22" s="17" t="inlineStr">
        <is>
          <t>0.000010</t>
        </is>
      </c>
      <c r="E22" s="17" t="inlineStr">
        <is>
          <t>0.980 SOL</t>
        </is>
      </c>
      <c r="F22" s="17" t="inlineStr">
        <is>
          <t>0.073 SOL</t>
        </is>
      </c>
      <c r="G22" s="23" t="inlineStr">
        <is>
          <t>-0.907 SOL</t>
        </is>
      </c>
      <c r="H22" s="23" t="inlineStr">
        <is>
          <t>-92.51%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20:48:11</t>
        </is>
      </c>
      <c r="M22" s="17" t="inlineStr">
        <is>
          <t>1 days</t>
        </is>
      </c>
      <c r="N22" s="17" t="inlineStr">
        <is>
          <t xml:space="preserve">         72K            72K             6K</t>
        </is>
      </c>
      <c r="O22" s="17" t="inlineStr">
        <is>
          <t>F5SJSDyYbCdHPrnzGnQwzTeUkVMBgV4mp1WnifJ4pump</t>
        </is>
      </c>
      <c r="P22" s="17">
        <f>HYPERLINK("https://dexscreener.com/solana/F5SJSDyYbCdHPrnzGnQwzTeUkVMBgV4mp1WnifJ4pump", "View")</f>
        <v/>
      </c>
    </row>
    <row r="23">
      <c r="A23" s="20" t="inlineStr">
        <is>
          <t>BBC</t>
        </is>
      </c>
      <c r="B23" s="21" t="n">
        <v>941651</v>
      </c>
      <c r="C23" s="21" t="n">
        <v>141247</v>
      </c>
      <c r="D23" s="21" t="inlineStr">
        <is>
          <t>0.000010</t>
        </is>
      </c>
      <c r="E23" s="21" t="inlineStr">
        <is>
          <t>0.980 SOL</t>
        </is>
      </c>
      <c r="F23" s="21" t="inlineStr">
        <is>
          <t>0.606 SOL</t>
        </is>
      </c>
      <c r="G23" s="25" t="inlineStr">
        <is>
          <t>-0.374 SOL</t>
        </is>
      </c>
      <c r="H23" s="25" t="inlineStr">
        <is>
          <t>-38.13%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20:27:19</t>
        </is>
      </c>
      <c r="M23" s="21" t="inlineStr">
        <is>
          <t>41 min</t>
        </is>
      </c>
      <c r="N23" s="21" t="inlineStr">
        <is>
          <t xml:space="preserve">        183K           183K           229K</t>
        </is>
      </c>
      <c r="O23" s="21" t="inlineStr">
        <is>
          <t>2HQNZnHC5uz9duy3YMWAp75KXQ3nSCymeJR7Yh3Mpump</t>
        </is>
      </c>
      <c r="P23" s="21">
        <f>HYPERLINK("https://dexscreener.com/solana/2HQNZnHC5uz9duy3YMWAp75KXQ3nSCymeJR7Yh3Mpump", "View")</f>
        <v/>
      </c>
    </row>
    <row r="24">
      <c r="A24" s="16" t="inlineStr">
        <is>
          <t>POPBAT</t>
        </is>
      </c>
      <c r="B24" s="17" t="n">
        <v>1956234</v>
      </c>
      <c r="C24" s="17" t="n">
        <v>0</v>
      </c>
      <c r="D24" s="17" t="inlineStr">
        <is>
          <t>0.000010</t>
        </is>
      </c>
      <c r="E24" s="17" t="inlineStr">
        <is>
          <t>0.980 SOL</t>
        </is>
      </c>
      <c r="F24" s="17" t="inlineStr">
        <is>
          <t>0.000 SOL</t>
        </is>
      </c>
      <c r="G24" s="18" t="inlineStr">
        <is>
          <t>-0.980 SOL</t>
        </is>
      </c>
      <c r="H24" s="18" t="inlineStr">
        <is>
          <t>0.00%</t>
        </is>
      </c>
      <c r="I24" s="17" t="inlineStr">
        <is>
          <t>1,956,234</t>
        </is>
      </c>
      <c r="J24" s="17" t="n">
        <v>1</v>
      </c>
      <c r="K24" s="17" t="n">
        <v>0</v>
      </c>
      <c r="L24" s="17" t="inlineStr">
        <is>
          <t>30.10.2024 20:15:33</t>
        </is>
      </c>
      <c r="M24" s="19" t="inlineStr">
        <is>
          <t>0 sec</t>
        </is>
      </c>
      <c r="N24" s="17" t="inlineStr">
        <is>
          <t xml:space="preserve">         88K            88K            30K</t>
        </is>
      </c>
      <c r="O24" s="17" t="inlineStr">
        <is>
          <t>J12B5NaWzCn57tr2UKdvVnYbiAN5iH6zxsxD2GnHmKcj</t>
        </is>
      </c>
      <c r="P24" s="17">
        <f>HYPERLINK("https://dexscreener.com/solana/J12B5NaWzCn57tr2UKdvVnYbiAN5iH6zxsxD2GnHmKcj", "View")</f>
        <v/>
      </c>
    </row>
    <row r="25">
      <c r="A25" s="20" t="inlineStr">
        <is>
          <t>HENRY</t>
        </is>
      </c>
      <c r="B25" s="21" t="n">
        <v>3646089</v>
      </c>
      <c r="C25" s="21" t="n">
        <v>0</v>
      </c>
      <c r="D25" s="21" t="inlineStr">
        <is>
          <t>0.000010</t>
        </is>
      </c>
      <c r="E25" s="21" t="inlineStr">
        <is>
          <t>0.980 SOL</t>
        </is>
      </c>
      <c r="F25" s="21" t="inlineStr">
        <is>
          <t>0.000 SOL</t>
        </is>
      </c>
      <c r="G25" s="18" t="inlineStr">
        <is>
          <t>-0.980 SOL</t>
        </is>
      </c>
      <c r="H25" s="18" t="inlineStr">
        <is>
          <t>0.00%</t>
        </is>
      </c>
      <c r="I25" s="21" t="inlineStr">
        <is>
          <t>3,646,089</t>
        </is>
      </c>
      <c r="J25" s="21" t="n">
        <v>1</v>
      </c>
      <c r="K25" s="21" t="n">
        <v>0</v>
      </c>
      <c r="L25" s="21" t="inlineStr">
        <is>
          <t>30.10.2024 20:15:19</t>
        </is>
      </c>
      <c r="M25" s="19" t="inlineStr">
        <is>
          <t>0 sec</t>
        </is>
      </c>
      <c r="N25" s="21" t="inlineStr">
        <is>
          <t xml:space="preserve">         47K            47K           126K</t>
        </is>
      </c>
      <c r="O25" s="21" t="inlineStr">
        <is>
          <t>4dLCbmG6LRrW4DUgDnpuctayzzQVp3urQqBnLQSApump</t>
        </is>
      </c>
      <c r="P25" s="21">
        <f>HYPERLINK("https://dexscreener.com/solana/4dLCbmG6LRrW4DUgDnpuctayzzQVp3urQqBnLQSApump", "View")</f>
        <v/>
      </c>
    </row>
    <row r="26">
      <c r="A26" s="16" t="inlineStr">
        <is>
          <t>GOP</t>
        </is>
      </c>
      <c r="B26" s="17" t="n">
        <v>1835620</v>
      </c>
      <c r="C26" s="17" t="n">
        <v>1652057</v>
      </c>
      <c r="D26" s="17" t="inlineStr">
        <is>
          <t>0.000010</t>
        </is>
      </c>
      <c r="E26" s="17" t="inlineStr">
        <is>
          <t>0.980 SOL</t>
        </is>
      </c>
      <c r="F26" s="17" t="inlineStr">
        <is>
          <t>0.046 SOL</t>
        </is>
      </c>
      <c r="G26" s="23" t="inlineStr">
        <is>
          <t>-0.934 SOL</t>
        </is>
      </c>
      <c r="H26" s="23" t="inlineStr">
        <is>
          <t>-95.28%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19:34:11</t>
        </is>
      </c>
      <c r="M26" s="17" t="inlineStr">
        <is>
          <t>20 hours</t>
        </is>
      </c>
      <c r="N26" s="17" t="inlineStr">
        <is>
          <t xml:space="preserve">         93K            93K             5K</t>
        </is>
      </c>
      <c r="O26" s="17" t="inlineStr">
        <is>
          <t>m36WDe5v164ZSGz9s2bfBikiWGXzoT9ej8r9xrZpump</t>
        </is>
      </c>
      <c r="P26" s="17">
        <f>HYPERLINK("https://dexscreener.com/solana/m36WDe5v164ZSGz9s2bfBikiWGXzoT9ej8r9xrZpump", "View")</f>
        <v/>
      </c>
    </row>
    <row r="27">
      <c r="A27" s="20" t="inlineStr">
        <is>
          <t>BOOM</t>
        </is>
      </c>
      <c r="B27" s="21" t="n">
        <v>1093839</v>
      </c>
      <c r="C27" s="21" t="n">
        <v>0</v>
      </c>
      <c r="D27" s="21" t="inlineStr">
        <is>
          <t>0.000010</t>
        </is>
      </c>
      <c r="E27" s="21" t="inlineStr">
        <is>
          <t>0.980 SOL</t>
        </is>
      </c>
      <c r="F27" s="21" t="inlineStr">
        <is>
          <t>0.000 SOL</t>
        </is>
      </c>
      <c r="G27" s="18" t="inlineStr">
        <is>
          <t>-0.980 SOL</t>
        </is>
      </c>
      <c r="H27" s="18" t="inlineStr">
        <is>
          <t>0.00%</t>
        </is>
      </c>
      <c r="I27" s="21" t="inlineStr">
        <is>
          <t>1,093,839</t>
        </is>
      </c>
      <c r="J27" s="21" t="n">
        <v>1</v>
      </c>
      <c r="K27" s="21" t="n">
        <v>0</v>
      </c>
      <c r="L27" s="21" t="inlineStr">
        <is>
          <t>30.10.2024 19:24:16</t>
        </is>
      </c>
      <c r="M27" s="19" t="inlineStr">
        <is>
          <t>0 sec</t>
        </is>
      </c>
      <c r="N27" s="21" t="inlineStr">
        <is>
          <t xml:space="preserve">        158K           158K            17K</t>
        </is>
      </c>
      <c r="O27" s="21" t="inlineStr">
        <is>
          <t>FjqmRY2wjdBCJ4MdhtZctKGYWG5q9k9zNHa7kguQpump</t>
        </is>
      </c>
      <c r="P27" s="21">
        <f>HYPERLINK("https://dexscreener.com/solana/FjqmRY2wjdBCJ4MdhtZctKGYWG5q9k9zNHa7kguQpump", "View")</f>
        <v/>
      </c>
    </row>
    <row r="28">
      <c r="A28" s="16" t="inlineStr">
        <is>
          <t>TEE</t>
        </is>
      </c>
      <c r="B28" s="17" t="n">
        <v>418404</v>
      </c>
      <c r="C28" s="17" t="n">
        <v>376563</v>
      </c>
      <c r="D28" s="17" t="inlineStr">
        <is>
          <t>0.000010</t>
        </is>
      </c>
      <c r="E28" s="17" t="inlineStr">
        <is>
          <t>0.980 SOL</t>
        </is>
      </c>
      <c r="F28" s="17" t="inlineStr">
        <is>
          <t>0.120 SOL</t>
        </is>
      </c>
      <c r="G28" s="23" t="inlineStr">
        <is>
          <t>-0.860 SOL</t>
        </is>
      </c>
      <c r="H28" s="23" t="inlineStr">
        <is>
          <t>-87.75%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30.10.2024 19:04:12</t>
        </is>
      </c>
      <c r="M28" s="17" t="inlineStr">
        <is>
          <t>16 hours</t>
        </is>
      </c>
      <c r="N28" s="17" t="inlineStr">
        <is>
          <t xml:space="preserve">        411K           411K            53K</t>
        </is>
      </c>
      <c r="O28" s="17" t="inlineStr">
        <is>
          <t>4sAPg3M6bEHrNinqfvfdSTAzCvmaG5Ao799bAt3Bpump</t>
        </is>
      </c>
      <c r="P28" s="17">
        <f>HYPERLINK("https://dexscreener.com/solana/4sAPg3M6bEHrNinqfvfdSTAzCvmaG5Ao799bAt3Bpump", "View")</f>
        <v/>
      </c>
    </row>
    <row r="29">
      <c r="A29" s="20" t="inlineStr">
        <is>
          <t>EARL</t>
        </is>
      </c>
      <c r="B29" s="21" t="n">
        <v>296688</v>
      </c>
      <c r="C29" s="21" t="n">
        <v>0</v>
      </c>
      <c r="D29" s="21" t="inlineStr">
        <is>
          <t>0.000010</t>
        </is>
      </c>
      <c r="E29" s="21" t="inlineStr">
        <is>
          <t>0.980 SOL</t>
        </is>
      </c>
      <c r="F29" s="21" t="inlineStr">
        <is>
          <t>0.000 SOL</t>
        </is>
      </c>
      <c r="G29" s="18" t="inlineStr">
        <is>
          <t>-0.980 SOL</t>
        </is>
      </c>
      <c r="H29" s="18" t="inlineStr">
        <is>
          <t>0.00%</t>
        </is>
      </c>
      <c r="I29" s="21" t="inlineStr">
        <is>
          <t>296,688</t>
        </is>
      </c>
      <c r="J29" s="21" t="n">
        <v>1</v>
      </c>
      <c r="K29" s="21" t="n">
        <v>0</v>
      </c>
      <c r="L29" s="21" t="inlineStr">
        <is>
          <t>30.10.2024 19:03:17</t>
        </is>
      </c>
      <c r="M29" s="19" t="inlineStr">
        <is>
          <t>0 sec</t>
        </is>
      </c>
      <c r="N29" s="21" t="inlineStr">
        <is>
          <t xml:space="preserve">        580K           580K           732K</t>
        </is>
      </c>
      <c r="O29" s="21" t="inlineStr">
        <is>
          <t>BjjvKX5k7gQoGRmvQAA5WMr7EkQ2cirGTSGxAznDpump</t>
        </is>
      </c>
      <c r="P29" s="21">
        <f>HYPERLINK("https://dexscreener.com/solana/BjjvKX5k7gQoGRmvQAA5WMr7EkQ2cirGTSGxAznDpump", "View")</f>
        <v/>
      </c>
    </row>
    <row r="30">
      <c r="A30" s="16" t="inlineStr">
        <is>
          <t>MOMO</t>
        </is>
      </c>
      <c r="B30" s="17" t="n">
        <v>1533532</v>
      </c>
      <c r="C30" s="17" t="n">
        <v>1380179</v>
      </c>
      <c r="D30" s="17" t="inlineStr">
        <is>
          <t>0.000010</t>
        </is>
      </c>
      <c r="E30" s="17" t="inlineStr">
        <is>
          <t>0.980 SOL</t>
        </is>
      </c>
      <c r="F30" s="17" t="inlineStr">
        <is>
          <t>0.167 SOL</t>
        </is>
      </c>
      <c r="G30" s="23" t="inlineStr">
        <is>
          <t>-0.814 SOL</t>
        </is>
      </c>
      <c r="H30" s="23" t="inlineStr">
        <is>
          <t>-83.00%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30.10.2024 17:06:10</t>
        </is>
      </c>
      <c r="M30" s="17" t="inlineStr">
        <is>
          <t>38 min</t>
        </is>
      </c>
      <c r="N30" s="17" t="inlineStr">
        <is>
          <t xml:space="preserve">        112K           112K             9K</t>
        </is>
      </c>
      <c r="O30" s="17" t="inlineStr">
        <is>
          <t>4FieKJu1twj631v1NbDdpocqWS72Up36N3Lf3C1dpump</t>
        </is>
      </c>
      <c r="P30" s="17">
        <f>HYPERLINK("https://dexscreener.com/solana/4FieKJu1twj631v1NbDdpocqWS72Up36N3Lf3C1dpump", "View")</f>
        <v/>
      </c>
    </row>
    <row r="31">
      <c r="A31" s="20" t="inlineStr">
        <is>
          <t>BIBIYAN</t>
        </is>
      </c>
      <c r="B31" s="21" t="n">
        <v>2728850</v>
      </c>
      <c r="C31" s="21" t="n">
        <v>0</v>
      </c>
      <c r="D31" s="21" t="inlineStr">
        <is>
          <t>0.000010</t>
        </is>
      </c>
      <c r="E31" s="21" t="inlineStr">
        <is>
          <t>0.980 SOL</t>
        </is>
      </c>
      <c r="F31" s="21" t="inlineStr">
        <is>
          <t>0.000 SOL</t>
        </is>
      </c>
      <c r="G31" s="18" t="inlineStr">
        <is>
          <t>-0.980 SOL</t>
        </is>
      </c>
      <c r="H31" s="18" t="inlineStr">
        <is>
          <t>0.00%</t>
        </is>
      </c>
      <c r="I31" s="21" t="inlineStr">
        <is>
          <t>2,728,850</t>
        </is>
      </c>
      <c r="J31" s="21" t="n">
        <v>1</v>
      </c>
      <c r="K31" s="21" t="n">
        <v>0</v>
      </c>
      <c r="L31" s="21" t="inlineStr">
        <is>
          <t>30.10.2024 15:51:22</t>
        </is>
      </c>
      <c r="M31" s="19" t="inlineStr">
        <is>
          <t>0 sec</t>
        </is>
      </c>
      <c r="N31" s="21" t="inlineStr">
        <is>
          <t xml:space="preserve">         63K            63K            12K</t>
        </is>
      </c>
      <c r="O31" s="21" t="inlineStr">
        <is>
          <t>3sgPgFo9RfvMufVKXpM7KDNiQnF4XsNN8JzW6Efypump</t>
        </is>
      </c>
      <c r="P31" s="21">
        <f>HYPERLINK("https://dexscreener.com/solana/3sgPgFo9RfvMufVKXpM7KDNiQnF4XsNN8JzW6Efypump", "View")</f>
        <v/>
      </c>
    </row>
    <row r="32">
      <c r="A32" s="16" t="inlineStr">
        <is>
          <t>Done</t>
        </is>
      </c>
      <c r="B32" s="17" t="n">
        <v>971464</v>
      </c>
      <c r="C32" s="17" t="n">
        <v>874317</v>
      </c>
      <c r="D32" s="17" t="inlineStr">
        <is>
          <t>0.000010</t>
        </is>
      </c>
      <c r="E32" s="17" t="inlineStr">
        <is>
          <t>0.980 SOL</t>
        </is>
      </c>
      <c r="F32" s="17" t="inlineStr">
        <is>
          <t>0.044 SOL</t>
        </is>
      </c>
      <c r="G32" s="23" t="inlineStr">
        <is>
          <t>-0.936 SOL</t>
        </is>
      </c>
      <c r="H32" s="23" t="inlineStr">
        <is>
          <t>-95.55%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30.10.2024 15:47:12</t>
        </is>
      </c>
      <c r="M32" s="17" t="inlineStr">
        <is>
          <t>2 hours</t>
        </is>
      </c>
      <c r="N32" s="17" t="inlineStr">
        <is>
          <t xml:space="preserve">        177K           177K             8K</t>
        </is>
      </c>
      <c r="O32" s="17" t="inlineStr">
        <is>
          <t>S3K1pSwyavRze7uQksNHp4N9w9BqncvFq8SncQ5pump</t>
        </is>
      </c>
      <c r="P32" s="17">
        <f>HYPERLINK("https://dexscreener.com/solana/S3K1pSwyavRze7uQksNHp4N9w9BqncvFq8SncQ5pump", "View")</f>
        <v/>
      </c>
    </row>
    <row r="33">
      <c r="A33" s="20" t="inlineStr">
        <is>
          <t>bbydev</t>
        </is>
      </c>
      <c r="B33" s="21" t="n">
        <v>914786</v>
      </c>
      <c r="C33" s="21" t="n">
        <v>137217</v>
      </c>
      <c r="D33" s="21" t="inlineStr">
        <is>
          <t>0.000010</t>
        </is>
      </c>
      <c r="E33" s="21" t="inlineStr">
        <is>
          <t>0.980 SOL</t>
        </is>
      </c>
      <c r="F33" s="21" t="inlineStr">
        <is>
          <t>0.563 SOL</t>
        </is>
      </c>
      <c r="G33" s="25" t="inlineStr">
        <is>
          <t>-0.417 SOL</t>
        </is>
      </c>
      <c r="H33" s="25" t="inlineStr">
        <is>
          <t>-42.57%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30.10.2024 15:15:29</t>
        </is>
      </c>
      <c r="M33" s="21" t="inlineStr">
        <is>
          <t>17 hours</t>
        </is>
      </c>
      <c r="N33" s="21" t="inlineStr">
        <is>
          <t xml:space="preserve">        188K           188K           836K</t>
        </is>
      </c>
      <c r="O33" s="21" t="inlineStr">
        <is>
          <t>8YYrkf1hvL5aCacfLXDvhVfjWZ7ce5NdVt4iLPxYsmdh</t>
        </is>
      </c>
      <c r="P33" s="21">
        <f>HYPERLINK("https://dexscreener.com/solana/8YYrkf1hvL5aCacfLXDvhVfjWZ7ce5NdVt4iLPxYsmdh", "View")</f>
        <v/>
      </c>
    </row>
    <row r="34">
      <c r="A34" s="16" t="inlineStr">
        <is>
          <t>PIXEL</t>
        </is>
      </c>
      <c r="B34" s="17" t="n">
        <v>1465375</v>
      </c>
      <c r="C34" s="17" t="n">
        <v>1318837</v>
      </c>
      <c r="D34" s="17" t="inlineStr">
        <is>
          <t>0.000010</t>
        </is>
      </c>
      <c r="E34" s="17" t="inlineStr">
        <is>
          <t>0.980 SOL</t>
        </is>
      </c>
      <c r="F34" s="17" t="inlineStr">
        <is>
          <t>0.044 SOL</t>
        </is>
      </c>
      <c r="G34" s="23" t="inlineStr">
        <is>
          <t>-0.936 SOL</t>
        </is>
      </c>
      <c r="H34" s="23" t="inlineStr">
        <is>
          <t>-95.49%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30.10.2024 15:14:11</t>
        </is>
      </c>
      <c r="M34" s="17" t="inlineStr">
        <is>
          <t>16 hours</t>
        </is>
      </c>
      <c r="N34" s="17" t="inlineStr">
        <is>
          <t xml:space="preserve">        105K           105K             5K</t>
        </is>
      </c>
      <c r="O34" s="17" t="inlineStr">
        <is>
          <t>E83nfay8WhS9bKAQEdBbCi73XvSwmLeWGXUs5qHupump</t>
        </is>
      </c>
      <c r="P34" s="17">
        <f>HYPERLINK("https://dexscreener.com/solana/E83nfay8WhS9bKAQEdBbCi73XvSwmLeWGXUs5qHupump", "View")</f>
        <v/>
      </c>
    </row>
    <row r="35">
      <c r="A35" s="20" t="inlineStr">
        <is>
          <t>69.420%</t>
        </is>
      </c>
      <c r="B35" s="21" t="n">
        <v>941002</v>
      </c>
      <c r="C35" s="21" t="n">
        <v>0</v>
      </c>
      <c r="D35" s="21" t="inlineStr">
        <is>
          <t>0.000010</t>
        </is>
      </c>
      <c r="E35" s="21" t="inlineStr">
        <is>
          <t>0.980 SOL</t>
        </is>
      </c>
      <c r="F35" s="21" t="inlineStr">
        <is>
          <t>0.000 SOL</t>
        </is>
      </c>
      <c r="G35" s="18" t="inlineStr">
        <is>
          <t>-0.980 SOL</t>
        </is>
      </c>
      <c r="H35" s="18" t="inlineStr">
        <is>
          <t>0.00%</t>
        </is>
      </c>
      <c r="I35" s="21" t="inlineStr">
        <is>
          <t>941,002</t>
        </is>
      </c>
      <c r="J35" s="21" t="n">
        <v>1</v>
      </c>
      <c r="K35" s="21" t="n">
        <v>0</v>
      </c>
      <c r="L35" s="21" t="inlineStr">
        <is>
          <t>30.10.2024 14:06:17</t>
        </is>
      </c>
      <c r="M35" s="19" t="inlineStr">
        <is>
          <t>0 sec</t>
        </is>
      </c>
      <c r="N35" s="21" t="inlineStr">
        <is>
          <t xml:space="preserve">        183K           183K            35K</t>
        </is>
      </c>
      <c r="O35" s="21" t="inlineStr">
        <is>
          <t>Djv9h45qTD1Bf9KrePGDecHB9ynreMHssDTQkLrupump</t>
        </is>
      </c>
      <c r="P35" s="21">
        <f>HYPERLINK("https://dexscreener.com/solana/Djv9h45qTD1Bf9KrePGDecHB9ynreMHssDTQkLrupump", "View")</f>
        <v/>
      </c>
    </row>
    <row r="36">
      <c r="A36" s="16" t="inlineStr">
        <is>
          <t>Amen</t>
        </is>
      </c>
      <c r="B36" s="17" t="n">
        <v>11646746</v>
      </c>
      <c r="C36" s="17" t="n">
        <v>0</v>
      </c>
      <c r="D36" s="17" t="inlineStr">
        <is>
          <t>0.000010</t>
        </is>
      </c>
      <c r="E36" s="17" t="inlineStr">
        <is>
          <t>0.980 SOL</t>
        </is>
      </c>
      <c r="F36" s="17" t="inlineStr">
        <is>
          <t>0.000 SOL</t>
        </is>
      </c>
      <c r="G36" s="18" t="inlineStr">
        <is>
          <t>-0.980 SOL</t>
        </is>
      </c>
      <c r="H36" s="18" t="inlineStr">
        <is>
          <t>0.00%</t>
        </is>
      </c>
      <c r="I36" s="17" t="inlineStr">
        <is>
          <t>11,646,746</t>
        </is>
      </c>
      <c r="J36" s="17" t="n">
        <v>1</v>
      </c>
      <c r="K36" s="17" t="n">
        <v>0</v>
      </c>
      <c r="L36" s="17" t="inlineStr">
        <is>
          <t>30.10.2024 13:42:16</t>
        </is>
      </c>
      <c r="M36" s="19" t="inlineStr">
        <is>
          <t>0 sec</t>
        </is>
      </c>
      <c r="N36" s="17" t="inlineStr">
        <is>
          <t xml:space="preserve">         14K            14K             4K</t>
        </is>
      </c>
      <c r="O36" s="17" t="inlineStr">
        <is>
          <t>BhPUUAJKbEx4VaikuiPTvZcokZYnBKGoKuzTJrAJpump</t>
        </is>
      </c>
      <c r="P36" s="17">
        <f>HYPERLINK("https://dexscreener.com/solana/BhPUUAJKbEx4VaikuiPTvZcokZYnBKGoKuzTJrAJpump", "View")</f>
        <v/>
      </c>
    </row>
    <row r="37">
      <c r="A37" s="20" t="inlineStr">
        <is>
          <t>FINN</t>
        </is>
      </c>
      <c r="B37" s="21" t="n">
        <v>1374230</v>
      </c>
      <c r="C37" s="21" t="n">
        <v>1236807</v>
      </c>
      <c r="D37" s="21" t="inlineStr">
        <is>
          <t>0.000010</t>
        </is>
      </c>
      <c r="E37" s="21" t="inlineStr">
        <is>
          <t>0.980 SOL</t>
        </is>
      </c>
      <c r="F37" s="21" t="inlineStr">
        <is>
          <t>0.048 SOL</t>
        </is>
      </c>
      <c r="G37" s="23" t="inlineStr">
        <is>
          <t>-0.933 SOL</t>
        </is>
      </c>
      <c r="H37" s="23" t="inlineStr">
        <is>
          <t>-95.15%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30.10.2024 11:32:10</t>
        </is>
      </c>
      <c r="M37" s="21" t="inlineStr">
        <is>
          <t>6 hours</t>
        </is>
      </c>
      <c r="N37" s="21" t="inlineStr">
        <is>
          <t xml:space="preserve">        125K           125K             6K</t>
        </is>
      </c>
      <c r="O37" s="21" t="inlineStr">
        <is>
          <t>GTKYRw79jMCdnyHQjeFJHZChbRSKHwUZfYY8E5acpump</t>
        </is>
      </c>
      <c r="P37" s="21">
        <f>HYPERLINK("https://dexscreener.com/solana/GTKYRw79jMCdnyHQjeFJHZChbRSKHwUZfYY8E5acpump", "View")</f>
        <v/>
      </c>
    </row>
    <row r="38">
      <c r="A38" s="16" t="inlineStr">
        <is>
          <t>MORT</t>
        </is>
      </c>
      <c r="B38" s="17" t="n">
        <v>1303666</v>
      </c>
      <c r="C38" s="17" t="n">
        <v>0</v>
      </c>
      <c r="D38" s="17" t="inlineStr">
        <is>
          <t>0.000010</t>
        </is>
      </c>
      <c r="E38" s="17" t="inlineStr">
        <is>
          <t>0.980 SOL</t>
        </is>
      </c>
      <c r="F38" s="17" t="inlineStr">
        <is>
          <t>0.000 SOL</t>
        </is>
      </c>
      <c r="G38" s="18" t="inlineStr">
        <is>
          <t>-0.980 SOL</t>
        </is>
      </c>
      <c r="H38" s="18" t="inlineStr">
        <is>
          <t>0.00%</t>
        </is>
      </c>
      <c r="I38" s="17" t="inlineStr">
        <is>
          <t>1,303,666</t>
        </is>
      </c>
      <c r="J38" s="17" t="n">
        <v>1</v>
      </c>
      <c r="K38" s="17" t="n">
        <v>0</v>
      </c>
      <c r="L38" s="17" t="inlineStr">
        <is>
          <t>30.10.2024 09:57:21</t>
        </is>
      </c>
      <c r="M38" s="19" t="inlineStr">
        <is>
          <t>0 sec</t>
        </is>
      </c>
      <c r="N38" s="17" t="inlineStr">
        <is>
          <t xml:space="preserve">        128K           128K            38K</t>
        </is>
      </c>
      <c r="O38" s="17" t="inlineStr">
        <is>
          <t>BDF9vxbCbsRZS2DBCSgBQvb45uA2wjKmTHNXcfK7pump</t>
        </is>
      </c>
      <c r="P38" s="17">
        <f>HYPERLINK("https://dexscreener.com/solana/BDF9vxbCbsRZS2DBCSgBQvb45uA2wjKmTHNXcfK7pump", "View")</f>
        <v/>
      </c>
    </row>
    <row r="39">
      <c r="A39" s="20" t="inlineStr">
        <is>
          <t>GARBAGE</t>
        </is>
      </c>
      <c r="B39" s="21" t="n">
        <v>772600</v>
      </c>
      <c r="C39" s="21" t="n">
        <v>0</v>
      </c>
      <c r="D39" s="21" t="inlineStr">
        <is>
          <t>0.000010</t>
        </is>
      </c>
      <c r="E39" s="21" t="inlineStr">
        <is>
          <t>0.980 SOL</t>
        </is>
      </c>
      <c r="F39" s="21" t="inlineStr">
        <is>
          <t>0.000 SOL</t>
        </is>
      </c>
      <c r="G39" s="18" t="inlineStr">
        <is>
          <t>-0.980 SOL</t>
        </is>
      </c>
      <c r="H39" s="18" t="inlineStr">
        <is>
          <t>0.00%</t>
        </is>
      </c>
      <c r="I39" s="21" t="inlineStr">
        <is>
          <t>772,600</t>
        </is>
      </c>
      <c r="J39" s="21" t="n">
        <v>1</v>
      </c>
      <c r="K39" s="21" t="n">
        <v>0</v>
      </c>
      <c r="L39" s="21" t="inlineStr">
        <is>
          <t>30.10.2024 08:53:57</t>
        </is>
      </c>
      <c r="M39" s="19" t="inlineStr">
        <is>
          <t>0 sec</t>
        </is>
      </c>
      <c r="N39" s="21" t="inlineStr">
        <is>
          <t xml:space="preserve">        223K           223K            96K</t>
        </is>
      </c>
      <c r="O39" s="21" t="inlineStr">
        <is>
          <t>4bj1v8h1AdRiLvpUBTzPk1pKDCB6eSTFyZ9G1c8g8ayE</t>
        </is>
      </c>
      <c r="P39" s="21">
        <f>HYPERLINK("https://dexscreener.com/solana/4bj1v8h1AdRiLvpUBTzPk1pKDCB6eSTFyZ9G1c8g8ayE", "View")</f>
        <v/>
      </c>
    </row>
    <row r="40">
      <c r="A40" s="16" t="inlineStr">
        <is>
          <t>EAGLE</t>
        </is>
      </c>
      <c r="B40" s="17" t="n">
        <v>301992</v>
      </c>
      <c r="C40" s="17" t="n">
        <v>271792</v>
      </c>
      <c r="D40" s="17" t="inlineStr">
        <is>
          <t>0.000010</t>
        </is>
      </c>
      <c r="E40" s="17" t="inlineStr">
        <is>
          <t>0.980 SOL</t>
        </is>
      </c>
      <c r="F40" s="17" t="inlineStr">
        <is>
          <t>0.055 SOL</t>
        </is>
      </c>
      <c r="G40" s="23" t="inlineStr">
        <is>
          <t>-0.925 SOL</t>
        </is>
      </c>
      <c r="H40" s="23" t="inlineStr">
        <is>
          <t>-94.37%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30.10.2024 08:24:10</t>
        </is>
      </c>
      <c r="M40" s="17" t="inlineStr">
        <is>
          <t>6 hours</t>
        </is>
      </c>
      <c r="N40" s="17" t="inlineStr">
        <is>
          <t xml:space="preserve">        571K           571K            11K</t>
        </is>
      </c>
      <c r="O40" s="17" t="inlineStr">
        <is>
          <t>FLayaUPfFxmC1Vz3i4ebKT9uwEVv4ribyCqENnQ9pump</t>
        </is>
      </c>
      <c r="P40" s="17">
        <f>HYPERLINK("https://dexscreener.com/solana/FLayaUPfFxmC1Vz3i4ebKT9uwEVv4ribyCqENnQ9pump", "View")</f>
        <v/>
      </c>
    </row>
    <row r="41">
      <c r="A41" s="20" t="inlineStr">
        <is>
          <t>WYR</t>
        </is>
      </c>
      <c r="B41" s="21" t="n">
        <v>4221201</v>
      </c>
      <c r="C41" s="21" t="n">
        <v>0</v>
      </c>
      <c r="D41" s="21" t="inlineStr">
        <is>
          <t>0.000010</t>
        </is>
      </c>
      <c r="E41" s="21" t="inlineStr">
        <is>
          <t>0.980 SOL</t>
        </is>
      </c>
      <c r="F41" s="21" t="inlineStr">
        <is>
          <t>0.000 SOL</t>
        </is>
      </c>
      <c r="G41" s="18" t="inlineStr">
        <is>
          <t>-0.980 SOL</t>
        </is>
      </c>
      <c r="H41" s="18" t="inlineStr">
        <is>
          <t>0.00%</t>
        </is>
      </c>
      <c r="I41" s="21" t="inlineStr">
        <is>
          <t>4,221,201</t>
        </is>
      </c>
      <c r="J41" s="21" t="n">
        <v>1</v>
      </c>
      <c r="K41" s="21" t="n">
        <v>0</v>
      </c>
      <c r="L41" s="21" t="inlineStr">
        <is>
          <t>30.10.2024 08:15:27</t>
        </is>
      </c>
      <c r="M41" s="19" t="inlineStr">
        <is>
          <t>0 sec</t>
        </is>
      </c>
      <c r="N41" s="21" t="inlineStr">
        <is>
          <t xml:space="preserve">         40K            40K             5K</t>
        </is>
      </c>
      <c r="O41" s="21" t="inlineStr">
        <is>
          <t>2CtwtX2A3jXgxG8WFJThQiNZpHzvqiCVwNU4za9fWH23</t>
        </is>
      </c>
      <c r="P41" s="21">
        <f>HYPERLINK("https://dexscreener.com/solana/2CtwtX2A3jXgxG8WFJThQiNZpHzvqiCVwNU4za9fWH23", "View")</f>
        <v/>
      </c>
    </row>
    <row r="42">
      <c r="A42" s="16" t="inlineStr">
        <is>
          <t>WYR</t>
        </is>
      </c>
      <c r="B42" s="17" t="n">
        <v>3332238</v>
      </c>
      <c r="C42" s="17" t="n">
        <v>0</v>
      </c>
      <c r="D42" s="17" t="inlineStr">
        <is>
          <t>0.000010</t>
        </is>
      </c>
      <c r="E42" s="17" t="inlineStr">
        <is>
          <t>0.980 SOL</t>
        </is>
      </c>
      <c r="F42" s="17" t="inlineStr">
        <is>
          <t>0.000 SOL</t>
        </is>
      </c>
      <c r="G42" s="18" t="inlineStr">
        <is>
          <t>-0.980 SOL</t>
        </is>
      </c>
      <c r="H42" s="18" t="inlineStr">
        <is>
          <t>0.00%</t>
        </is>
      </c>
      <c r="I42" s="17" t="inlineStr">
        <is>
          <t>3,332,238</t>
        </is>
      </c>
      <c r="J42" s="17" t="n">
        <v>1</v>
      </c>
      <c r="K42" s="17" t="n">
        <v>0</v>
      </c>
      <c r="L42" s="17" t="inlineStr">
        <is>
          <t>30.10.2024 08:03:18</t>
        </is>
      </c>
      <c r="M42" s="19" t="inlineStr">
        <is>
          <t>0 sec</t>
        </is>
      </c>
      <c r="N42" s="17" t="inlineStr">
        <is>
          <t xml:space="preserve">         51K            51K            11K</t>
        </is>
      </c>
      <c r="O42" s="17" t="inlineStr">
        <is>
          <t>7595tbPqDXijgZ3q2raR9aS311agcokwAJ21aczVpump</t>
        </is>
      </c>
      <c r="P42" s="17">
        <f>HYPERLINK("https://dexscreener.com/solana/7595tbPqDXijgZ3q2raR9aS311agcokwAJ21aczVpump", "View")</f>
        <v/>
      </c>
    </row>
    <row r="43">
      <c r="A43" s="20" t="inlineStr">
        <is>
          <t>EAGLE</t>
        </is>
      </c>
      <c r="B43" s="21" t="n">
        <v>876805</v>
      </c>
      <c r="C43" s="21" t="n">
        <v>789124</v>
      </c>
      <c r="D43" s="21" t="inlineStr">
        <is>
          <t>0.000010</t>
        </is>
      </c>
      <c r="E43" s="21" t="inlineStr">
        <is>
          <t>0.980 SOL</t>
        </is>
      </c>
      <c r="F43" s="21" t="inlineStr">
        <is>
          <t>0.054 SOL</t>
        </is>
      </c>
      <c r="G43" s="23" t="inlineStr">
        <is>
          <t>-0.927 SOL</t>
        </is>
      </c>
      <c r="H43" s="23" t="inlineStr">
        <is>
          <t>-94.53%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30.10.2024 07:48:10</t>
        </is>
      </c>
      <c r="M43" s="21" t="inlineStr">
        <is>
          <t>3 hours</t>
        </is>
      </c>
      <c r="N43" s="21" t="inlineStr">
        <is>
          <t xml:space="preserve">        197K           197K             6K</t>
        </is>
      </c>
      <c r="O43" s="21" t="inlineStr">
        <is>
          <t>AvtvsN1637RbMeRvZ2oagd5R5GVNfhj6jQubHcxjpump</t>
        </is>
      </c>
      <c r="P43" s="21">
        <f>HYPERLINK("https://dexscreener.com/solana/AvtvsN1637RbMeRvZ2oagd5R5GVNfhj6jQubHcxjpump", "View")</f>
        <v/>
      </c>
    </row>
    <row r="44">
      <c r="A44" s="16" t="inlineStr">
        <is>
          <t>ACE</t>
        </is>
      </c>
      <c r="B44" s="17" t="n">
        <v>1498121</v>
      </c>
      <c r="C44" s="17" t="n">
        <v>0</v>
      </c>
      <c r="D44" s="17" t="inlineStr">
        <is>
          <t>0.000010</t>
        </is>
      </c>
      <c r="E44" s="17" t="inlineStr">
        <is>
          <t>0.980 SOL</t>
        </is>
      </c>
      <c r="F44" s="17" t="inlineStr">
        <is>
          <t>0.000 SOL</t>
        </is>
      </c>
      <c r="G44" s="18" t="inlineStr">
        <is>
          <t>-0.980 SOL</t>
        </is>
      </c>
      <c r="H44" s="18" t="inlineStr">
        <is>
          <t>0.00%</t>
        </is>
      </c>
      <c r="I44" s="17" t="inlineStr">
        <is>
          <t>1,498,121</t>
        </is>
      </c>
      <c r="J44" s="17" t="n">
        <v>1</v>
      </c>
      <c r="K44" s="17" t="n">
        <v>0</v>
      </c>
      <c r="L44" s="17" t="inlineStr">
        <is>
          <t>30.10.2024 04:45:22</t>
        </is>
      </c>
      <c r="M44" s="19" t="inlineStr">
        <is>
          <t>0 sec</t>
        </is>
      </c>
      <c r="N44" s="17" t="inlineStr">
        <is>
          <t xml:space="preserve">        114K           114K            40K</t>
        </is>
      </c>
      <c r="O44" s="17" t="inlineStr">
        <is>
          <t>FofgVUkAzbffK3mw8ZEwMof8Lbpx59KkXRV4exhkpump</t>
        </is>
      </c>
      <c r="P44" s="17">
        <f>HYPERLINK("https://dexscreener.com/solana/FofgVUkAzbffK3mw8ZEwMof8Lbpx59KkXRV4exhkpump", "View")</f>
        <v/>
      </c>
    </row>
    <row r="45">
      <c r="A45" s="20" t="inlineStr">
        <is>
          <t>tee_hee_he</t>
        </is>
      </c>
      <c r="B45" s="21" t="n">
        <v>2264618</v>
      </c>
      <c r="C45" s="21" t="n">
        <v>2072125</v>
      </c>
      <c r="D45" s="21" t="inlineStr">
        <is>
          <t>0.000020</t>
        </is>
      </c>
      <c r="E45" s="21" t="inlineStr">
        <is>
          <t>0.980 SOL</t>
        </is>
      </c>
      <c r="F45" s="21" t="inlineStr">
        <is>
          <t>0.783 SOL</t>
        </is>
      </c>
      <c r="G45" s="25" t="inlineStr">
        <is>
          <t>-0.197 SOL</t>
        </is>
      </c>
      <c r="H45" s="25" t="inlineStr">
        <is>
          <t>-20.06%</t>
        </is>
      </c>
      <c r="I45" s="21" t="inlineStr">
        <is>
          <t>N/A</t>
        </is>
      </c>
      <c r="J45" s="21" t="n">
        <v>1</v>
      </c>
      <c r="K45" s="21" t="n">
        <v>2</v>
      </c>
      <c r="L45" s="21" t="inlineStr">
        <is>
          <t>30.10.2024 03:19:10</t>
        </is>
      </c>
      <c r="M45" s="21" t="inlineStr">
        <is>
          <t>1 hours</t>
        </is>
      </c>
      <c r="N45" s="21" t="inlineStr">
        <is>
          <t xml:space="preserve">         76K            76K            14K</t>
        </is>
      </c>
      <c r="O45" s="21" t="inlineStr">
        <is>
          <t>HAhiXodNYcpQU2EvvxdUpkP3EdbDpZiP4G3jrGeFmKhZ</t>
        </is>
      </c>
      <c r="P45" s="21">
        <f>HYPERLINK("https://dexscreener.com/solana/HAhiXodNYcpQU2EvvxdUpkP3EdbDpZiP4G3jrGeFmKhZ", "View")</f>
        <v/>
      </c>
    </row>
    <row r="46">
      <c r="A46" s="16" t="inlineStr">
        <is>
          <t>Jarvis</t>
        </is>
      </c>
      <c r="B46" s="17" t="n">
        <v>1183241</v>
      </c>
      <c r="C46" s="17" t="n">
        <v>0</v>
      </c>
      <c r="D46" s="17" t="inlineStr">
        <is>
          <t>0.000010</t>
        </is>
      </c>
      <c r="E46" s="17" t="inlineStr">
        <is>
          <t>0.980 SOL</t>
        </is>
      </c>
      <c r="F46" s="17" t="inlineStr">
        <is>
          <t>0.000 SOL</t>
        </is>
      </c>
      <c r="G46" s="18" t="inlineStr">
        <is>
          <t>-0.980 SOL</t>
        </is>
      </c>
      <c r="H46" s="18" t="inlineStr">
        <is>
          <t>0.00%</t>
        </is>
      </c>
      <c r="I46" s="17" t="inlineStr">
        <is>
          <t>1,183,241</t>
        </is>
      </c>
      <c r="J46" s="17" t="n">
        <v>1</v>
      </c>
      <c r="K46" s="17" t="n">
        <v>0</v>
      </c>
      <c r="L46" s="17" t="inlineStr">
        <is>
          <t>30.10.2024 03:03:14</t>
        </is>
      </c>
      <c r="M46" s="19" t="inlineStr">
        <is>
          <t>0 sec</t>
        </is>
      </c>
      <c r="N46" s="17" t="inlineStr">
        <is>
          <t xml:space="preserve">        143K           143K            16K</t>
        </is>
      </c>
      <c r="O46" s="17" t="inlineStr">
        <is>
          <t>CmpuL8k9KY3NrpfDRoJrVmuwd1zRMFRUxX55avyGpump</t>
        </is>
      </c>
      <c r="P46" s="17">
        <f>HYPERLINK("https://dexscreener.com/solana/CmpuL8k9KY3NrpfDRoJrVmuwd1zRMFRUxX55avyGpump", "View")</f>
        <v/>
      </c>
    </row>
    <row r="47">
      <c r="A47" s="20" t="inlineStr">
        <is>
          <t>CHUNK</t>
        </is>
      </c>
      <c r="B47" s="21" t="n">
        <v>607671</v>
      </c>
      <c r="C47" s="21" t="n">
        <v>546904</v>
      </c>
      <c r="D47" s="21" t="inlineStr">
        <is>
          <t>0.000010</t>
        </is>
      </c>
      <c r="E47" s="21" t="inlineStr">
        <is>
          <t>0.980 SOL</t>
        </is>
      </c>
      <c r="F47" s="21" t="inlineStr">
        <is>
          <t>0.063 SOL</t>
        </is>
      </c>
      <c r="G47" s="23" t="inlineStr">
        <is>
          <t>-0.917 SOL</t>
        </is>
      </c>
      <c r="H47" s="23" t="inlineStr">
        <is>
          <t>-93.56%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30.10.2024 03:03:11</t>
        </is>
      </c>
      <c r="M47" s="21" t="inlineStr">
        <is>
          <t>2 hours</t>
        </is>
      </c>
      <c r="N47" s="21" t="inlineStr">
        <is>
          <t xml:space="preserve">        283K           283K            39K</t>
        </is>
      </c>
      <c r="O47" s="21" t="inlineStr">
        <is>
          <t>FBt8wpmyvhoTRmwcXUpmGh351Wt8fQMtptXsMWmWpump</t>
        </is>
      </c>
      <c r="P47" s="21">
        <f>HYPERLINK("https://dexscreener.com/solana/FBt8wpmyvhoTRmwcXUpmGh351Wt8fQMtptXsMWmWpump", "View")</f>
        <v/>
      </c>
    </row>
    <row r="48">
      <c r="A48" s="16" t="inlineStr">
        <is>
          <t>NUTBUTT</t>
        </is>
      </c>
      <c r="B48" s="17" t="n">
        <v>960390</v>
      </c>
      <c r="C48" s="17" t="n">
        <v>0</v>
      </c>
      <c r="D48" s="17" t="inlineStr">
        <is>
          <t>0.000010</t>
        </is>
      </c>
      <c r="E48" s="17" t="inlineStr">
        <is>
          <t>0.980 SOL</t>
        </is>
      </c>
      <c r="F48" s="17" t="inlineStr">
        <is>
          <t>0.000 SOL</t>
        </is>
      </c>
      <c r="G48" s="18" t="inlineStr">
        <is>
          <t>-0.980 SOL</t>
        </is>
      </c>
      <c r="H48" s="18" t="inlineStr">
        <is>
          <t>0.00%</t>
        </is>
      </c>
      <c r="I48" s="17" t="inlineStr">
        <is>
          <t>960,390</t>
        </is>
      </c>
      <c r="J48" s="17" t="n">
        <v>1</v>
      </c>
      <c r="K48" s="17" t="n">
        <v>0</v>
      </c>
      <c r="L48" s="17" t="inlineStr">
        <is>
          <t>30.10.2024 02:21:17</t>
        </is>
      </c>
      <c r="M48" s="19" t="inlineStr">
        <is>
          <t>0 sec</t>
        </is>
      </c>
      <c r="N48" s="17" t="inlineStr">
        <is>
          <t xml:space="preserve">        179K           179K           657K</t>
        </is>
      </c>
      <c r="O48" s="17" t="inlineStr">
        <is>
          <t>CFBYjzT357obRmihT9F5uyCY3kqgksRvXKM3RJN1pump</t>
        </is>
      </c>
      <c r="P48" s="17">
        <f>HYPERLINK("https://dexscreener.com/solana/CFBYjzT357obRmihT9F5uyCY3kqgksRvXKM3RJN1pump", "View")</f>
        <v/>
      </c>
    </row>
    <row r="49">
      <c r="A49" s="20" t="inlineStr">
        <is>
          <t>ROSE</t>
        </is>
      </c>
      <c r="B49" s="21" t="n">
        <v>1334436</v>
      </c>
      <c r="C49" s="21" t="n">
        <v>1200992</v>
      </c>
      <c r="D49" s="21" t="inlineStr">
        <is>
          <t>0.000010</t>
        </is>
      </c>
      <c r="E49" s="21" t="inlineStr">
        <is>
          <t>0.980 SOL</t>
        </is>
      </c>
      <c r="F49" s="21" t="inlineStr">
        <is>
          <t>0.087 SOL</t>
        </is>
      </c>
      <c r="G49" s="23" t="inlineStr">
        <is>
          <t>-0.893 SOL</t>
        </is>
      </c>
      <c r="H49" s="23" t="inlineStr">
        <is>
          <t>-91.14%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30.10.2024 01:27:08</t>
        </is>
      </c>
      <c r="M49" s="21" t="inlineStr">
        <is>
          <t>44 min</t>
        </is>
      </c>
      <c r="N49" s="21" t="inlineStr">
        <is>
          <t xml:space="preserve">        128K            12K             5K</t>
        </is>
      </c>
      <c r="O49" s="21" t="inlineStr">
        <is>
          <t>9tfZ7q7AePzusVRPTLejhtAT4fJos6cUtfr8uvg8pump</t>
        </is>
      </c>
      <c r="P49" s="21">
        <f>HYPERLINK("https://dexscreener.com/solana/9tfZ7q7AePzusVRPTLejhtAT4fJos6cUtfr8uvg8pump", "View")</f>
        <v/>
      </c>
    </row>
    <row r="50">
      <c r="A50" s="16" t="inlineStr">
        <is>
          <t>Me</t>
        </is>
      </c>
      <c r="B50" s="17" t="n">
        <v>1563233</v>
      </c>
      <c r="C50" s="17" t="n">
        <v>0</v>
      </c>
      <c r="D50" s="17" t="inlineStr">
        <is>
          <t>0.000010</t>
        </is>
      </c>
      <c r="E50" s="17" t="inlineStr">
        <is>
          <t>0.980 SOL</t>
        </is>
      </c>
      <c r="F50" s="17" t="inlineStr">
        <is>
          <t>0.000 SOL</t>
        </is>
      </c>
      <c r="G50" s="18" t="inlineStr">
        <is>
          <t>-0.980 SOL</t>
        </is>
      </c>
      <c r="H50" s="18" t="inlineStr">
        <is>
          <t>0.00%</t>
        </is>
      </c>
      <c r="I50" s="17" t="inlineStr">
        <is>
          <t>1,563,233</t>
        </is>
      </c>
      <c r="J50" s="17" t="n">
        <v>1</v>
      </c>
      <c r="K50" s="17" t="n">
        <v>0</v>
      </c>
      <c r="L50" s="17" t="inlineStr">
        <is>
          <t>30.10.2024 01:18:26</t>
        </is>
      </c>
      <c r="M50" s="19" t="inlineStr">
        <is>
          <t>0 sec</t>
        </is>
      </c>
      <c r="N50" s="17" t="inlineStr">
        <is>
          <t xml:space="preserve">        111K           111K           159K</t>
        </is>
      </c>
      <c r="O50" s="17" t="inlineStr">
        <is>
          <t>4Y47LEufvcSSSbTFojcvW4Y6x2KZXrqG2urNBSvHpump</t>
        </is>
      </c>
      <c r="P50" s="17">
        <f>HYPERLINK("https://dexscreener.com/solana/4Y47LEufvcSSSbTFojcvW4Y6x2KZXrqG2urNBSvHpump", "View")</f>
        <v/>
      </c>
    </row>
    <row r="51">
      <c r="A51" s="20" t="inlineStr">
        <is>
          <t>ct</t>
        </is>
      </c>
      <c r="B51" s="21" t="n">
        <v>1032820</v>
      </c>
      <c r="C51" s="21" t="n">
        <v>0</v>
      </c>
      <c r="D51" s="21" t="inlineStr">
        <is>
          <t>0.000010</t>
        </is>
      </c>
      <c r="E51" s="21" t="inlineStr">
        <is>
          <t>0.980 SOL</t>
        </is>
      </c>
      <c r="F51" s="21" t="inlineStr">
        <is>
          <t>0.000 SOL</t>
        </is>
      </c>
      <c r="G51" s="18" t="inlineStr">
        <is>
          <t>-0.980 SOL</t>
        </is>
      </c>
      <c r="H51" s="18" t="inlineStr">
        <is>
          <t>0.00%</t>
        </is>
      </c>
      <c r="I51" s="21" t="inlineStr">
        <is>
          <t>1,032,820</t>
        </is>
      </c>
      <c r="J51" s="21" t="n">
        <v>1</v>
      </c>
      <c r="K51" s="21" t="n">
        <v>0</v>
      </c>
      <c r="L51" s="21" t="inlineStr">
        <is>
          <t>30.10.2024 01:18:15</t>
        </is>
      </c>
      <c r="M51" s="19" t="inlineStr">
        <is>
          <t>0 sec</t>
        </is>
      </c>
      <c r="N51" s="21" t="inlineStr">
        <is>
          <t xml:space="preserve">        167K           167K            13K</t>
        </is>
      </c>
      <c r="O51" s="21" t="inlineStr">
        <is>
          <t>GimSK2arRBpobD8WNs63m3pZWUZx2953nUgSLdDRpump</t>
        </is>
      </c>
      <c r="P51" s="21">
        <f>HYPERLINK("https://dexscreener.com/solana/GimSK2arRBpobD8WNs63m3pZWUZx2953nUgSLdDRpump", "View")</f>
        <v/>
      </c>
    </row>
    <row r="52">
      <c r="A52" s="16" t="inlineStr">
        <is>
          <t>SENDISM</t>
        </is>
      </c>
      <c r="B52" s="17" t="n">
        <v>785559</v>
      </c>
      <c r="C52" s="17" t="n">
        <v>0</v>
      </c>
      <c r="D52" s="17" t="inlineStr">
        <is>
          <t>0.000010</t>
        </is>
      </c>
      <c r="E52" s="17" t="inlineStr">
        <is>
          <t>0.980 SOL</t>
        </is>
      </c>
      <c r="F52" s="17" t="inlineStr">
        <is>
          <t>0.000 SOL</t>
        </is>
      </c>
      <c r="G52" s="18" t="inlineStr">
        <is>
          <t>-0.980 SOL</t>
        </is>
      </c>
      <c r="H52" s="18" t="inlineStr">
        <is>
          <t>0.00%</t>
        </is>
      </c>
      <c r="I52" s="17" t="inlineStr">
        <is>
          <t>785,559</t>
        </is>
      </c>
      <c r="J52" s="17" t="n">
        <v>1</v>
      </c>
      <c r="K52" s="17" t="n">
        <v>0</v>
      </c>
      <c r="L52" s="17" t="inlineStr">
        <is>
          <t>29.10.2024 22:57:27</t>
        </is>
      </c>
      <c r="M52" s="19" t="inlineStr">
        <is>
          <t>0 sec</t>
        </is>
      </c>
      <c r="N52" s="17" t="inlineStr">
        <is>
          <t xml:space="preserve">        218K           218K            39K</t>
        </is>
      </c>
      <c r="O52" s="17" t="inlineStr">
        <is>
          <t>AcR5GTb5YFrCXCbPBZBNwyJhcN1VjUokPwhL87wupump</t>
        </is>
      </c>
      <c r="P52" s="17">
        <f>HYPERLINK("https://dexscreener.com/solana/AcR5GTb5YFrCXCbPBZBNwyJhcN1VjUokPwhL87wupump", "View")</f>
        <v/>
      </c>
    </row>
    <row r="53">
      <c r="A53" s="20" t="inlineStr">
        <is>
          <t>CT</t>
        </is>
      </c>
      <c r="B53" s="21" t="n">
        <v>3122741</v>
      </c>
      <c r="C53" s="21" t="n">
        <v>2810466</v>
      </c>
      <c r="D53" s="21" t="inlineStr">
        <is>
          <t>0.000010</t>
        </is>
      </c>
      <c r="E53" s="21" t="inlineStr">
        <is>
          <t>0.980 SOL</t>
        </is>
      </c>
      <c r="F53" s="21" t="inlineStr">
        <is>
          <t>0.083 SOL</t>
        </is>
      </c>
      <c r="G53" s="23" t="inlineStr">
        <is>
          <t>-0.897 SOL</t>
        </is>
      </c>
      <c r="H53" s="23" t="inlineStr">
        <is>
          <t>-91.55%</t>
        </is>
      </c>
      <c r="I53" s="21" t="inlineStr">
        <is>
          <t>N/A</t>
        </is>
      </c>
      <c r="J53" s="21" t="n">
        <v>1</v>
      </c>
      <c r="K53" s="21" t="n">
        <v>1</v>
      </c>
      <c r="L53" s="21" t="inlineStr">
        <is>
          <t>29.10.2024 22:05:08</t>
        </is>
      </c>
      <c r="M53" s="21" t="inlineStr">
        <is>
          <t>2 hours</t>
        </is>
      </c>
      <c r="N53" s="21" t="inlineStr">
        <is>
          <t xml:space="preserve">         54K             5K             4K</t>
        </is>
      </c>
      <c r="O53" s="21" t="inlineStr">
        <is>
          <t>4EAbchR1spQ3UGq4AD2z6uScmQFenWYuGB15wPAapump</t>
        </is>
      </c>
      <c r="P53" s="21">
        <f>HYPERLINK("https://dexscreener.com/solana/4EAbchR1spQ3UGq4AD2z6uScmQFenWYuGB15wPAapump", "View")</f>
        <v/>
      </c>
    </row>
    <row r="54">
      <c r="A54" s="16" t="inlineStr">
        <is>
          <t>FEET</t>
        </is>
      </c>
      <c r="B54" s="17" t="n">
        <v>4786775</v>
      </c>
      <c r="C54" s="17" t="n">
        <v>0</v>
      </c>
      <c r="D54" s="17" t="inlineStr">
        <is>
          <t>0.000010</t>
        </is>
      </c>
      <c r="E54" s="17" t="inlineStr">
        <is>
          <t>0.980 SOL</t>
        </is>
      </c>
      <c r="F54" s="17" t="inlineStr">
        <is>
          <t>0.000 SOL</t>
        </is>
      </c>
      <c r="G54" s="18" t="inlineStr">
        <is>
          <t>-0.980 SOL</t>
        </is>
      </c>
      <c r="H54" s="18" t="inlineStr">
        <is>
          <t>0.00%</t>
        </is>
      </c>
      <c r="I54" s="17" t="inlineStr">
        <is>
          <t>4,786,775</t>
        </is>
      </c>
      <c r="J54" s="17" t="n">
        <v>1</v>
      </c>
      <c r="K54" s="17" t="n">
        <v>0</v>
      </c>
      <c r="L54" s="17" t="inlineStr">
        <is>
          <t>29.10.2024 21:12:20</t>
        </is>
      </c>
      <c r="M54" s="19" t="inlineStr">
        <is>
          <t>0 sec</t>
        </is>
      </c>
      <c r="N54" s="17" t="inlineStr">
        <is>
          <t xml:space="preserve">         35K            35K             4K</t>
        </is>
      </c>
      <c r="O54" s="17" t="inlineStr">
        <is>
          <t>EDDF6iM6Mgg4MntKTpkKQBBnZ8Up3ZtTxR6ijKocpump</t>
        </is>
      </c>
      <c r="P54" s="17">
        <f>HYPERLINK("https://dexscreener.com/solana/EDDF6iM6Mgg4MntKTpkKQBBnZ8Up3ZtTxR6ijKocpump", "View")</f>
        <v/>
      </c>
    </row>
    <row r="55">
      <c r="A55" s="20" t="inlineStr">
        <is>
          <t>NetCoin</t>
        </is>
      </c>
      <c r="B55" s="21" t="n">
        <v>1878878</v>
      </c>
      <c r="C55" s="21" t="n">
        <v>0</v>
      </c>
      <c r="D55" s="21" t="inlineStr">
        <is>
          <t>0.000010</t>
        </is>
      </c>
      <c r="E55" s="21" t="inlineStr">
        <is>
          <t>0.980 SOL</t>
        </is>
      </c>
      <c r="F55" s="21" t="inlineStr">
        <is>
          <t>0.000 SOL</t>
        </is>
      </c>
      <c r="G55" s="18" t="inlineStr">
        <is>
          <t>-0.980 SOL</t>
        </is>
      </c>
      <c r="H55" s="18" t="inlineStr">
        <is>
          <t>0.00%</t>
        </is>
      </c>
      <c r="I55" s="21" t="inlineStr">
        <is>
          <t>1,878,878</t>
        </is>
      </c>
      <c r="J55" s="21" t="n">
        <v>1</v>
      </c>
      <c r="K55" s="21" t="n">
        <v>0</v>
      </c>
      <c r="L55" s="21" t="inlineStr">
        <is>
          <t>29.10.2024 21:03:15</t>
        </is>
      </c>
      <c r="M55" s="19" t="inlineStr">
        <is>
          <t>0 sec</t>
        </is>
      </c>
      <c r="N55" s="21" t="inlineStr">
        <is>
          <t xml:space="preserve">         82K            82K            54K</t>
        </is>
      </c>
      <c r="O55" s="21" t="inlineStr">
        <is>
          <t>uQpp5Beupw8xBev8WSxgyeUdgPT6hDBCEHjMjWspump</t>
        </is>
      </c>
      <c r="P55" s="21">
        <f>HYPERLINK("https://dexscreener.com/solana/uQpp5Beupw8xBev8WSxgyeUdgPT6hDBCEHjMjWspump", "View")</f>
        <v/>
      </c>
    </row>
    <row r="56">
      <c r="A56" s="16" t="inlineStr">
        <is>
          <t>BREAD</t>
        </is>
      </c>
      <c r="B56" s="17" t="n">
        <v>1588576</v>
      </c>
      <c r="C56" s="17" t="n">
        <v>0</v>
      </c>
      <c r="D56" s="17" t="inlineStr">
        <is>
          <t>0.000010</t>
        </is>
      </c>
      <c r="E56" s="17" t="inlineStr">
        <is>
          <t>0.980 SOL</t>
        </is>
      </c>
      <c r="F56" s="17" t="inlineStr">
        <is>
          <t>0.000 SOL</t>
        </is>
      </c>
      <c r="G56" s="18" t="inlineStr">
        <is>
          <t>-0.980 SOL</t>
        </is>
      </c>
      <c r="H56" s="18" t="inlineStr">
        <is>
          <t>0.00%</t>
        </is>
      </c>
      <c r="I56" s="17" t="inlineStr">
        <is>
          <t>1,588,576</t>
        </is>
      </c>
      <c r="J56" s="17" t="n">
        <v>1</v>
      </c>
      <c r="K56" s="17" t="n">
        <v>0</v>
      </c>
      <c r="L56" s="17" t="inlineStr">
        <is>
          <t>29.10.2024 20:09:15</t>
        </is>
      </c>
      <c r="M56" s="19" t="inlineStr">
        <is>
          <t>0 sec</t>
        </is>
      </c>
      <c r="N56" s="17" t="inlineStr">
        <is>
          <t xml:space="preserve">        109K           109K             5K</t>
        </is>
      </c>
      <c r="O56" s="17" t="inlineStr">
        <is>
          <t>3R49ZACNKMPdzwtRb5eXfqNRmcHp9R4NppNhKtRhpump</t>
        </is>
      </c>
      <c r="P56" s="17">
        <f>HYPERLINK("https://dexscreener.com/solana/3R49ZACNKMPdzwtRb5eXfqNRmcHp9R4NppNhKtRhpump", "View")</f>
        <v/>
      </c>
    </row>
    <row r="57">
      <c r="A57" s="20" t="inlineStr">
        <is>
          <t>Gluon</t>
        </is>
      </c>
      <c r="B57" s="21" t="n">
        <v>2469075</v>
      </c>
      <c r="C57" s="21" t="n">
        <v>0</v>
      </c>
      <c r="D57" s="21" t="inlineStr">
        <is>
          <t>0.000010</t>
        </is>
      </c>
      <c r="E57" s="21" t="inlineStr">
        <is>
          <t>0.980 SOL</t>
        </is>
      </c>
      <c r="F57" s="21" t="inlineStr">
        <is>
          <t>0.000 SOL</t>
        </is>
      </c>
      <c r="G57" s="18" t="inlineStr">
        <is>
          <t>-0.980 SOL</t>
        </is>
      </c>
      <c r="H57" s="18" t="inlineStr">
        <is>
          <t>0.00%</t>
        </is>
      </c>
      <c r="I57" s="21" t="inlineStr">
        <is>
          <t>2,469,075</t>
        </is>
      </c>
      <c r="J57" s="21" t="n">
        <v>1</v>
      </c>
      <c r="K57" s="21" t="n">
        <v>0</v>
      </c>
      <c r="L57" s="21" t="inlineStr">
        <is>
          <t>29.10.2024 20:00:22</t>
        </is>
      </c>
      <c r="M57" s="19" t="inlineStr">
        <is>
          <t>0 sec</t>
        </is>
      </c>
      <c r="N57" s="21" t="inlineStr">
        <is>
          <t xml:space="preserve">         70K            70K             4K</t>
        </is>
      </c>
      <c r="O57" s="21" t="inlineStr">
        <is>
          <t>FJq2ZhJJMCZmdqQdkbBRBc48bmuTPLHwyQjamQCSpump</t>
        </is>
      </c>
      <c r="P57" s="21">
        <f>HYPERLINK("https://dexscreener.com/solana/FJq2ZhJJMCZmdqQdkbBRBc48bmuTPLHwyQjamQCSpump", "View")</f>
        <v/>
      </c>
    </row>
    <row r="58">
      <c r="A58" s="16" t="inlineStr">
        <is>
          <t>😱</t>
        </is>
      </c>
      <c r="B58" s="17" t="n">
        <v>2852483</v>
      </c>
      <c r="C58" s="17" t="n">
        <v>1882638</v>
      </c>
      <c r="D58" s="17" t="inlineStr">
        <is>
          <t>0.006010</t>
        </is>
      </c>
      <c r="E58" s="17" t="inlineStr">
        <is>
          <t>0.980 SOL</t>
        </is>
      </c>
      <c r="F58" s="17" t="inlineStr">
        <is>
          <t>0.455 SOL</t>
        </is>
      </c>
      <c r="G58" s="23" t="inlineStr">
        <is>
          <t>-0.531 SOL</t>
        </is>
      </c>
      <c r="H58" s="23" t="inlineStr">
        <is>
          <t>-53.89%</t>
        </is>
      </c>
      <c r="I58" s="17" t="inlineStr">
        <is>
          <t>N/A</t>
        </is>
      </c>
      <c r="J58" s="17" t="n">
        <v>1</v>
      </c>
      <c r="K58" s="17" t="n">
        <v>1</v>
      </c>
      <c r="L58" s="17" t="inlineStr">
        <is>
          <t>29.10.2024 18:43:59</t>
        </is>
      </c>
      <c r="M58" s="17" t="inlineStr">
        <is>
          <t>8 days</t>
        </is>
      </c>
      <c r="N58" s="17" t="inlineStr">
        <is>
          <t xml:space="preserve">         60K            60K            31K</t>
        </is>
      </c>
      <c r="O58" s="17" t="inlineStr">
        <is>
          <t>GoQdiew2nNFjAVkuUZwz5sSZmpz3PY8b2n1iZbTJpump</t>
        </is>
      </c>
      <c r="P58" s="17">
        <f>HYPERLINK("https://dexscreener.com/solana/GoQdiew2nNFjAVkuUZwz5sSZmpz3PY8b2n1iZbTJpump", "View")</f>
        <v/>
      </c>
    </row>
    <row r="59">
      <c r="A59" s="20" t="inlineStr">
        <is>
          <t>FUBB</t>
        </is>
      </c>
      <c r="B59" s="21" t="n">
        <v>389379</v>
      </c>
      <c r="C59" s="21" t="n">
        <v>193716</v>
      </c>
      <c r="D59" s="21" t="inlineStr">
        <is>
          <t>0.006410</t>
        </is>
      </c>
      <c r="E59" s="21" t="inlineStr">
        <is>
          <t>0.980 SOL</t>
        </is>
      </c>
      <c r="F59" s="21" t="inlineStr">
        <is>
          <t>1.256 SOL</t>
        </is>
      </c>
      <c r="G59" s="22" t="inlineStr">
        <is>
          <t>0.270 SOL</t>
        </is>
      </c>
      <c r="H59" s="22" t="inlineStr">
        <is>
          <t>27.35%</t>
        </is>
      </c>
      <c r="I59" s="21" t="inlineStr">
        <is>
          <t>N/A</t>
        </is>
      </c>
      <c r="J59" s="21" t="n">
        <v>1</v>
      </c>
      <c r="K59" s="21" t="n">
        <v>2</v>
      </c>
      <c r="L59" s="21" t="inlineStr">
        <is>
          <t>29.10.2024 18:43:29</t>
        </is>
      </c>
      <c r="M59" s="21" t="inlineStr">
        <is>
          <t>8 days</t>
        </is>
      </c>
      <c r="N59" s="21" t="inlineStr">
        <is>
          <t xml:space="preserve">        438K           438K           383K</t>
        </is>
      </c>
      <c r="O59" s="21" t="inlineStr">
        <is>
          <t>5LgNLDTvjV6nKQHBEZ783VDoYN2PqGNAKDWPg8wCpump</t>
        </is>
      </c>
      <c r="P59" s="21">
        <f>HYPERLINK("https://dexscreener.com/solana/5LgNLDTvjV6nKQHBEZ783VDoYN2PqGNAKDWPg8wCpump", "View")</f>
        <v/>
      </c>
    </row>
    <row r="60">
      <c r="A60" s="16" t="inlineStr">
        <is>
          <t>wibwob</t>
        </is>
      </c>
      <c r="B60" s="17" t="n">
        <v>971013</v>
      </c>
      <c r="C60" s="17" t="n">
        <v>734815</v>
      </c>
      <c r="D60" s="17" t="inlineStr">
        <is>
          <t>0.021430</t>
        </is>
      </c>
      <c r="E60" s="17" t="inlineStr">
        <is>
          <t>0.980 SOL</t>
        </is>
      </c>
      <c r="F60" s="17" t="inlineStr">
        <is>
          <t>4.731 SOL</t>
        </is>
      </c>
      <c r="G60" s="24" t="inlineStr">
        <is>
          <t>3.729 SOL</t>
        </is>
      </c>
      <c r="H60" s="24" t="inlineStr">
        <is>
          <t>372.33%</t>
        </is>
      </c>
      <c r="I60" s="17" t="inlineStr">
        <is>
          <t>N/A</t>
        </is>
      </c>
      <c r="J60" s="17" t="n">
        <v>1</v>
      </c>
      <c r="K60" s="17" t="n">
        <v>5</v>
      </c>
      <c r="L60" s="17" t="inlineStr">
        <is>
          <t>29.10.2024 18:43:14</t>
        </is>
      </c>
      <c r="M60" s="17" t="inlineStr">
        <is>
          <t>8 days</t>
        </is>
      </c>
      <c r="N60" s="17" t="inlineStr">
        <is>
          <t xml:space="preserve">        174K             1M           290K</t>
        </is>
      </c>
      <c r="O60" s="17" t="inlineStr">
        <is>
          <t>5qmL9rCSfZ7pBYAsaoeG8SP76ZELeRCK8XtMmYZvpump</t>
        </is>
      </c>
      <c r="P60" s="17">
        <f>HYPERLINK("https://dexscreener.com/solana/5qmL9rCSfZ7pBYAsaoeG8SP76ZELeRCK8XtMmYZvpump", "View")</f>
        <v/>
      </c>
    </row>
    <row r="61">
      <c r="A61" s="20" t="inlineStr">
        <is>
          <t xml:space="preserve">Fartcoin </t>
        </is>
      </c>
      <c r="B61" s="21" t="n">
        <v>17557</v>
      </c>
      <c r="C61" s="21" t="n">
        <v>7802</v>
      </c>
      <c r="D61" s="21" t="inlineStr">
        <is>
          <t>0.001020</t>
        </is>
      </c>
      <c r="E61" s="21" t="inlineStr">
        <is>
          <t>1.000 SOL</t>
        </is>
      </c>
      <c r="F61" s="21" t="inlineStr">
        <is>
          <t>1.854 SOL</t>
        </is>
      </c>
      <c r="G61" s="24" t="inlineStr">
        <is>
          <t>0.853 SOL</t>
        </is>
      </c>
      <c r="H61" s="24" t="inlineStr">
        <is>
          <t>85.26%</t>
        </is>
      </c>
      <c r="I61" s="21" t="inlineStr">
        <is>
          <t>N/A</t>
        </is>
      </c>
      <c r="J61" s="21" t="n">
        <v>1</v>
      </c>
      <c r="K61" s="21" t="n">
        <v>3</v>
      </c>
      <c r="L61" s="21" t="inlineStr">
        <is>
          <t>29.10.2024 18:43:04</t>
        </is>
      </c>
      <c r="M61" s="21" t="inlineStr">
        <is>
          <t>10 days</t>
        </is>
      </c>
      <c r="N61" s="21" t="inlineStr">
        <is>
          <t xml:space="preserve">         10M            10M            23M</t>
        </is>
      </c>
      <c r="O61" s="21" t="inlineStr">
        <is>
          <t>9BB6NFEcjBCtnNLFko2FqVQBq8HHM13kCyYcdQbgpump</t>
        </is>
      </c>
      <c r="P61" s="21">
        <f>HYPERLINK("https://dexscreener.com/solana/9BB6NFEcjBCtnNLFko2FqVQBq8HHM13kCyYcdQbgpump", "View")</f>
        <v/>
      </c>
    </row>
    <row r="62">
      <c r="A62" s="16" t="inlineStr">
        <is>
          <t>Maxwell</t>
        </is>
      </c>
      <c r="B62" s="17" t="n">
        <v>899130</v>
      </c>
      <c r="C62" s="17" t="n">
        <v>696310</v>
      </c>
      <c r="D62" s="17" t="inlineStr">
        <is>
          <t>0.011020</t>
        </is>
      </c>
      <c r="E62" s="17" t="inlineStr">
        <is>
          <t>1.000 SOL</t>
        </is>
      </c>
      <c r="F62" s="17" t="inlineStr">
        <is>
          <t>2.976 SOL</t>
        </is>
      </c>
      <c r="G62" s="24" t="inlineStr">
        <is>
          <t>1.965 SOL</t>
        </is>
      </c>
      <c r="H62" s="24" t="inlineStr">
        <is>
          <t>194.33%</t>
        </is>
      </c>
      <c r="I62" s="17" t="inlineStr">
        <is>
          <t>N/A</t>
        </is>
      </c>
      <c r="J62" s="17" t="n">
        <v>1</v>
      </c>
      <c r="K62" s="17" t="n">
        <v>4</v>
      </c>
      <c r="L62" s="17" t="inlineStr">
        <is>
          <t>29.10.2024 18:42:52</t>
        </is>
      </c>
      <c r="M62" s="17" t="inlineStr">
        <is>
          <t>10 days</t>
        </is>
      </c>
      <c r="N62" s="17" t="inlineStr">
        <is>
          <t xml:space="preserve">        195K           195K           320K</t>
        </is>
      </c>
      <c r="O62" s="17" t="inlineStr">
        <is>
          <t>H84qihes12nVQarr8rzmw87hDXUbHtFKRm5joBcbpump</t>
        </is>
      </c>
      <c r="P62" s="17">
        <f>HYPERLINK("https://dexscreener.com/solana/H84qihes12nVQarr8rzmw87hDXUbHtFKRm5joBcbpump", "View")</f>
        <v/>
      </c>
    </row>
    <row r="63">
      <c r="A63" s="20" t="inlineStr">
        <is>
          <t>TEMPLE</t>
        </is>
      </c>
      <c r="B63" s="21" t="n">
        <v>5669844</v>
      </c>
      <c r="C63" s="21" t="n">
        <v>4582728</v>
      </c>
      <c r="D63" s="21" t="inlineStr">
        <is>
          <t>0.021430</t>
        </is>
      </c>
      <c r="E63" s="21" t="inlineStr">
        <is>
          <t>0.980 SOL</t>
        </is>
      </c>
      <c r="F63" s="21" t="inlineStr">
        <is>
          <t>7.843 SOL</t>
        </is>
      </c>
      <c r="G63" s="24" t="inlineStr">
        <is>
          <t>6.842 SOL</t>
        </is>
      </c>
      <c r="H63" s="24" t="inlineStr">
        <is>
          <t>683.15%</t>
        </is>
      </c>
      <c r="I63" s="21" t="inlineStr">
        <is>
          <t>N/A</t>
        </is>
      </c>
      <c r="J63" s="21" t="n">
        <v>1</v>
      </c>
      <c r="K63" s="21" t="n">
        <v>5</v>
      </c>
      <c r="L63" s="21" t="inlineStr">
        <is>
          <t>29.10.2024 18:42:40</t>
        </is>
      </c>
      <c r="M63" s="21" t="inlineStr">
        <is>
          <t>8 days</t>
        </is>
      </c>
      <c r="N63" s="21" t="inlineStr">
        <is>
          <t xml:space="preserve">         30K           221K            60K</t>
        </is>
      </c>
      <c r="O63" s="21" t="inlineStr">
        <is>
          <t>EZDwvexi9tWuduXTsqCNmgQNPpLPpXJySHCX3PNrpump</t>
        </is>
      </c>
      <c r="P63" s="21">
        <f>HYPERLINK("https://dexscreener.com/solana/EZDwvexi9tWuduXTsqCNmgQNPpLPpXJySHCX3PNrpump", "View")</f>
        <v/>
      </c>
    </row>
    <row r="64">
      <c r="A64" s="16" t="inlineStr">
        <is>
          <t xml:space="preserve">PEPEAI </t>
        </is>
      </c>
      <c r="B64" s="17" t="n">
        <v>6202186</v>
      </c>
      <c r="C64" s="17" t="n">
        <v>5581967</v>
      </c>
      <c r="D64" s="17" t="inlineStr">
        <is>
          <t>0.000010</t>
        </is>
      </c>
      <c r="E64" s="17" t="inlineStr">
        <is>
          <t>0.980 SOL</t>
        </is>
      </c>
      <c r="F64" s="17" t="inlineStr">
        <is>
          <t>0.040 SOL</t>
        </is>
      </c>
      <c r="G64" s="23" t="inlineStr">
        <is>
          <t>-0.940 SOL</t>
        </is>
      </c>
      <c r="H64" s="23" t="inlineStr">
        <is>
          <t>-95.88%</t>
        </is>
      </c>
      <c r="I64" s="17" t="inlineStr">
        <is>
          <t>N/A</t>
        </is>
      </c>
      <c r="J64" s="17" t="n">
        <v>1</v>
      </c>
      <c r="K64" s="17" t="n">
        <v>1</v>
      </c>
      <c r="L64" s="17" t="inlineStr">
        <is>
          <t>28.10.2024 21:30:25</t>
        </is>
      </c>
      <c r="M64" s="17" t="inlineStr">
        <is>
          <t>2 days</t>
        </is>
      </c>
      <c r="N64" s="17" t="inlineStr">
        <is>
          <t xml:space="preserve">         28K            28K             1K</t>
        </is>
      </c>
      <c r="O64" s="17" t="inlineStr">
        <is>
          <t>4nbKusKAdSkHHLaMwbZ6Lf2z7uLDgfM655mHfmAc1Bhd</t>
        </is>
      </c>
      <c r="P64" s="17">
        <f>HYPERLINK("https://dexscreener.com/solana/4nbKusKAdSkHHLaMwbZ6Lf2z7uLDgfM655mHfmAc1Bhd", "View")</f>
        <v/>
      </c>
    </row>
    <row r="65">
      <c r="A65" s="20" t="inlineStr">
        <is>
          <t>BABYGOAT</t>
        </is>
      </c>
      <c r="B65" s="21" t="n">
        <v>707597</v>
      </c>
      <c r="C65" s="21" t="n">
        <v>698417</v>
      </c>
      <c r="D65" s="21" t="inlineStr">
        <is>
          <t>0.000030</t>
        </is>
      </c>
      <c r="E65" s="21" t="inlineStr">
        <is>
          <t>0.980 SOL</t>
        </is>
      </c>
      <c r="F65" s="21" t="inlineStr">
        <is>
          <t>11.756 SOL</t>
        </is>
      </c>
      <c r="G65" s="24" t="inlineStr">
        <is>
          <t>10.776 SOL</t>
        </is>
      </c>
      <c r="H65" s="24" t="inlineStr">
        <is>
          <t>1099.48%</t>
        </is>
      </c>
      <c r="I65" s="21" t="inlineStr">
        <is>
          <t>N/A</t>
        </is>
      </c>
      <c r="J65" s="21" t="n">
        <v>1</v>
      </c>
      <c r="K65" s="21" t="n">
        <v>5</v>
      </c>
      <c r="L65" s="21" t="inlineStr">
        <is>
          <t>28.10.2024 15:25:11</t>
        </is>
      </c>
      <c r="M65" s="21" t="inlineStr">
        <is>
          <t>3 days</t>
        </is>
      </c>
      <c r="N65" s="21" t="inlineStr">
        <is>
          <t xml:space="preserve">        244K           244K           245K</t>
        </is>
      </c>
      <c r="O65" s="21" t="inlineStr">
        <is>
          <t>F4aLcMxQy6CPcXAuER3J5QgB89n4fqBMs2bcrqQBpump</t>
        </is>
      </c>
      <c r="P65" s="21">
        <f>HYPERLINK("https://dexscreener.com/solana/F4aLcMxQy6CPcXAuER3J5QgB89n4fqBMs2bcrqQBpump", "View")</f>
        <v/>
      </c>
    </row>
    <row r="66">
      <c r="A66" s="16" t="inlineStr">
        <is>
          <t>Pan</t>
        </is>
      </c>
      <c r="B66" s="17" t="n">
        <v>560991</v>
      </c>
      <c r="C66" s="17" t="n">
        <v>504891</v>
      </c>
      <c r="D66" s="17" t="inlineStr">
        <is>
          <t>0.000010</t>
        </is>
      </c>
      <c r="E66" s="17" t="inlineStr">
        <is>
          <t>0.980 SOL</t>
        </is>
      </c>
      <c r="F66" s="17" t="inlineStr">
        <is>
          <t>0.100 SOL</t>
        </is>
      </c>
      <c r="G66" s="23" t="inlineStr">
        <is>
          <t>-0.880 SOL</t>
        </is>
      </c>
      <c r="H66" s="23" t="inlineStr">
        <is>
          <t>-89.82%</t>
        </is>
      </c>
      <c r="I66" s="17" t="inlineStr">
        <is>
          <t>N/A</t>
        </is>
      </c>
      <c r="J66" s="17" t="n">
        <v>1</v>
      </c>
      <c r="K66" s="17" t="n">
        <v>1</v>
      </c>
      <c r="L66" s="17" t="inlineStr">
        <is>
          <t>28.10.2024 10:03:12</t>
        </is>
      </c>
      <c r="M66" s="17" t="inlineStr">
        <is>
          <t>1 days</t>
        </is>
      </c>
      <c r="N66" s="17" t="inlineStr">
        <is>
          <t xml:space="preserve">        307K           307K            14K</t>
        </is>
      </c>
      <c r="O66" s="17" t="inlineStr">
        <is>
          <t>9JLsnxCqZju5ymLhMkTW6acnUxgrARqz5NAR7Acdpump</t>
        </is>
      </c>
      <c r="P66" s="17">
        <f>HYPERLINK("https://dexscreener.com/solana/9JLsnxCqZju5ymLhMkTW6acnUxgrARqz5NAR7Acdpump", "View")</f>
        <v/>
      </c>
    </row>
    <row r="67">
      <c r="A67" s="20" t="inlineStr">
        <is>
          <t>PUMPAI</t>
        </is>
      </c>
      <c r="B67" s="21" t="n">
        <v>202902</v>
      </c>
      <c r="C67" s="21" t="n">
        <v>182611</v>
      </c>
      <c r="D67" s="21" t="inlineStr">
        <is>
          <t>0.000010</t>
        </is>
      </c>
      <c r="E67" s="21" t="inlineStr">
        <is>
          <t>0.980 SOL</t>
        </is>
      </c>
      <c r="F67" s="21" t="inlineStr">
        <is>
          <t>0.168 SOL</t>
        </is>
      </c>
      <c r="G67" s="23" t="inlineStr">
        <is>
          <t>-0.812 SOL</t>
        </is>
      </c>
      <c r="H67" s="23" t="inlineStr">
        <is>
          <t>-82.85%</t>
        </is>
      </c>
      <c r="I67" s="21" t="inlineStr">
        <is>
          <t>N/A</t>
        </is>
      </c>
      <c r="J67" s="21" t="n">
        <v>1</v>
      </c>
      <c r="K67" s="21" t="n">
        <v>1</v>
      </c>
      <c r="L67" s="21" t="inlineStr">
        <is>
          <t>28.10.2024 05:27:10</t>
        </is>
      </c>
      <c r="M67" s="21" t="inlineStr">
        <is>
          <t>1 days</t>
        </is>
      </c>
      <c r="N67" s="21" t="inlineStr">
        <is>
          <t xml:space="preserve">        848K           848K            32K</t>
        </is>
      </c>
      <c r="O67" s="21" t="inlineStr">
        <is>
          <t>hf8aYwMK2cYv7t4uUhUAqpdwTS3sja2z9RJMQZ2pump</t>
        </is>
      </c>
      <c r="P67" s="21">
        <f>HYPERLINK("https://dexscreener.com/solana/hf8aYwMK2cYv7t4uUhUAqpdwTS3sja2z9RJMQZ2pump", "View")</f>
        <v/>
      </c>
    </row>
    <row r="68">
      <c r="A68" s="16" t="inlineStr">
        <is>
          <t>MP</t>
        </is>
      </c>
      <c r="B68" s="17" t="n">
        <v>928405</v>
      </c>
      <c r="C68" s="17" t="n">
        <v>835564</v>
      </c>
      <c r="D68" s="17" t="inlineStr">
        <is>
          <t>0.000010</t>
        </is>
      </c>
      <c r="E68" s="17" t="inlineStr">
        <is>
          <t>0.980 SOL</t>
        </is>
      </c>
      <c r="F68" s="17" t="inlineStr">
        <is>
          <t>0.067 SOL</t>
        </is>
      </c>
      <c r="G68" s="23" t="inlineStr">
        <is>
          <t>-0.913 SOL</t>
        </is>
      </c>
      <c r="H68" s="23" t="inlineStr">
        <is>
          <t>-93.16%</t>
        </is>
      </c>
      <c r="I68" s="17" t="inlineStr">
        <is>
          <t>N/A</t>
        </is>
      </c>
      <c r="J68" s="17" t="n">
        <v>1</v>
      </c>
      <c r="K68" s="17" t="n">
        <v>1</v>
      </c>
      <c r="L68" s="17" t="inlineStr">
        <is>
          <t>27.10.2024 23:45:16</t>
        </is>
      </c>
      <c r="M68" s="17" t="inlineStr">
        <is>
          <t>19 hours</t>
        </is>
      </c>
      <c r="N68" s="17" t="inlineStr">
        <is>
          <t xml:space="preserve">        186K           186K             8K</t>
        </is>
      </c>
      <c r="O68" s="17" t="inlineStr">
        <is>
          <t>B6X51M56VjmmTZ4sZ6tdPEWefSuqLp1GYSRrCzYpump</t>
        </is>
      </c>
      <c r="P68" s="17">
        <f>HYPERLINK("https://dexscreener.com/solana/B6X51M56VjmmTZ4sZ6tdPEWefSuqLp1GYSRrCzYpump", "View")</f>
        <v/>
      </c>
    </row>
    <row r="69">
      <c r="A69" s="20" t="inlineStr">
        <is>
          <t>Foomers</t>
        </is>
      </c>
      <c r="B69" s="21" t="n">
        <v>1254754</v>
      </c>
      <c r="C69" s="21" t="n">
        <v>1129278</v>
      </c>
      <c r="D69" s="21" t="inlineStr">
        <is>
          <t>0.000010</t>
        </is>
      </c>
      <c r="E69" s="21" t="inlineStr">
        <is>
          <t>0.980 SOL</t>
        </is>
      </c>
      <c r="F69" s="21" t="inlineStr">
        <is>
          <t>0.049 SOL</t>
        </is>
      </c>
      <c r="G69" s="23" t="inlineStr">
        <is>
          <t>-0.931 SOL</t>
        </is>
      </c>
      <c r="H69" s="23" t="inlineStr">
        <is>
          <t>-95.02%</t>
        </is>
      </c>
      <c r="I69" s="21" t="inlineStr">
        <is>
          <t>N/A</t>
        </is>
      </c>
      <c r="J69" s="21" t="n">
        <v>1</v>
      </c>
      <c r="K69" s="21" t="n">
        <v>1</v>
      </c>
      <c r="L69" s="21" t="inlineStr">
        <is>
          <t>27.10.2024 12:17:09</t>
        </is>
      </c>
      <c r="M69" s="21" t="inlineStr">
        <is>
          <t>21 hours</t>
        </is>
      </c>
      <c r="N69" s="21" t="inlineStr">
        <is>
          <t xml:space="preserve">        137K           137K             6K</t>
        </is>
      </c>
      <c r="O69" s="21" t="inlineStr">
        <is>
          <t>996Bg4KQAZqoyhQ5UYZdmJ2TwSJnPtqyaTQ9C1Aipump</t>
        </is>
      </c>
      <c r="P69" s="21">
        <f>HYPERLINK("https://dexscreener.com/solana/996Bg4KQAZqoyhQ5UYZdmJ2TwSJnPtqyaTQ9C1Aipump", "View")</f>
        <v/>
      </c>
    </row>
    <row r="70">
      <c r="A70" s="16" t="inlineStr">
        <is>
          <t>ruby</t>
        </is>
      </c>
      <c r="B70" s="17" t="n">
        <v>769836</v>
      </c>
      <c r="C70" s="17" t="n">
        <v>461901</v>
      </c>
      <c r="D70" s="17" t="inlineStr">
        <is>
          <t>0.003510</t>
        </is>
      </c>
      <c r="E70" s="17" t="inlineStr">
        <is>
          <t>0.980 SOL</t>
        </is>
      </c>
      <c r="F70" s="17" t="inlineStr">
        <is>
          <t>1.381 SOL</t>
        </is>
      </c>
      <c r="G70" s="22" t="inlineStr">
        <is>
          <t>0.397 SOL</t>
        </is>
      </c>
      <c r="H70" s="22" t="inlineStr">
        <is>
          <t>40.40%</t>
        </is>
      </c>
      <c r="I70" s="17" t="inlineStr">
        <is>
          <t>N/A</t>
        </is>
      </c>
      <c r="J70" s="17" t="n">
        <v>1</v>
      </c>
      <c r="K70" s="17" t="n">
        <v>1</v>
      </c>
      <c r="L70" s="17" t="inlineStr">
        <is>
          <t>27.10.2024 02:42:53</t>
        </is>
      </c>
      <c r="M70" s="17" t="inlineStr">
        <is>
          <t>4 days</t>
        </is>
      </c>
      <c r="N70" s="17" t="inlineStr">
        <is>
          <t xml:space="preserve">        223K           223K            57K</t>
        </is>
      </c>
      <c r="O70" s="17" t="inlineStr">
        <is>
          <t>ABHQGzXNoRbJ1sjUsCJ2TmTAo1uMx4EUpV1qYiSVpump</t>
        </is>
      </c>
      <c r="P70" s="17">
        <f>HYPERLINK("https://dexscreener.com/solana/ABHQGzXNoRbJ1sjUsCJ2TmTAo1uMx4EUpV1qYiSVpump", "View")</f>
        <v/>
      </c>
    </row>
    <row r="71">
      <c r="A71" s="20" t="inlineStr">
        <is>
          <t>things</t>
        </is>
      </c>
      <c r="B71" s="21" t="n">
        <v>731120</v>
      </c>
      <c r="C71" s="21" t="n">
        <v>658007</v>
      </c>
      <c r="D71" s="21" t="inlineStr">
        <is>
          <t>0.000010</t>
        </is>
      </c>
      <c r="E71" s="21" t="inlineStr">
        <is>
          <t>0.980 SOL</t>
        </is>
      </c>
      <c r="F71" s="21" t="inlineStr">
        <is>
          <t>0.069 SOL</t>
        </is>
      </c>
      <c r="G71" s="23" t="inlineStr">
        <is>
          <t>-0.911 SOL</t>
        </is>
      </c>
      <c r="H71" s="23" t="inlineStr">
        <is>
          <t>-92.93%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27.10.2024 02:25:09</t>
        </is>
      </c>
      <c r="M71" s="21" t="inlineStr">
        <is>
          <t>11 hours</t>
        </is>
      </c>
      <c r="N71" s="21" t="inlineStr">
        <is>
          <t xml:space="preserve">        235K           235K             7K</t>
        </is>
      </c>
      <c r="O71" s="21" t="inlineStr">
        <is>
          <t>3iGVWssEDTW6D2YEQaMfgkvfq6AeWXEyvUVdyevgpump</t>
        </is>
      </c>
      <c r="P71" s="21">
        <f>HYPERLINK("https://dexscreener.com/solana/3iGVWssEDTW6D2YEQaMfgkvfq6AeWXEyvUVdyevgpump", "View")</f>
        <v/>
      </c>
    </row>
    <row r="72">
      <c r="A72" s="16" t="inlineStr">
        <is>
          <t>nice</t>
        </is>
      </c>
      <c r="B72" s="17" t="n">
        <v>1774455</v>
      </c>
      <c r="C72" s="17" t="n">
        <v>1597009</v>
      </c>
      <c r="D72" s="17" t="inlineStr">
        <is>
          <t>0.000010</t>
        </is>
      </c>
      <c r="E72" s="17" t="inlineStr">
        <is>
          <t>0.980 SOL</t>
        </is>
      </c>
      <c r="F72" s="17" t="inlineStr">
        <is>
          <t>0.080 SOL</t>
        </is>
      </c>
      <c r="G72" s="23" t="inlineStr">
        <is>
          <t>-0.900 SOL</t>
        </is>
      </c>
      <c r="H72" s="23" t="inlineStr">
        <is>
          <t>-91.86%</t>
        </is>
      </c>
      <c r="I72" s="17" t="inlineStr">
        <is>
          <t>N/A</t>
        </is>
      </c>
      <c r="J72" s="17" t="n">
        <v>1</v>
      </c>
      <c r="K72" s="17" t="n">
        <v>1</v>
      </c>
      <c r="L72" s="17" t="inlineStr">
        <is>
          <t>26.10.2024 21:39:09</t>
        </is>
      </c>
      <c r="M72" s="17" t="inlineStr">
        <is>
          <t>1 days</t>
        </is>
      </c>
      <c r="N72" s="17" t="inlineStr">
        <is>
          <t xml:space="preserve">         97K            97K             7K</t>
        </is>
      </c>
      <c r="O72" s="17" t="inlineStr">
        <is>
          <t>9YDSKLv6vAaXhKECNVwjiFrTe3KsFPRqXyd3D2Qdpump</t>
        </is>
      </c>
      <c r="P72" s="17">
        <f>HYPERLINK("https://dexscreener.com/solana/9YDSKLv6vAaXhKECNVwjiFrTe3KsFPRqXyd3D2Qdpump", "View")</f>
        <v/>
      </c>
    </row>
    <row r="73">
      <c r="A73" s="20" t="inlineStr">
        <is>
          <t>hubert</t>
        </is>
      </c>
      <c r="B73" s="21" t="n">
        <v>1524450</v>
      </c>
      <c r="C73" s="21" t="n">
        <v>1372004</v>
      </c>
      <c r="D73" s="21" t="inlineStr">
        <is>
          <t>0.000010</t>
        </is>
      </c>
      <c r="E73" s="21" t="inlineStr">
        <is>
          <t>0.980 SOL</t>
        </is>
      </c>
      <c r="F73" s="21" t="inlineStr">
        <is>
          <t>0.188 SOL</t>
        </is>
      </c>
      <c r="G73" s="23" t="inlineStr">
        <is>
          <t>-0.792 SOL</t>
        </is>
      </c>
      <c r="H73" s="23" t="inlineStr">
        <is>
          <t>-80.85%</t>
        </is>
      </c>
      <c r="I73" s="21" t="inlineStr">
        <is>
          <t>N/A</t>
        </is>
      </c>
      <c r="J73" s="21" t="n">
        <v>1</v>
      </c>
      <c r="K73" s="21" t="n">
        <v>1</v>
      </c>
      <c r="L73" s="21" t="inlineStr">
        <is>
          <t>26.10.2024 19:03:11</t>
        </is>
      </c>
      <c r="M73" s="21" t="inlineStr">
        <is>
          <t>5 hours</t>
        </is>
      </c>
      <c r="N73" s="21" t="inlineStr">
        <is>
          <t xml:space="preserve">        112K           112K             8K</t>
        </is>
      </c>
      <c r="O73" s="21" t="inlineStr">
        <is>
          <t>GhnSqjk15XH7m1inUgK9Lpw4CpyHAvghLniCYbikpump</t>
        </is>
      </c>
      <c r="P73" s="21">
        <f>HYPERLINK("https://dexscreener.com/solana/GhnSqjk15XH7m1inUgK9Lpw4CpyHAvghLniCYbikpump", "View")</f>
        <v/>
      </c>
    </row>
    <row r="74">
      <c r="A74" s="16" t="inlineStr">
        <is>
          <t>Malmo</t>
        </is>
      </c>
      <c r="B74" s="17" t="n">
        <v>3115711</v>
      </c>
      <c r="C74" s="17" t="n">
        <v>0</v>
      </c>
      <c r="D74" s="17" t="inlineStr">
        <is>
          <t>0.000010</t>
        </is>
      </c>
      <c r="E74" s="17" t="inlineStr">
        <is>
          <t>0.980 SOL</t>
        </is>
      </c>
      <c r="F74" s="17" t="inlineStr">
        <is>
          <t>0.000 SOL</t>
        </is>
      </c>
      <c r="G74" s="18" t="inlineStr">
        <is>
          <t>-0.980 SOL</t>
        </is>
      </c>
      <c r="H74" s="18" t="inlineStr">
        <is>
          <t>0.00%</t>
        </is>
      </c>
      <c r="I74" s="17" t="inlineStr">
        <is>
          <t>3,115,711</t>
        </is>
      </c>
      <c r="J74" s="17" t="n">
        <v>1</v>
      </c>
      <c r="K74" s="17" t="n">
        <v>0</v>
      </c>
      <c r="L74" s="17" t="inlineStr">
        <is>
          <t>26.10.2024 17:15:20</t>
        </is>
      </c>
      <c r="M74" s="19" t="inlineStr">
        <is>
          <t>0 sec</t>
        </is>
      </c>
      <c r="N74" s="17" t="inlineStr">
        <is>
          <t xml:space="preserve">         54K            54K             6K</t>
        </is>
      </c>
      <c r="O74" s="17" t="inlineStr">
        <is>
          <t>BPUaSed74toPWkGgmuzZrhUdXXnaQzYRA9jrAToSpump</t>
        </is>
      </c>
      <c r="P74" s="17">
        <f>HYPERLINK("https://dexscreener.com/solana/BPUaSed74toPWkGgmuzZrhUdXXnaQzYRA9jrAToSpump", "View")</f>
        <v/>
      </c>
    </row>
    <row r="75">
      <c r="A75" s="20" t="inlineStr">
        <is>
          <t>ANANAB</t>
        </is>
      </c>
      <c r="B75" s="21" t="n">
        <v>1227720</v>
      </c>
      <c r="C75" s="21" t="n">
        <v>0</v>
      </c>
      <c r="D75" s="21" t="inlineStr">
        <is>
          <t>0.000010</t>
        </is>
      </c>
      <c r="E75" s="21" t="inlineStr">
        <is>
          <t>0.980 SOL</t>
        </is>
      </c>
      <c r="F75" s="21" t="inlineStr">
        <is>
          <t>0.000 SOL</t>
        </is>
      </c>
      <c r="G75" s="18" t="inlineStr">
        <is>
          <t>-0.980 SOL</t>
        </is>
      </c>
      <c r="H75" s="18" t="inlineStr">
        <is>
          <t>0.00%</t>
        </is>
      </c>
      <c r="I75" s="21" t="inlineStr">
        <is>
          <t>1,227,720</t>
        </is>
      </c>
      <c r="J75" s="21" t="n">
        <v>1</v>
      </c>
      <c r="K75" s="21" t="n">
        <v>0</v>
      </c>
      <c r="L75" s="21" t="inlineStr">
        <is>
          <t>26.10.2024 15:24:16</t>
        </is>
      </c>
      <c r="M75" s="19" t="inlineStr">
        <is>
          <t>0 sec</t>
        </is>
      </c>
      <c r="N75" s="21" t="inlineStr">
        <is>
          <t xml:space="preserve">        140K           140K             9K</t>
        </is>
      </c>
      <c r="O75" s="21" t="inlineStr">
        <is>
          <t>HaqNyHMwCP1YGCYgjY7kJNVd6gv4mz1Y75A4xKVUpump</t>
        </is>
      </c>
      <c r="P75" s="21">
        <f>HYPERLINK("https://dexscreener.com/solana/HaqNyHMwCP1YGCYgjY7kJNVd6gv4mz1Y75A4xKVUpump", "View")</f>
        <v/>
      </c>
    </row>
    <row r="76">
      <c r="A76" s="16" t="inlineStr">
        <is>
          <t>LAMB</t>
        </is>
      </c>
      <c r="B76" s="17" t="n">
        <v>2536710</v>
      </c>
      <c r="C76" s="17" t="n">
        <v>0</v>
      </c>
      <c r="D76" s="17" t="inlineStr">
        <is>
          <t>0.000010</t>
        </is>
      </c>
      <c r="E76" s="17" t="inlineStr">
        <is>
          <t>0.980 SOL</t>
        </is>
      </c>
      <c r="F76" s="17" t="inlineStr">
        <is>
          <t>0.000 SOL</t>
        </is>
      </c>
      <c r="G76" s="18" t="inlineStr">
        <is>
          <t>-0.980 SOL</t>
        </is>
      </c>
      <c r="H76" s="18" t="inlineStr">
        <is>
          <t>0.00%</t>
        </is>
      </c>
      <c r="I76" s="17" t="inlineStr">
        <is>
          <t>2,536,710</t>
        </is>
      </c>
      <c r="J76" s="17" t="n">
        <v>1</v>
      </c>
      <c r="K76" s="17" t="n">
        <v>0</v>
      </c>
      <c r="L76" s="17" t="inlineStr">
        <is>
          <t>26.10.2024 14:45:25</t>
        </is>
      </c>
      <c r="M76" s="19" t="inlineStr">
        <is>
          <t>0 sec</t>
        </is>
      </c>
      <c r="N76" s="17" t="inlineStr">
        <is>
          <t xml:space="preserve">         63K            63K             6K</t>
        </is>
      </c>
      <c r="O76" s="17" t="inlineStr">
        <is>
          <t>AcCNe3rA2ugXTdGCAMNyEYZwyBdf1raGrmHoscQZpump</t>
        </is>
      </c>
      <c r="P76" s="17">
        <f>HYPERLINK("https://dexscreener.com/solana/AcCNe3rA2ugXTdGCAMNyEYZwyBdf1raGrmHoscQZpump", "View")</f>
        <v/>
      </c>
    </row>
    <row r="77">
      <c r="A77" s="20" t="inlineStr">
        <is>
          <t>vvaifu</t>
        </is>
      </c>
      <c r="B77" s="21" t="n">
        <v>250841</v>
      </c>
      <c r="C77" s="21" t="n">
        <v>165554</v>
      </c>
      <c r="D77" s="21" t="inlineStr">
        <is>
          <t>0.000610</t>
        </is>
      </c>
      <c r="E77" s="21" t="inlineStr">
        <is>
          <t>1.000 SOL</t>
        </is>
      </c>
      <c r="F77" s="21" t="inlineStr">
        <is>
          <t>2.929 SOL</t>
        </is>
      </c>
      <c r="G77" s="24" t="inlineStr">
        <is>
          <t>1.928 SOL</t>
        </is>
      </c>
      <c r="H77" s="24" t="inlineStr">
        <is>
          <t>192.72%</t>
        </is>
      </c>
      <c r="I77" s="21" t="inlineStr">
        <is>
          <t>N/A</t>
        </is>
      </c>
      <c r="J77" s="21" t="n">
        <v>1</v>
      </c>
      <c r="K77" s="21" t="n">
        <v>1</v>
      </c>
      <c r="L77" s="21" t="inlineStr">
        <is>
          <t>26.10.2024 12:06:13</t>
        </is>
      </c>
      <c r="M77" s="21" t="inlineStr">
        <is>
          <t>7 days</t>
        </is>
      </c>
      <c r="N77" s="21" t="inlineStr">
        <is>
          <t xml:space="preserve">        701K           701K           417K</t>
        </is>
      </c>
      <c r="O77" s="21" t="inlineStr">
        <is>
          <t>FQ1tyso61AH1tzodyJfSwmzsD3GToybbRNoZxUBz21p8</t>
        </is>
      </c>
      <c r="P77" s="21">
        <f>HYPERLINK("https://dexscreener.com/solana/FQ1tyso61AH1tzodyJfSwmzsD3GToybbRNoZxUBz21p8", "View")</f>
        <v/>
      </c>
    </row>
    <row r="78">
      <c r="A78" s="16" t="inlineStr">
        <is>
          <t>Jonesy</t>
        </is>
      </c>
      <c r="B78" s="17" t="n">
        <v>2591354</v>
      </c>
      <c r="C78" s="17" t="n">
        <v>0</v>
      </c>
      <c r="D78" s="17" t="inlineStr">
        <is>
          <t>0.000010</t>
        </is>
      </c>
      <c r="E78" s="17" t="inlineStr">
        <is>
          <t>0.980 SOL</t>
        </is>
      </c>
      <c r="F78" s="17" t="inlineStr">
        <is>
          <t>0.000 SOL</t>
        </is>
      </c>
      <c r="G78" s="18" t="inlineStr">
        <is>
          <t>-0.980 SOL</t>
        </is>
      </c>
      <c r="H78" s="18" t="inlineStr">
        <is>
          <t>0.00%</t>
        </is>
      </c>
      <c r="I78" s="17" t="inlineStr">
        <is>
          <t>2,591,354</t>
        </is>
      </c>
      <c r="J78" s="17" t="n">
        <v>1</v>
      </c>
      <c r="K78" s="17" t="n">
        <v>0</v>
      </c>
      <c r="L78" s="17" t="inlineStr">
        <is>
          <t>26.10.2024 02:24:15</t>
        </is>
      </c>
      <c r="M78" s="19" t="inlineStr">
        <is>
          <t>0 sec</t>
        </is>
      </c>
      <c r="N78" s="17" t="inlineStr">
        <is>
          <t xml:space="preserve">         67K            67K             4K</t>
        </is>
      </c>
      <c r="O78" s="17" t="inlineStr">
        <is>
          <t>63q7zCmAVuAE5qgQ7bRAwjgTufgL3MoDC5QHvhJrpump</t>
        </is>
      </c>
      <c r="P78" s="17">
        <f>HYPERLINK("https://dexscreener.com/solana/63q7zCmAVuAE5qgQ7bRAwjgTufgL3MoDC5QHvhJrpump", "View")</f>
        <v/>
      </c>
    </row>
    <row r="79">
      <c r="A79" s="20" t="inlineStr">
        <is>
          <t>THEO</t>
        </is>
      </c>
      <c r="B79" s="21" t="n">
        <v>1242344</v>
      </c>
      <c r="C79" s="21" t="n">
        <v>1118109</v>
      </c>
      <c r="D79" s="21" t="inlineStr">
        <is>
          <t>0.000010</t>
        </is>
      </c>
      <c r="E79" s="21" t="inlineStr">
        <is>
          <t>0.980 SOL</t>
        </is>
      </c>
      <c r="F79" s="21" t="inlineStr">
        <is>
          <t>0.159 SOL</t>
        </is>
      </c>
      <c r="G79" s="23" t="inlineStr">
        <is>
          <t>-0.821 SOL</t>
        </is>
      </c>
      <c r="H79" s="23" t="inlineStr">
        <is>
          <t>-83.76%</t>
        </is>
      </c>
      <c r="I79" s="21" t="inlineStr">
        <is>
          <t>N/A</t>
        </is>
      </c>
      <c r="J79" s="21" t="n">
        <v>1</v>
      </c>
      <c r="K79" s="21" t="n">
        <v>1</v>
      </c>
      <c r="L79" s="21" t="inlineStr">
        <is>
          <t>26.10.2024 01:20:14</t>
        </is>
      </c>
      <c r="M79" s="21" t="inlineStr">
        <is>
          <t>22 hours</t>
        </is>
      </c>
      <c r="N79" s="21" t="inlineStr">
        <is>
          <t xml:space="preserve">        139K           139K            11K</t>
        </is>
      </c>
      <c r="O79" s="21" t="inlineStr">
        <is>
          <t>BZW215nxTGpbw87TUQJJpABGTBXeXqfjxjDYyrjCpump</t>
        </is>
      </c>
      <c r="P79" s="21">
        <f>HYPERLINK("https://dexscreener.com/solana/BZW215nxTGpbw87TUQJJpABGTBXeXqfjxjDYyrjCpump", "View")</f>
        <v/>
      </c>
    </row>
    <row r="80">
      <c r="A80" s="16" t="inlineStr">
        <is>
          <t>TrueSpace</t>
        </is>
      </c>
      <c r="B80" s="17" t="n">
        <v>1686427</v>
      </c>
      <c r="C80" s="17" t="n">
        <v>1517784</v>
      </c>
      <c r="D80" s="17" t="inlineStr">
        <is>
          <t>0.000010</t>
        </is>
      </c>
      <c r="E80" s="17" t="inlineStr">
        <is>
          <t>0.980 SOL</t>
        </is>
      </c>
      <c r="F80" s="17" t="inlineStr">
        <is>
          <t>0.076 SOL</t>
        </is>
      </c>
      <c r="G80" s="23" t="inlineStr">
        <is>
          <t>-0.904 SOL</t>
        </is>
      </c>
      <c r="H80" s="23" t="inlineStr">
        <is>
          <t>-92.20%</t>
        </is>
      </c>
      <c r="I80" s="17" t="inlineStr">
        <is>
          <t>N/A</t>
        </is>
      </c>
      <c r="J80" s="17" t="n">
        <v>1</v>
      </c>
      <c r="K80" s="17" t="n">
        <v>1</v>
      </c>
      <c r="L80" s="17" t="inlineStr">
        <is>
          <t>26.10.2024 00:42:11</t>
        </is>
      </c>
      <c r="M80" s="17" t="inlineStr">
        <is>
          <t>22 hours</t>
        </is>
      </c>
      <c r="N80" s="17" t="inlineStr">
        <is>
          <t xml:space="preserve">        102K           102K             6K</t>
        </is>
      </c>
      <c r="O80" s="17" t="inlineStr">
        <is>
          <t>2j48qpWJpWNHoWhsmWsdmaA1wKP7qaoYJfwhAbrkpump</t>
        </is>
      </c>
      <c r="P80" s="17">
        <f>HYPERLINK("https://dexscreener.com/solana/2j48qpWJpWNHoWhsmWsdmaA1wKP7qaoYJfwhAbrkpump", "View")</f>
        <v/>
      </c>
    </row>
    <row r="81">
      <c r="A81" s="20" t="inlineStr">
        <is>
          <t>3</t>
        </is>
      </c>
      <c r="B81" s="21" t="n">
        <v>767707</v>
      </c>
      <c r="C81" s="21" t="n">
        <v>690936</v>
      </c>
      <c r="D81" s="21" t="inlineStr">
        <is>
          <t>0.000010</t>
        </is>
      </c>
      <c r="E81" s="21" t="inlineStr">
        <is>
          <t>0.980 SOL</t>
        </is>
      </c>
      <c r="F81" s="21" t="inlineStr">
        <is>
          <t>0.103 SOL</t>
        </is>
      </c>
      <c r="G81" s="23" t="inlineStr">
        <is>
          <t>-0.877 SOL</t>
        </is>
      </c>
      <c r="H81" s="23" t="inlineStr">
        <is>
          <t>-89.48%</t>
        </is>
      </c>
      <c r="I81" s="21" t="inlineStr">
        <is>
          <t>N/A</t>
        </is>
      </c>
      <c r="J81" s="21" t="n">
        <v>1</v>
      </c>
      <c r="K81" s="21" t="n">
        <v>1</v>
      </c>
      <c r="L81" s="21" t="inlineStr">
        <is>
          <t>25.10.2024 20:00:21</t>
        </is>
      </c>
      <c r="M81" s="21" t="inlineStr">
        <is>
          <t>1 hours</t>
        </is>
      </c>
      <c r="N81" s="21" t="inlineStr">
        <is>
          <t xml:space="preserve">        215K           215K             4K</t>
        </is>
      </c>
      <c r="O81" s="21" t="inlineStr">
        <is>
          <t>4p3yhGbpu4KVdFeHKXvxs1cnaL3MdUAmWN7CgGJwpump</t>
        </is>
      </c>
      <c r="P81" s="21">
        <f>HYPERLINK("https://dexscreener.com/solana/4p3yhGbpu4KVdFeHKXvxs1cnaL3MdUAmWN7CgGJwpump", "View")</f>
        <v/>
      </c>
    </row>
    <row r="82">
      <c r="A82" s="16" t="inlineStr">
        <is>
          <t>weee</t>
        </is>
      </c>
      <c r="B82" s="17" t="n">
        <v>1280965</v>
      </c>
      <c r="C82" s="17" t="n">
        <v>1152868</v>
      </c>
      <c r="D82" s="17" t="inlineStr">
        <is>
          <t>0.000010</t>
        </is>
      </c>
      <c r="E82" s="17" t="inlineStr">
        <is>
          <t>0.980 SOL</t>
        </is>
      </c>
      <c r="F82" s="17" t="inlineStr">
        <is>
          <t>0.049 SOL</t>
        </is>
      </c>
      <c r="G82" s="23" t="inlineStr">
        <is>
          <t>-0.931 SOL</t>
        </is>
      </c>
      <c r="H82" s="23" t="inlineStr">
        <is>
          <t>-95.03%</t>
        </is>
      </c>
      <c r="I82" s="17" t="inlineStr">
        <is>
          <t>N/A</t>
        </is>
      </c>
      <c r="J82" s="17" t="n">
        <v>1</v>
      </c>
      <c r="K82" s="17" t="n">
        <v>1</v>
      </c>
      <c r="L82" s="17" t="inlineStr">
        <is>
          <t>25.10.2024 17:31:11</t>
        </is>
      </c>
      <c r="M82" s="17" t="inlineStr">
        <is>
          <t>2 hours</t>
        </is>
      </c>
      <c r="N82" s="17" t="inlineStr">
        <is>
          <t xml:space="preserve">        135K           135K             4K</t>
        </is>
      </c>
      <c r="O82" s="17" t="inlineStr">
        <is>
          <t>4By8kbvy6YJt4L1UH544FejLiUdTQTGcXihTS4xMzHcA</t>
        </is>
      </c>
      <c r="P82" s="17">
        <f>HYPERLINK("https://dexscreener.com/solana/4By8kbvy6YJt4L1UH544FejLiUdTQTGcXihTS4xMzHcA", "View")</f>
        <v/>
      </c>
    </row>
    <row r="83">
      <c r="A83" s="20" t="inlineStr">
        <is>
          <t>KCOG</t>
        </is>
      </c>
      <c r="B83" s="21" t="n">
        <v>3331123</v>
      </c>
      <c r="C83" s="21" t="n">
        <v>0</v>
      </c>
      <c r="D83" s="21" t="inlineStr">
        <is>
          <t>0.000010</t>
        </is>
      </c>
      <c r="E83" s="21" t="inlineStr">
        <is>
          <t>0.980 SOL</t>
        </is>
      </c>
      <c r="F83" s="21" t="inlineStr">
        <is>
          <t>0.000 SOL</t>
        </is>
      </c>
      <c r="G83" s="18" t="inlineStr">
        <is>
          <t>-0.980 SOL</t>
        </is>
      </c>
      <c r="H83" s="18" t="inlineStr">
        <is>
          <t>0.00%</t>
        </is>
      </c>
      <c r="I83" s="21" t="inlineStr">
        <is>
          <t>3,331,123</t>
        </is>
      </c>
      <c r="J83" s="21" t="n">
        <v>1</v>
      </c>
      <c r="K83" s="21" t="n">
        <v>0</v>
      </c>
      <c r="L83" s="21" t="inlineStr">
        <is>
          <t>25.10.2024 16:24:17</t>
        </is>
      </c>
      <c r="M83" s="19" t="inlineStr">
        <is>
          <t>0 sec</t>
        </is>
      </c>
      <c r="N83" s="21" t="inlineStr">
        <is>
          <t xml:space="preserve">         51K            51K            11K</t>
        </is>
      </c>
      <c r="O83" s="21" t="inlineStr">
        <is>
          <t>2UByDNzBkDikkBM73dAxerTGkuLVRWzCN95JuAUApump</t>
        </is>
      </c>
      <c r="P83" s="21">
        <f>HYPERLINK("https://dexscreener.com/solana/2UByDNzBkDikkBM73dAxerTGkuLVRWzCN95JuAUApump", "View")</f>
        <v/>
      </c>
    </row>
    <row r="84">
      <c r="A84" s="16" t="inlineStr">
        <is>
          <t>FLU</t>
        </is>
      </c>
      <c r="B84" s="17" t="n">
        <v>2319630</v>
      </c>
      <c r="C84" s="17" t="n">
        <v>0</v>
      </c>
      <c r="D84" s="17" t="inlineStr">
        <is>
          <t>0.000010</t>
        </is>
      </c>
      <c r="E84" s="17" t="inlineStr">
        <is>
          <t>0.980 SOL</t>
        </is>
      </c>
      <c r="F84" s="17" t="inlineStr">
        <is>
          <t>0.000 SOL</t>
        </is>
      </c>
      <c r="G84" s="18" t="inlineStr">
        <is>
          <t>-0.980 SOL</t>
        </is>
      </c>
      <c r="H84" s="18" t="inlineStr">
        <is>
          <t>0.00%</t>
        </is>
      </c>
      <c r="I84" s="17" t="inlineStr">
        <is>
          <t>2,319,630</t>
        </is>
      </c>
      <c r="J84" s="17" t="n">
        <v>1</v>
      </c>
      <c r="K84" s="17" t="n">
        <v>0</v>
      </c>
      <c r="L84" s="17" t="inlineStr">
        <is>
          <t>25.10.2024 16:21:28</t>
        </is>
      </c>
      <c r="M84" s="19" t="inlineStr">
        <is>
          <t>0 sec</t>
        </is>
      </c>
      <c r="N84" s="17" t="inlineStr">
        <is>
          <t xml:space="preserve">         74K            74K            11K</t>
        </is>
      </c>
      <c r="O84" s="17" t="inlineStr">
        <is>
          <t>ASnD7A1mqpiBdqVVAKLsScAABR1nGbMBtocFbU5rpump</t>
        </is>
      </c>
      <c r="P84" s="17">
        <f>HYPERLINK("https://dexscreener.com/solana/ASnD7A1mqpiBdqVVAKLsScAABR1nGbMBtocFbU5rpump", "View")</f>
        <v/>
      </c>
    </row>
    <row r="85">
      <c r="A85" s="20" t="inlineStr">
        <is>
          <t>simulacra</t>
        </is>
      </c>
      <c r="B85" s="21" t="n">
        <v>4161702</v>
      </c>
      <c r="C85" s="21" t="n">
        <v>0</v>
      </c>
      <c r="D85" s="21" t="inlineStr">
        <is>
          <t>0.000010</t>
        </is>
      </c>
      <c r="E85" s="21" t="inlineStr">
        <is>
          <t>0.980 SOL</t>
        </is>
      </c>
      <c r="F85" s="21" t="inlineStr">
        <is>
          <t>0.000 SOL</t>
        </is>
      </c>
      <c r="G85" s="18" t="inlineStr">
        <is>
          <t>-0.980 SOL</t>
        </is>
      </c>
      <c r="H85" s="18" t="inlineStr">
        <is>
          <t>0.00%</t>
        </is>
      </c>
      <c r="I85" s="21" t="inlineStr">
        <is>
          <t>4,161,702</t>
        </is>
      </c>
      <c r="J85" s="21" t="n">
        <v>1</v>
      </c>
      <c r="K85" s="21" t="n">
        <v>0</v>
      </c>
      <c r="L85" s="21" t="inlineStr">
        <is>
          <t>25.10.2024 15:33:19</t>
        </is>
      </c>
      <c r="M85" s="19" t="inlineStr">
        <is>
          <t>0 sec</t>
        </is>
      </c>
      <c r="N85" s="21" t="inlineStr">
        <is>
          <t xml:space="preserve">         42K            42K             5K</t>
        </is>
      </c>
      <c r="O85" s="21" t="inlineStr">
        <is>
          <t>9mkfqGLt7jLr581QtNWby4DKfQwNtvvoqtypbbxxpump</t>
        </is>
      </c>
      <c r="P85" s="21">
        <f>HYPERLINK("https://dexscreener.com/solana/9mkfqGLt7jLr581QtNWby4DKfQwNtvvoqtypbbxxpump", "View")</f>
        <v/>
      </c>
    </row>
    <row r="86">
      <c r="A86" s="16" t="inlineStr">
        <is>
          <t>GPT5</t>
        </is>
      </c>
      <c r="B86" s="17" t="n">
        <v>3807088</v>
      </c>
      <c r="C86" s="17" t="n">
        <v>3426379</v>
      </c>
      <c r="D86" s="17" t="inlineStr">
        <is>
          <t>0.000010</t>
        </is>
      </c>
      <c r="E86" s="17" t="inlineStr">
        <is>
          <t>0.980 SOL</t>
        </is>
      </c>
      <c r="F86" s="17" t="inlineStr">
        <is>
          <t>0.131 SOL</t>
        </is>
      </c>
      <c r="G86" s="23" t="inlineStr">
        <is>
          <t>-0.849 SOL</t>
        </is>
      </c>
      <c r="H86" s="23" t="inlineStr">
        <is>
          <t>-86.66%</t>
        </is>
      </c>
      <c r="I86" s="17" t="inlineStr">
        <is>
          <t>N/A</t>
        </is>
      </c>
      <c r="J86" s="17" t="n">
        <v>1</v>
      </c>
      <c r="K86" s="17" t="n">
        <v>1</v>
      </c>
      <c r="L86" s="17" t="inlineStr">
        <is>
          <t>25.10.2024 08:39:11</t>
        </is>
      </c>
      <c r="M86" s="17" t="inlineStr">
        <is>
          <t>9 hours</t>
        </is>
      </c>
      <c r="N86" s="17" t="inlineStr">
        <is>
          <t xml:space="preserve">         46K            46K             4K</t>
        </is>
      </c>
      <c r="O86" s="17" t="inlineStr">
        <is>
          <t>GmP1TruYcMAE4Yh6m3KQpNvxdDUwUtKzj5CqFQbopump</t>
        </is>
      </c>
      <c r="P86" s="17">
        <f>HYPERLINK("https://dexscreener.com/solana/GmP1TruYcMAE4Yh6m3KQpNvxdDUwUtKzj5CqFQbopump", "View")</f>
        <v/>
      </c>
    </row>
    <row r="87">
      <c r="A87" s="20" t="inlineStr">
        <is>
          <t>CONSORTIUM</t>
        </is>
      </c>
      <c r="B87" s="21" t="n">
        <v>407970</v>
      </c>
      <c r="C87" s="21" t="n">
        <v>367173</v>
      </c>
      <c r="D87" s="21" t="inlineStr">
        <is>
          <t>0.000010</t>
        </is>
      </c>
      <c r="E87" s="21" t="inlineStr">
        <is>
          <t>0.980 SOL</t>
        </is>
      </c>
      <c r="F87" s="21" t="inlineStr">
        <is>
          <t>0.020 SOL</t>
        </is>
      </c>
      <c r="G87" s="23" t="inlineStr">
        <is>
          <t>-0.960 SOL</t>
        </is>
      </c>
      <c r="H87" s="23" t="inlineStr">
        <is>
          <t>-97.93%</t>
        </is>
      </c>
      <c r="I87" s="21" t="inlineStr">
        <is>
          <t>N/A</t>
        </is>
      </c>
      <c r="J87" s="21" t="n">
        <v>1</v>
      </c>
      <c r="K87" s="21" t="n">
        <v>1</v>
      </c>
      <c r="L87" s="21" t="inlineStr">
        <is>
          <t>25.10.2024 07:11:12</t>
        </is>
      </c>
      <c r="M87" s="21" t="inlineStr">
        <is>
          <t>40 min</t>
        </is>
      </c>
      <c r="N87" s="21" t="inlineStr">
        <is>
          <t xml:space="preserve">        421K            11K             4K</t>
        </is>
      </c>
      <c r="O87" s="21" t="inlineStr">
        <is>
          <t>ChxbSs4KuqSXMeAb7pa1eLxMgQ9wWybGoS3RLUt6pump</t>
        </is>
      </c>
      <c r="P87" s="21">
        <f>HYPERLINK("https://dexscreener.com/solana/ChxbSs4KuqSXMeAb7pa1eLxMgQ9wWybGoS3RLUt6pump", "View")</f>
        <v/>
      </c>
    </row>
    <row r="88">
      <c r="A88" s="16" t="inlineStr">
        <is>
          <t>Gpt3</t>
        </is>
      </c>
      <c r="B88" s="17" t="n">
        <v>1528685</v>
      </c>
      <c r="C88" s="17" t="n">
        <v>1375816</v>
      </c>
      <c r="D88" s="17" t="inlineStr">
        <is>
          <t>0.000010</t>
        </is>
      </c>
      <c r="E88" s="17" t="inlineStr">
        <is>
          <t>0.980 SOL</t>
        </is>
      </c>
      <c r="F88" s="17" t="inlineStr">
        <is>
          <t>0.098 SOL</t>
        </is>
      </c>
      <c r="G88" s="23" t="inlineStr">
        <is>
          <t>-0.882 SOL</t>
        </is>
      </c>
      <c r="H88" s="23" t="inlineStr">
        <is>
          <t>-89.99%</t>
        </is>
      </c>
      <c r="I88" s="17" t="inlineStr">
        <is>
          <t>N/A</t>
        </is>
      </c>
      <c r="J88" s="17" t="n">
        <v>1</v>
      </c>
      <c r="K88" s="17" t="n">
        <v>1</v>
      </c>
      <c r="L88" s="17" t="inlineStr">
        <is>
          <t>25.10.2024 05:27:16</t>
        </is>
      </c>
      <c r="M88" s="17" t="inlineStr">
        <is>
          <t>2 hours</t>
        </is>
      </c>
      <c r="N88" s="17" t="inlineStr">
        <is>
          <t xml:space="preserve">        112K            12K             5K</t>
        </is>
      </c>
      <c r="O88" s="17" t="inlineStr">
        <is>
          <t>718gx2c3LUQMiCSUhu9mPCEyiGeo8T5cHiaa1UP9pump</t>
        </is>
      </c>
      <c r="P88" s="17">
        <f>HYPERLINK("https://dexscreener.com/solana/718gx2c3LUQMiCSUhu9mPCEyiGeo8T5cHiaa1UP9pump", "View")</f>
        <v/>
      </c>
    </row>
    <row r="89">
      <c r="A89" s="20" t="inlineStr">
        <is>
          <t>Toly</t>
        </is>
      </c>
      <c r="B89" s="21" t="n">
        <v>1433899</v>
      </c>
      <c r="C89" s="21" t="n">
        <v>1312017</v>
      </c>
      <c r="D89" s="21" t="inlineStr">
        <is>
          <t>0.000020</t>
        </is>
      </c>
      <c r="E89" s="21" t="inlineStr">
        <is>
          <t>0.980 SOL</t>
        </is>
      </c>
      <c r="F89" s="21" t="inlineStr">
        <is>
          <t>0.878 SOL</t>
        </is>
      </c>
      <c r="G89" s="25" t="inlineStr">
        <is>
          <t>-0.102 SOL</t>
        </is>
      </c>
      <c r="H89" s="25" t="inlineStr">
        <is>
          <t>-10.44%</t>
        </is>
      </c>
      <c r="I89" s="21" t="inlineStr">
        <is>
          <t>N/A</t>
        </is>
      </c>
      <c r="J89" s="21" t="n">
        <v>1</v>
      </c>
      <c r="K89" s="21" t="n">
        <v>2</v>
      </c>
      <c r="L89" s="21" t="inlineStr">
        <is>
          <t>25.10.2024 03:18:16</t>
        </is>
      </c>
      <c r="M89" s="21" t="inlineStr">
        <is>
          <t>3 hours</t>
        </is>
      </c>
      <c r="N89" s="21" t="inlineStr">
        <is>
          <t xml:space="preserve">        119K            42K            15K</t>
        </is>
      </c>
      <c r="O89" s="21" t="inlineStr">
        <is>
          <t>8LRpgKZU7e1ckqo6qFMCVmhHNRUAAwu1Nfkc37StXCRs</t>
        </is>
      </c>
      <c r="P89" s="21">
        <f>HYPERLINK("https://dexscreener.com/solana/8LRpgKZU7e1ckqo6qFMCVmhHNRUAAwu1Nfkc37StXCRs", "View")</f>
        <v/>
      </c>
    </row>
    <row r="90">
      <c r="A90" s="16" t="inlineStr">
        <is>
          <t>LIBERTAS</t>
        </is>
      </c>
      <c r="B90" s="17" t="n">
        <v>1558835</v>
      </c>
      <c r="C90" s="17" t="n">
        <v>1402951</v>
      </c>
      <c r="D90" s="17" t="inlineStr">
        <is>
          <t>0.000010</t>
        </is>
      </c>
      <c r="E90" s="17" t="inlineStr">
        <is>
          <t>0.980 SOL</t>
        </is>
      </c>
      <c r="F90" s="17" t="inlineStr">
        <is>
          <t>0.230 SOL</t>
        </is>
      </c>
      <c r="G90" s="23" t="inlineStr">
        <is>
          <t>-0.750 SOL</t>
        </is>
      </c>
      <c r="H90" s="23" t="inlineStr">
        <is>
          <t>-76.50%</t>
        </is>
      </c>
      <c r="I90" s="17" t="inlineStr">
        <is>
          <t>N/A</t>
        </is>
      </c>
      <c r="J90" s="17" t="n">
        <v>1</v>
      </c>
      <c r="K90" s="17" t="n">
        <v>1</v>
      </c>
      <c r="L90" s="17" t="inlineStr">
        <is>
          <t>25.10.2024 02:22:14</t>
        </is>
      </c>
      <c r="M90" s="17" t="inlineStr">
        <is>
          <t>2 hours</t>
        </is>
      </c>
      <c r="N90" s="17" t="inlineStr">
        <is>
          <t xml:space="preserve">        111K            28K             7K</t>
        </is>
      </c>
      <c r="O90" s="17" t="inlineStr">
        <is>
          <t>2VKiYiQ8Fav48eu8NMXHK2ZrNzTkzEznvp7dY9iapump</t>
        </is>
      </c>
      <c r="P90" s="17">
        <f>HYPERLINK("https://dexscreener.com/solana/2VKiYiQ8Fav48eu8NMXHK2ZrNzTkzEznvp7dY9iapump", "View")</f>
        <v/>
      </c>
    </row>
    <row r="91">
      <c r="A91" s="20" t="inlineStr">
        <is>
          <t>orion</t>
        </is>
      </c>
      <c r="B91" s="21" t="n">
        <v>339654</v>
      </c>
      <c r="C91" s="21" t="n">
        <v>0</v>
      </c>
      <c r="D91" s="21" t="inlineStr">
        <is>
          <t>0.000010</t>
        </is>
      </c>
      <c r="E91" s="21" t="inlineStr">
        <is>
          <t>0.980 SOL</t>
        </is>
      </c>
      <c r="F91" s="21" t="inlineStr">
        <is>
          <t>0.000 SOL</t>
        </is>
      </c>
      <c r="G91" s="18" t="inlineStr">
        <is>
          <t>-0.980 SOL</t>
        </is>
      </c>
      <c r="H91" s="18" t="inlineStr">
        <is>
          <t>0.00%</t>
        </is>
      </c>
      <c r="I91" s="21" t="inlineStr">
        <is>
          <t>339,654</t>
        </is>
      </c>
      <c r="J91" s="21" t="n">
        <v>1</v>
      </c>
      <c r="K91" s="21" t="n">
        <v>0</v>
      </c>
      <c r="L91" s="21" t="inlineStr">
        <is>
          <t>25.10.2024 02:19:01</t>
        </is>
      </c>
      <c r="M91" s="19" t="inlineStr">
        <is>
          <t>0 sec</t>
        </is>
      </c>
      <c r="N91" s="21" t="inlineStr">
        <is>
          <t xml:space="preserve">        508K           508K            40K</t>
        </is>
      </c>
      <c r="O91" s="21" t="inlineStr">
        <is>
          <t>6UaBXHo66aMBk82hR2xzB466sv4vNc9dnJdHtrBmpump</t>
        </is>
      </c>
      <c r="P91" s="21">
        <f>HYPERLINK("https://dexscreener.com/solana/6UaBXHo66aMBk82hR2xzB466sv4vNc9dnJdHtrBmpump", "View")</f>
        <v/>
      </c>
    </row>
    <row r="92">
      <c r="A92" s="16" t="inlineStr">
        <is>
          <t>HatPlant</t>
        </is>
      </c>
      <c r="B92" s="17" t="n">
        <v>6361384</v>
      </c>
      <c r="C92" s="17" t="n">
        <v>0</v>
      </c>
      <c r="D92" s="17" t="inlineStr">
        <is>
          <t>0.000010</t>
        </is>
      </c>
      <c r="E92" s="17" t="inlineStr">
        <is>
          <t>0.980 SOL</t>
        </is>
      </c>
      <c r="F92" s="17" t="inlineStr">
        <is>
          <t>0.000 SOL</t>
        </is>
      </c>
      <c r="G92" s="18" t="inlineStr">
        <is>
          <t>-0.980 SOL</t>
        </is>
      </c>
      <c r="H92" s="18" t="inlineStr">
        <is>
          <t>0.00%</t>
        </is>
      </c>
      <c r="I92" s="17" t="inlineStr">
        <is>
          <t>6,361,384</t>
        </is>
      </c>
      <c r="J92" s="17" t="n">
        <v>1</v>
      </c>
      <c r="K92" s="17" t="n">
        <v>0</v>
      </c>
      <c r="L92" s="17" t="inlineStr">
        <is>
          <t>25.10.2024 02:18:35</t>
        </is>
      </c>
      <c r="M92" s="19" t="inlineStr">
        <is>
          <t>0 sec</t>
        </is>
      </c>
      <c r="N92" s="17" t="inlineStr">
        <is>
          <t xml:space="preserve">         26K            26K             4K</t>
        </is>
      </c>
      <c r="O92" s="17" t="inlineStr">
        <is>
          <t>9HQgmwZe3nBDGjpScqhm1fJaT1ZzY4LWDk5ob3s9pump</t>
        </is>
      </c>
      <c r="P92" s="17">
        <f>HYPERLINK("https://dexscreener.com/solana/9HQgmwZe3nBDGjpScqhm1fJaT1ZzY4LWDk5ob3s9pump", "View")</f>
        <v/>
      </c>
    </row>
    <row r="93">
      <c r="A93" s="20" t="inlineStr">
        <is>
          <t>STRAWB</t>
        </is>
      </c>
      <c r="B93" s="21" t="n">
        <v>840962</v>
      </c>
      <c r="C93" s="21" t="n">
        <v>793069</v>
      </c>
      <c r="D93" s="21" t="inlineStr">
        <is>
          <t>0.000020</t>
        </is>
      </c>
      <c r="E93" s="21" t="inlineStr">
        <is>
          <t>0.980 SOL</t>
        </is>
      </c>
      <c r="F93" s="21" t="inlineStr">
        <is>
          <t>5.329 SOL</t>
        </is>
      </c>
      <c r="G93" s="24" t="inlineStr">
        <is>
          <t>4.349 SOL</t>
        </is>
      </c>
      <c r="H93" s="24" t="inlineStr">
        <is>
          <t>443.71%</t>
        </is>
      </c>
      <c r="I93" s="21" t="inlineStr">
        <is>
          <t>N/A</t>
        </is>
      </c>
      <c r="J93" s="21" t="n">
        <v>1</v>
      </c>
      <c r="K93" s="21" t="n">
        <v>3</v>
      </c>
      <c r="L93" s="21" t="inlineStr">
        <is>
          <t>25.10.2024 01:38:13</t>
        </is>
      </c>
      <c r="M93" s="21" t="inlineStr">
        <is>
          <t>1 hours</t>
        </is>
      </c>
      <c r="N93" s="21" t="inlineStr">
        <is>
          <t xml:space="preserve">        205K           237K            22K</t>
        </is>
      </c>
      <c r="O93" s="21" t="inlineStr">
        <is>
          <t>H6QvmSwAEfpG2r7K7PJK7yCM2b42oWnWte7jZP6cpump</t>
        </is>
      </c>
      <c r="P93" s="21">
        <f>HYPERLINK("https://dexscreener.com/solana/H6QvmSwAEfpG2r7K7PJK7yCM2b42oWnWte7jZP6cpump", "View")</f>
        <v/>
      </c>
    </row>
    <row r="94">
      <c r="A94" s="16" t="inlineStr">
        <is>
          <t>AI DEV</t>
        </is>
      </c>
      <c r="B94" s="17" t="n">
        <v>3499257</v>
      </c>
      <c r="C94" s="17" t="n">
        <v>3149331</v>
      </c>
      <c r="D94" s="17" t="inlineStr">
        <is>
          <t>0.000010</t>
        </is>
      </c>
      <c r="E94" s="17" t="inlineStr">
        <is>
          <t>0.980 SOL</t>
        </is>
      </c>
      <c r="F94" s="17" t="inlineStr">
        <is>
          <t>0.163 SOL</t>
        </is>
      </c>
      <c r="G94" s="23" t="inlineStr">
        <is>
          <t>-0.817 SOL</t>
        </is>
      </c>
      <c r="H94" s="23" t="inlineStr">
        <is>
          <t>-83.34%</t>
        </is>
      </c>
      <c r="I94" s="17" t="inlineStr">
        <is>
          <t>N/A</t>
        </is>
      </c>
      <c r="J94" s="17" t="n">
        <v>1</v>
      </c>
      <c r="K94" s="17" t="n">
        <v>1</v>
      </c>
      <c r="L94" s="17" t="inlineStr">
        <is>
          <t>25.10.2024 01:06:13</t>
        </is>
      </c>
      <c r="M94" s="17" t="inlineStr">
        <is>
          <t>2 hours</t>
        </is>
      </c>
      <c r="N94" s="17" t="inlineStr">
        <is>
          <t xml:space="preserve">         49K             9K             4K</t>
        </is>
      </c>
      <c r="O94" s="17" t="inlineStr">
        <is>
          <t>FSqwGmzdf1V3RFfmdgd7XZZtMoeVmoFggveNK48epump</t>
        </is>
      </c>
      <c r="P94" s="17">
        <f>HYPERLINK("https://dexscreener.com/solana/FSqwGmzdf1V3RFfmdgd7XZZtMoeVmoFggveNK48epump", "View")</f>
        <v/>
      </c>
    </row>
    <row r="95">
      <c r="A95" s="20" t="inlineStr">
        <is>
          <t>🍓</t>
        </is>
      </c>
      <c r="B95" s="21" t="n">
        <v>4754733</v>
      </c>
      <c r="C95" s="21" t="n">
        <v>0</v>
      </c>
      <c r="D95" s="21" t="inlineStr">
        <is>
          <t>0.000010</t>
        </is>
      </c>
      <c r="E95" s="21" t="inlineStr">
        <is>
          <t>0.980 SOL</t>
        </is>
      </c>
      <c r="F95" s="21" t="inlineStr">
        <is>
          <t>0.000 SOL</t>
        </is>
      </c>
      <c r="G95" s="18" t="inlineStr">
        <is>
          <t>-0.980 SOL</t>
        </is>
      </c>
      <c r="H95" s="18" t="inlineStr">
        <is>
          <t>0.00%</t>
        </is>
      </c>
      <c r="I95" s="21" t="inlineStr">
        <is>
          <t>4,754,733</t>
        </is>
      </c>
      <c r="J95" s="21" t="n">
        <v>1</v>
      </c>
      <c r="K95" s="21" t="n">
        <v>0</v>
      </c>
      <c r="L95" s="21" t="inlineStr">
        <is>
          <t>25.10.2024 00:57:30</t>
        </is>
      </c>
      <c r="M95" s="19" t="inlineStr">
        <is>
          <t>0 sec</t>
        </is>
      </c>
      <c r="N95" s="21" t="inlineStr">
        <is>
          <t xml:space="preserve">         37K            37K             4K</t>
        </is>
      </c>
      <c r="O95" s="21" t="inlineStr">
        <is>
          <t>6KyLYVDdkRZRhtYxtSAmvezPmR9aPcJB4DSz5LhQpump</t>
        </is>
      </c>
      <c r="P95" s="21">
        <f>HYPERLINK("https://dexscreener.com/solana/6KyLYVDdkRZRhtYxtSAmvezPmR9aPcJB4DSz5LhQpump", "View")</f>
        <v/>
      </c>
    </row>
    <row r="96">
      <c r="A96" s="16" t="inlineStr">
        <is>
          <t xml:space="preserve">AI </t>
        </is>
      </c>
      <c r="B96" s="17" t="n">
        <v>2317931</v>
      </c>
      <c r="C96" s="17" t="n">
        <v>0</v>
      </c>
      <c r="D96" s="17" t="inlineStr">
        <is>
          <t>0.000010</t>
        </is>
      </c>
      <c r="E96" s="17" t="inlineStr">
        <is>
          <t>0.980 SOL</t>
        </is>
      </c>
      <c r="F96" s="17" t="inlineStr">
        <is>
          <t>0.000 SOL</t>
        </is>
      </c>
      <c r="G96" s="18" t="inlineStr">
        <is>
          <t>-0.980 SOL</t>
        </is>
      </c>
      <c r="H96" s="18" t="inlineStr">
        <is>
          <t>0.00%</t>
        </is>
      </c>
      <c r="I96" s="17" t="inlineStr">
        <is>
          <t>2,317,931</t>
        </is>
      </c>
      <c r="J96" s="17" t="n">
        <v>1</v>
      </c>
      <c r="K96" s="17" t="n">
        <v>0</v>
      </c>
      <c r="L96" s="17" t="inlineStr">
        <is>
          <t>24.10.2024 22:15:35</t>
        </is>
      </c>
      <c r="M96" s="19" t="inlineStr">
        <is>
          <t>0 sec</t>
        </is>
      </c>
      <c r="N96" s="17" t="inlineStr">
        <is>
          <t xml:space="preserve">         74K            74K             4K</t>
        </is>
      </c>
      <c r="O96" s="17" t="inlineStr">
        <is>
          <t>E9NsgUHspPfAhxAQrJacEm8GWi4KAoCYTDStDkvxpump</t>
        </is>
      </c>
      <c r="P96" s="17">
        <f>HYPERLINK("https://dexscreener.com/solana/E9NsgUHspPfAhxAQrJacEm8GWi4KAoCYTDStDkvxpump", "View")</f>
        <v/>
      </c>
    </row>
    <row r="97">
      <c r="A97" s="20" t="inlineStr">
        <is>
          <t>Memex</t>
        </is>
      </c>
      <c r="B97" s="21" t="n">
        <v>737113</v>
      </c>
      <c r="C97" s="21" t="n">
        <v>317326</v>
      </c>
      <c r="D97" s="21" t="inlineStr">
        <is>
          <t>0.007510</t>
        </is>
      </c>
      <c r="E97" s="21" t="inlineStr">
        <is>
          <t>0.980 SOL</t>
        </is>
      </c>
      <c r="F97" s="21" t="inlineStr">
        <is>
          <t>2.387 SOL</t>
        </is>
      </c>
      <c r="G97" s="24" t="inlineStr">
        <is>
          <t>1.399 SOL</t>
        </is>
      </c>
      <c r="H97" s="24" t="inlineStr">
        <is>
          <t>141.69%</t>
        </is>
      </c>
      <c r="I97" s="21" t="inlineStr">
        <is>
          <t>N/A</t>
        </is>
      </c>
      <c r="J97" s="21" t="n">
        <v>1</v>
      </c>
      <c r="K97" s="21" t="n">
        <v>2</v>
      </c>
      <c r="L97" s="21" t="inlineStr">
        <is>
          <t>24.10.2024 01:00:51</t>
        </is>
      </c>
      <c r="M97" s="21" t="inlineStr">
        <is>
          <t>1 days</t>
        </is>
      </c>
      <c r="N97" s="21" t="inlineStr">
        <is>
          <t xml:space="preserve">        234K           234K            85K</t>
        </is>
      </c>
      <c r="O97" s="21" t="inlineStr">
        <is>
          <t>2E6SSuVKVrQ6113KpWvzvhfY9yQ647E83V6e656fpump</t>
        </is>
      </c>
      <c r="P97" s="21">
        <f>HYPERLINK("https://dexscreener.com/solana/2E6SSuVKVrQ6113KpWvzvhfY9yQ647E83V6e656fpump", "View")</f>
        <v/>
      </c>
    </row>
    <row r="98">
      <c r="A98" s="16" t="inlineStr">
        <is>
          <t>Puppy</t>
        </is>
      </c>
      <c r="B98" s="17" t="n">
        <v>1126628</v>
      </c>
      <c r="C98" s="17" t="n">
        <v>1013965</v>
      </c>
      <c r="D98" s="17" t="inlineStr">
        <is>
          <t>0.007010</t>
        </is>
      </c>
      <c r="E98" s="17" t="inlineStr">
        <is>
          <t>0.980 SOL</t>
        </is>
      </c>
      <c r="F98" s="17" t="inlineStr">
        <is>
          <t>0.054 SOL</t>
        </is>
      </c>
      <c r="G98" s="23" t="inlineStr">
        <is>
          <t>-0.933 SOL</t>
        </is>
      </c>
      <c r="H98" s="23" t="inlineStr">
        <is>
          <t>-94.49%</t>
        </is>
      </c>
      <c r="I98" s="17" t="inlineStr">
        <is>
          <t>N/A</t>
        </is>
      </c>
      <c r="J98" s="17" t="n">
        <v>1</v>
      </c>
      <c r="K98" s="17" t="n">
        <v>1</v>
      </c>
      <c r="L98" s="17" t="inlineStr">
        <is>
          <t>23.10.2024 15:40:44</t>
        </is>
      </c>
      <c r="M98" s="17" t="inlineStr">
        <is>
          <t>1 days</t>
        </is>
      </c>
      <c r="N98" s="17" t="inlineStr">
        <is>
          <t xml:space="preserve">        153K           153K             5K</t>
        </is>
      </c>
      <c r="O98" s="17" t="inlineStr">
        <is>
          <t>5aAjG4E2xEmYFWE7V3eoFS9ZQdXuRCwv8zhuJgMypump</t>
        </is>
      </c>
      <c r="P98" s="17">
        <f>HYPERLINK("https://dexscreener.com/solana/5aAjG4E2xEmYFWE7V3eoFS9ZQdXuRCwv8zhuJgMypump", "View")</f>
        <v/>
      </c>
    </row>
    <row r="99">
      <c r="A99" s="20" t="inlineStr">
        <is>
          <t>kizuna</t>
        </is>
      </c>
      <c r="B99" s="21" t="n">
        <v>532774</v>
      </c>
      <c r="C99" s="21" t="n">
        <v>479496</v>
      </c>
      <c r="D99" s="21" t="inlineStr">
        <is>
          <t>0.007010</t>
        </is>
      </c>
      <c r="E99" s="21" t="inlineStr">
        <is>
          <t>0.980 SOL</t>
        </is>
      </c>
      <c r="F99" s="21" t="inlineStr">
        <is>
          <t>0.051 SOL</t>
        </is>
      </c>
      <c r="G99" s="23" t="inlineStr">
        <is>
          <t>-0.936 SOL</t>
        </is>
      </c>
      <c r="H99" s="23" t="inlineStr">
        <is>
          <t>-94.83%</t>
        </is>
      </c>
      <c r="I99" s="21" t="inlineStr">
        <is>
          <t>N/A</t>
        </is>
      </c>
      <c r="J99" s="21" t="n">
        <v>1</v>
      </c>
      <c r="K99" s="21" t="n">
        <v>1</v>
      </c>
      <c r="L99" s="21" t="inlineStr">
        <is>
          <t>22.10.2024 19:03:25</t>
        </is>
      </c>
      <c r="M99" s="21" t="inlineStr">
        <is>
          <t>6 hours</t>
        </is>
      </c>
      <c r="N99" s="21" t="inlineStr">
        <is>
          <t xml:space="preserve">        323K           323K             7K</t>
        </is>
      </c>
      <c r="O99" s="21" t="inlineStr">
        <is>
          <t>4a4f9nTJDjVhEaSwF2EHxv9rbfpgHsTkN6933MkZpump</t>
        </is>
      </c>
      <c r="P99" s="21">
        <f>HYPERLINK("https://dexscreener.com/solana/4a4f9nTJDjVhEaSwF2EHxv9rbfpgHsTkN6933MkZpump", "View")</f>
        <v/>
      </c>
    </row>
    <row r="100">
      <c r="A100" s="16" t="inlineStr">
        <is>
          <t>Doggoth</t>
        </is>
      </c>
      <c r="B100" s="17" t="n">
        <v>1328463</v>
      </c>
      <c r="C100" s="17" t="n">
        <v>1195616</v>
      </c>
      <c r="D100" s="17" t="inlineStr">
        <is>
          <t>0.004010</t>
        </is>
      </c>
      <c r="E100" s="17" t="inlineStr">
        <is>
          <t>0.980 SOL</t>
        </is>
      </c>
      <c r="F100" s="17" t="inlineStr">
        <is>
          <t>0.076 SOL</t>
        </is>
      </c>
      <c r="G100" s="23" t="inlineStr">
        <is>
          <t>-0.908 SOL</t>
        </is>
      </c>
      <c r="H100" s="23" t="inlineStr">
        <is>
          <t>-92.25%</t>
        </is>
      </c>
      <c r="I100" s="17" t="inlineStr">
        <is>
          <t>N/A</t>
        </is>
      </c>
      <c r="J100" s="17" t="n">
        <v>1</v>
      </c>
      <c r="K100" s="17" t="n">
        <v>1</v>
      </c>
      <c r="L100" s="17" t="inlineStr">
        <is>
          <t>22.10.2024 16:52:23</t>
        </is>
      </c>
      <c r="M100" s="17" t="inlineStr">
        <is>
          <t>6 hours</t>
        </is>
      </c>
      <c r="N100" s="17" t="inlineStr">
        <is>
          <t xml:space="preserve">        130K           130K             6K</t>
        </is>
      </c>
      <c r="O100" s="17" t="inlineStr">
        <is>
          <t>XwysrsxGghWCu9PEFbp6bZ21xm7auUxA6WWf1T2pump</t>
        </is>
      </c>
      <c r="P100" s="17">
        <f>HYPERLINK("https://dexscreener.com/solana/XwysrsxGghWCu9PEFbp6bZ21xm7auUxA6WWf1T2pump", "View")</f>
        <v/>
      </c>
    </row>
    <row r="101">
      <c r="A101" s="20" t="inlineStr">
        <is>
          <t>GMTR</t>
        </is>
      </c>
      <c r="B101" s="21" t="n">
        <v>405597</v>
      </c>
      <c r="C101" s="21" t="n">
        <v>365037</v>
      </c>
      <c r="D101" s="21" t="inlineStr">
        <is>
          <t>0.004010</t>
        </is>
      </c>
      <c r="E101" s="21" t="inlineStr">
        <is>
          <t>0.980 SOL</t>
        </is>
      </c>
      <c r="F101" s="21" t="inlineStr">
        <is>
          <t>0.198 SOL</t>
        </is>
      </c>
      <c r="G101" s="23" t="inlineStr">
        <is>
          <t>-0.786 SOL</t>
        </is>
      </c>
      <c r="H101" s="23" t="inlineStr">
        <is>
          <t>-79.84%</t>
        </is>
      </c>
      <c r="I101" s="21" t="inlineStr">
        <is>
          <t>N/A</t>
        </is>
      </c>
      <c r="J101" s="21" t="n">
        <v>1</v>
      </c>
      <c r="K101" s="21" t="n">
        <v>1</v>
      </c>
      <c r="L101" s="21" t="inlineStr">
        <is>
          <t>22.10.2024 14:52:13</t>
        </is>
      </c>
      <c r="M101" s="21" t="inlineStr">
        <is>
          <t>6 hours</t>
        </is>
      </c>
      <c r="N101" s="21" t="inlineStr">
        <is>
          <t xml:space="preserve">        425K           425K            14K</t>
        </is>
      </c>
      <c r="O101" s="21" t="inlineStr">
        <is>
          <t>FAVwsjCnEvSDTCJXmvyeSBX3RrYH8dTYSyFQH9SApump</t>
        </is>
      </c>
      <c r="P101" s="21">
        <f>HYPERLINK("https://dexscreener.com/solana/FAVwsjCnEvSDTCJXmvyeSBX3RrYH8dTYSyFQH9SApump", "View")</f>
        <v/>
      </c>
    </row>
    <row r="102">
      <c r="A102" s="16" t="inlineStr">
        <is>
          <t>Kromem</t>
        </is>
      </c>
      <c r="B102" s="17" t="n">
        <v>1155901</v>
      </c>
      <c r="C102" s="17" t="n">
        <v>1116985</v>
      </c>
      <c r="D102" s="17" t="inlineStr">
        <is>
          <t>0.010920</t>
        </is>
      </c>
      <c r="E102" s="17" t="inlineStr">
        <is>
          <t>0.980 SOL</t>
        </is>
      </c>
      <c r="F102" s="17" t="inlineStr">
        <is>
          <t>3.617 SOL</t>
        </is>
      </c>
      <c r="G102" s="24" t="inlineStr">
        <is>
          <t>2.626 SOL</t>
        </is>
      </c>
      <c r="H102" s="24" t="inlineStr">
        <is>
          <t>264.99%</t>
        </is>
      </c>
      <c r="I102" s="17" t="inlineStr">
        <is>
          <t>N/A</t>
        </is>
      </c>
      <c r="J102" s="17" t="n">
        <v>1</v>
      </c>
      <c r="K102" s="17" t="n">
        <v>4</v>
      </c>
      <c r="L102" s="17" t="inlineStr">
        <is>
          <t>22.10.2024 14:49:32</t>
        </is>
      </c>
      <c r="M102" s="17" t="inlineStr">
        <is>
          <t>1 days</t>
        </is>
      </c>
      <c r="N102" s="17" t="inlineStr">
        <is>
          <t xml:space="preserve">        149K           149K           119K</t>
        </is>
      </c>
      <c r="O102" s="17" t="inlineStr">
        <is>
          <t>BmnUU9r1F9PJm4N5z9Pv4Ev7Exp8DxYiL2NVQoKSrsS7</t>
        </is>
      </c>
      <c r="P102" s="17">
        <f>HYPERLINK("https://dexscreener.com/solana/BmnUU9r1F9PJm4N5z9Pv4Ev7Exp8DxYiL2NVQoKSrsS7", "View")</f>
        <v/>
      </c>
    </row>
    <row r="103">
      <c r="A103" s="20" t="inlineStr">
        <is>
          <t xml:space="preserve">Nimbus </t>
        </is>
      </c>
      <c r="B103" s="21" t="n">
        <v>1131065</v>
      </c>
      <c r="C103" s="21" t="n">
        <v>0</v>
      </c>
      <c r="D103" s="21" t="inlineStr">
        <is>
          <t>0.003500</t>
        </is>
      </c>
      <c r="E103" s="21" t="inlineStr">
        <is>
          <t>0.980 SOL</t>
        </is>
      </c>
      <c r="F103" s="21" t="inlineStr">
        <is>
          <t>0.000 SOL</t>
        </is>
      </c>
      <c r="G103" s="18" t="inlineStr">
        <is>
          <t>-0.984 SOL</t>
        </is>
      </c>
      <c r="H103" s="18" t="inlineStr">
        <is>
          <t>0.00%</t>
        </is>
      </c>
      <c r="I103" s="21" t="inlineStr">
        <is>
          <t>1,131,065</t>
        </is>
      </c>
      <c r="J103" s="21" t="n">
        <v>1</v>
      </c>
      <c r="K103" s="21" t="n">
        <v>0</v>
      </c>
      <c r="L103" s="21" t="inlineStr">
        <is>
          <t>22.10.2024 13:18:23</t>
        </is>
      </c>
      <c r="M103" s="19" t="inlineStr">
        <is>
          <t>0 sec</t>
        </is>
      </c>
      <c r="N103" s="21" t="inlineStr">
        <is>
          <t xml:space="preserve">        153K           153K             4K</t>
        </is>
      </c>
      <c r="O103" s="21" t="inlineStr">
        <is>
          <t>HEVVLwrFHT4Pygyiyw6spepahCtzTppSqK5rEhz1RZ9k</t>
        </is>
      </c>
      <c r="P103" s="21">
        <f>HYPERLINK("https://dexscreener.com/solana/HEVVLwrFHT4Pygyiyw6spepahCtzTppSqK5rEhz1RZ9k", "View")</f>
        <v/>
      </c>
    </row>
    <row r="104">
      <c r="A104" s="16" t="inlineStr">
        <is>
          <t>human</t>
        </is>
      </c>
      <c r="B104" s="17" t="n">
        <v>1735398</v>
      </c>
      <c r="C104" s="17" t="n">
        <v>0</v>
      </c>
      <c r="D104" s="17" t="inlineStr">
        <is>
          <t>0.003500</t>
        </is>
      </c>
      <c r="E104" s="17" t="inlineStr">
        <is>
          <t>0.980 SOL</t>
        </is>
      </c>
      <c r="F104" s="17" t="inlineStr">
        <is>
          <t>0.000 SOL</t>
        </is>
      </c>
      <c r="G104" s="18" t="inlineStr">
        <is>
          <t>-0.984 SOL</t>
        </is>
      </c>
      <c r="H104" s="18" t="inlineStr">
        <is>
          <t>0.00%</t>
        </is>
      </c>
      <c r="I104" s="17" t="inlineStr">
        <is>
          <t>1,735,398</t>
        </is>
      </c>
      <c r="J104" s="17" t="n">
        <v>1</v>
      </c>
      <c r="K104" s="17" t="n">
        <v>0</v>
      </c>
      <c r="L104" s="17" t="inlineStr">
        <is>
          <t>22.10.2024 13:03:41</t>
        </is>
      </c>
      <c r="M104" s="19" t="inlineStr">
        <is>
          <t>0 sec</t>
        </is>
      </c>
      <c r="N104" s="17" t="inlineStr">
        <is>
          <t xml:space="preserve">         98K            98K            38K</t>
        </is>
      </c>
      <c r="O104" s="17" t="inlineStr">
        <is>
          <t>3SzByaRdsXcrEGUdK1g5HMmnhBLuBY2UMji2Sn2Epump</t>
        </is>
      </c>
      <c r="P104" s="17">
        <f>HYPERLINK("https://dexscreener.com/solana/3SzByaRdsXcrEGUdK1g5HMmnhBLuBY2UMji2Sn2Epump", "View")</f>
        <v/>
      </c>
    </row>
    <row r="105">
      <c r="A105" s="20" t="inlineStr">
        <is>
          <t>Aether</t>
        </is>
      </c>
      <c r="B105" s="21" t="n">
        <v>445966</v>
      </c>
      <c r="C105" s="21" t="n">
        <v>401369</v>
      </c>
      <c r="D105" s="21" t="inlineStr">
        <is>
          <t>0.007010</t>
        </is>
      </c>
      <c r="E105" s="21" t="inlineStr">
        <is>
          <t>0.980 SOL</t>
        </is>
      </c>
      <c r="F105" s="21" t="inlineStr">
        <is>
          <t>0.028 SOL</t>
        </is>
      </c>
      <c r="G105" s="23" t="inlineStr">
        <is>
          <t>-0.959 SOL</t>
        </is>
      </c>
      <c r="H105" s="23" t="inlineStr">
        <is>
          <t>-97.15%</t>
        </is>
      </c>
      <c r="I105" s="21" t="inlineStr">
        <is>
          <t>N/A</t>
        </is>
      </c>
      <c r="J105" s="21" t="n">
        <v>1</v>
      </c>
      <c r="K105" s="21" t="n">
        <v>1</v>
      </c>
      <c r="L105" s="21" t="inlineStr">
        <is>
          <t>22.10.2024 12:15:36</t>
        </is>
      </c>
      <c r="M105" s="21" t="inlineStr">
        <is>
          <t>1 hours</t>
        </is>
      </c>
      <c r="N105" s="21" t="inlineStr">
        <is>
          <t xml:space="preserve">        386K           386K             4K</t>
        </is>
      </c>
      <c r="O105" s="21" t="inlineStr">
        <is>
          <t>7rAhTkxAqhwnZ4xsUnP7vVtwdnf5im8akUomJssDpump</t>
        </is>
      </c>
      <c r="P105" s="21">
        <f>HYPERLINK("https://dexscreener.com/solana/7rAhTkxAqhwnZ4xsUnP7vVtwdnf5im8akUomJssDpump", "View")</f>
        <v/>
      </c>
    </row>
    <row r="106">
      <c r="A106" s="16" t="inlineStr">
        <is>
          <t>wiki</t>
        </is>
      </c>
      <c r="B106" s="17" t="n">
        <v>1270529</v>
      </c>
      <c r="C106" s="17" t="n">
        <v>0</v>
      </c>
      <c r="D106" s="17" t="inlineStr">
        <is>
          <t>0.003500</t>
        </is>
      </c>
      <c r="E106" s="17" t="inlineStr">
        <is>
          <t>0.980 SOL</t>
        </is>
      </c>
      <c r="F106" s="17" t="inlineStr">
        <is>
          <t>0.000 SOL</t>
        </is>
      </c>
      <c r="G106" s="18" t="inlineStr">
        <is>
          <t>-0.984 SOL</t>
        </is>
      </c>
      <c r="H106" s="18" t="inlineStr">
        <is>
          <t>0.00%</t>
        </is>
      </c>
      <c r="I106" s="17" t="inlineStr">
        <is>
          <t>1,270,529</t>
        </is>
      </c>
      <c r="J106" s="17" t="n">
        <v>1</v>
      </c>
      <c r="K106" s="17" t="n">
        <v>0</v>
      </c>
      <c r="L106" s="17" t="inlineStr">
        <is>
          <t>22.10.2024 10:21:22</t>
        </is>
      </c>
      <c r="M106" s="19" t="inlineStr">
        <is>
          <t>0 sec</t>
        </is>
      </c>
      <c r="N106" s="17" t="inlineStr">
        <is>
          <t xml:space="preserve">        135K           135K             6K</t>
        </is>
      </c>
      <c r="O106" s="17" t="inlineStr">
        <is>
          <t>3ssgRYnBVbWHCwv6FAqHsK1D9ACPTVsMcAD4z4TKpump</t>
        </is>
      </c>
      <c r="P106" s="17">
        <f>HYPERLINK("https://dexscreener.com/solana/3ssgRYnBVbWHCwv6FAqHsK1D9ACPTVsMcAD4z4TKpump", "View")</f>
        <v/>
      </c>
    </row>
    <row r="107">
      <c r="A107" s="20" t="inlineStr">
        <is>
          <t>LLM</t>
        </is>
      </c>
      <c r="B107" s="21" t="n">
        <v>712790</v>
      </c>
      <c r="C107" s="21" t="n">
        <v>641510</v>
      </c>
      <c r="D107" s="21" t="inlineStr">
        <is>
          <t>0.001010</t>
        </is>
      </c>
      <c r="E107" s="21" t="inlineStr">
        <is>
          <t>0.980 SOL</t>
        </is>
      </c>
      <c r="F107" s="21" t="inlineStr">
        <is>
          <t>0.095 SOL</t>
        </is>
      </c>
      <c r="G107" s="23" t="inlineStr">
        <is>
          <t>-0.886 SOL</t>
        </is>
      </c>
      <c r="H107" s="23" t="inlineStr">
        <is>
          <t>-90.35%</t>
        </is>
      </c>
      <c r="I107" s="21" t="inlineStr">
        <is>
          <t>N/A</t>
        </is>
      </c>
      <c r="J107" s="21" t="n">
        <v>1</v>
      </c>
      <c r="K107" s="21" t="n">
        <v>1</v>
      </c>
      <c r="L107" s="21" t="inlineStr">
        <is>
          <t>22.10.2024 09:00:44</t>
        </is>
      </c>
      <c r="M107" s="21" t="inlineStr">
        <is>
          <t>10 hours</t>
        </is>
      </c>
      <c r="N107" s="21" t="inlineStr">
        <is>
          <t xml:space="preserve">        242K           242K             9K</t>
        </is>
      </c>
      <c r="O107" s="21" t="inlineStr">
        <is>
          <t>FueRQG7Pe1EmMGtcevu95YwtCKNMQg1zRbreLsw3pump</t>
        </is>
      </c>
      <c r="P107" s="21">
        <f>HYPERLINK("https://dexscreener.com/solana/FueRQG7Pe1EmMGtcevu95YwtCKNMQg1zRbreLsw3pump", "View")</f>
        <v/>
      </c>
    </row>
    <row r="108">
      <c r="A108" s="16" t="inlineStr">
        <is>
          <t>CLIPPY</t>
        </is>
      </c>
      <c r="B108" s="17" t="n">
        <v>2613608</v>
      </c>
      <c r="C108" s="17" t="n">
        <v>0</v>
      </c>
      <c r="D108" s="17" t="inlineStr">
        <is>
          <t>0.000500</t>
        </is>
      </c>
      <c r="E108" s="17" t="inlineStr">
        <is>
          <t>0.980 SOL</t>
        </is>
      </c>
      <c r="F108" s="17" t="inlineStr">
        <is>
          <t>0.000 SOL</t>
        </is>
      </c>
      <c r="G108" s="18" t="inlineStr">
        <is>
          <t>-0.981 SOL</t>
        </is>
      </c>
      <c r="H108" s="18" t="inlineStr">
        <is>
          <t>0.00%</t>
        </is>
      </c>
      <c r="I108" s="17" t="inlineStr">
        <is>
          <t>2,613,608</t>
        </is>
      </c>
      <c r="J108" s="17" t="n">
        <v>1</v>
      </c>
      <c r="K108" s="17" t="n">
        <v>0</v>
      </c>
      <c r="L108" s="17" t="inlineStr">
        <is>
          <t>22.10.2024 08:30:22</t>
        </is>
      </c>
      <c r="M108" s="19" t="inlineStr">
        <is>
          <t>0 sec</t>
        </is>
      </c>
      <c r="N108" s="17" t="inlineStr">
        <is>
          <t xml:space="preserve">         65K            65K             4K</t>
        </is>
      </c>
      <c r="O108" s="17" t="inlineStr">
        <is>
          <t>FnNgTcbRNWAUt4ubGRckrMFJivdg5YjwU8fwvjtYpump</t>
        </is>
      </c>
      <c r="P108" s="17">
        <f>HYPERLINK("https://dexscreener.com/solana/FnNgTcbRNWAUt4ubGRckrMFJivdg5YjwU8fwvjtYpump", "View")</f>
        <v/>
      </c>
    </row>
    <row r="109">
      <c r="A109" s="20" t="inlineStr">
        <is>
          <t>$SUITRUMP</t>
        </is>
      </c>
      <c r="B109" s="21" t="n">
        <v>886</v>
      </c>
      <c r="C109" s="21" t="n">
        <v>0</v>
      </c>
      <c r="D109" s="21" t="inlineStr">
        <is>
          <t>0.000500</t>
        </is>
      </c>
      <c r="E109" s="21" t="inlineStr">
        <is>
          <t>0.980 SOL</t>
        </is>
      </c>
      <c r="F109" s="21" t="inlineStr">
        <is>
          <t>0.000 SOL</t>
        </is>
      </c>
      <c r="G109" s="18" t="inlineStr">
        <is>
          <t>-0.981 SOL</t>
        </is>
      </c>
      <c r="H109" s="18" t="inlineStr">
        <is>
          <t>0.00%</t>
        </is>
      </c>
      <c r="I109" s="21" t="inlineStr">
        <is>
          <t>886</t>
        </is>
      </c>
      <c r="J109" s="21" t="n">
        <v>1</v>
      </c>
      <c r="K109" s="21" t="n">
        <v>0</v>
      </c>
      <c r="L109" s="21" t="inlineStr">
        <is>
          <t>22.10.2024 08:06:33</t>
        </is>
      </c>
      <c r="M109" s="19" t="inlineStr">
        <is>
          <t>0 sec</t>
        </is>
      </c>
      <c r="N109" s="21" t="inlineStr">
        <is>
          <t xml:space="preserve">        192M           192M             32</t>
        </is>
      </c>
      <c r="O109" s="21" t="inlineStr">
        <is>
          <t>JBwLRGSe48MsgNjFX2dRjimbqfip1sFS2UgHSQHD5Q8m</t>
        </is>
      </c>
      <c r="P109" s="21">
        <f>HYPERLINK("https://dexscreener.com/solana/JBwLRGSe48MsgNjFX2dRjimbqfip1sFS2UgHSQHD5Q8m", "View")</f>
        <v/>
      </c>
    </row>
    <row r="110">
      <c r="A110" s="16" t="inlineStr">
        <is>
          <t>Whip</t>
        </is>
      </c>
      <c r="B110" s="17" t="n">
        <v>679907</v>
      </c>
      <c r="C110" s="17" t="n">
        <v>0</v>
      </c>
      <c r="D110" s="17" t="inlineStr">
        <is>
          <t>0.000500</t>
        </is>
      </c>
      <c r="E110" s="17" t="inlineStr">
        <is>
          <t>0.980 SOL</t>
        </is>
      </c>
      <c r="F110" s="17" t="inlineStr">
        <is>
          <t>0.000 SOL</t>
        </is>
      </c>
      <c r="G110" s="18" t="inlineStr">
        <is>
          <t>-0.981 SOL</t>
        </is>
      </c>
      <c r="H110" s="18" t="inlineStr">
        <is>
          <t>0.00%</t>
        </is>
      </c>
      <c r="I110" s="17" t="inlineStr">
        <is>
          <t>679,907</t>
        </is>
      </c>
      <c r="J110" s="17" t="n">
        <v>1</v>
      </c>
      <c r="K110" s="17" t="n">
        <v>0</v>
      </c>
      <c r="L110" s="17" t="inlineStr">
        <is>
          <t>22.10.2024 05:42:24</t>
        </is>
      </c>
      <c r="M110" s="19" t="inlineStr">
        <is>
          <t>0 sec</t>
        </is>
      </c>
      <c r="N110" s="17" t="inlineStr">
        <is>
          <t xml:space="preserve">        253K           253K            12K</t>
        </is>
      </c>
      <c r="O110" s="17" t="inlineStr">
        <is>
          <t>AHf7kfRnDSMMNxZBq9W3SRMznsLH7NkbfrvPoPpCpump</t>
        </is>
      </c>
      <c r="P110" s="17">
        <f>HYPERLINK("https://dexscreener.com/solana/AHf7kfRnDSMMNxZBq9W3SRMznsLH7NkbfrvPoPpCpump", "View")</f>
        <v/>
      </c>
    </row>
    <row r="111">
      <c r="A111" s="20" t="inlineStr">
        <is>
          <t>ASCII</t>
        </is>
      </c>
      <c r="B111" s="21" t="n">
        <v>2253820</v>
      </c>
      <c r="C111" s="21" t="n">
        <v>0</v>
      </c>
      <c r="D111" s="21" t="inlineStr">
        <is>
          <t>0.000500</t>
        </is>
      </c>
      <c r="E111" s="21" t="inlineStr">
        <is>
          <t>0.980 SOL</t>
        </is>
      </c>
      <c r="F111" s="21" t="inlineStr">
        <is>
          <t>0.000 SOL</t>
        </is>
      </c>
      <c r="G111" s="18" t="inlineStr">
        <is>
          <t>-0.981 SOL</t>
        </is>
      </c>
      <c r="H111" s="18" t="inlineStr">
        <is>
          <t>0.00%</t>
        </is>
      </c>
      <c r="I111" s="21" t="inlineStr">
        <is>
          <t>2,253,820</t>
        </is>
      </c>
      <c r="J111" s="21" t="n">
        <v>1</v>
      </c>
      <c r="K111" s="21" t="n">
        <v>0</v>
      </c>
      <c r="L111" s="21" t="inlineStr">
        <is>
          <t>22.10.2024 04:42:39</t>
        </is>
      </c>
      <c r="M111" s="19" t="inlineStr">
        <is>
          <t>0 sec</t>
        </is>
      </c>
      <c r="N111" s="21" t="inlineStr">
        <is>
          <t xml:space="preserve">         76K            76K             5K</t>
        </is>
      </c>
      <c r="O111" s="21" t="inlineStr">
        <is>
          <t>Cwn264JBW75ZXNnQASquGPvXcdaBLvomDV4xuNfxpump</t>
        </is>
      </c>
      <c r="P111" s="21">
        <f>HYPERLINK("https://dexscreener.com/solana/Cwn264JBW75ZXNnQASquGPvXcdaBLvomDV4xuNfxpump", "View")</f>
        <v/>
      </c>
    </row>
    <row r="112">
      <c r="A112" s="16" t="inlineStr">
        <is>
          <t>BLU</t>
        </is>
      </c>
      <c r="B112" s="17" t="n">
        <v>211976</v>
      </c>
      <c r="C112" s="17" t="n">
        <v>0</v>
      </c>
      <c r="D112" s="17" t="inlineStr">
        <is>
          <t>0.000500</t>
        </is>
      </c>
      <c r="E112" s="17" t="inlineStr">
        <is>
          <t>0.980 SOL</t>
        </is>
      </c>
      <c r="F112" s="17" t="inlineStr">
        <is>
          <t>0.000 SOL</t>
        </is>
      </c>
      <c r="G112" s="18" t="inlineStr">
        <is>
          <t>-0.981 SOL</t>
        </is>
      </c>
      <c r="H112" s="18" t="inlineStr">
        <is>
          <t>0.00%</t>
        </is>
      </c>
      <c r="I112" s="17" t="inlineStr">
        <is>
          <t>211,976</t>
        </is>
      </c>
      <c r="J112" s="17" t="n">
        <v>1</v>
      </c>
      <c r="K112" s="17" t="n">
        <v>0</v>
      </c>
      <c r="L112" s="17" t="inlineStr">
        <is>
          <t>22.10.2024 03:51:35</t>
        </is>
      </c>
      <c r="M112" s="19" t="inlineStr">
        <is>
          <t>0 sec</t>
        </is>
      </c>
      <c r="N112" s="17" t="inlineStr">
        <is>
          <t xml:space="preserve">        811K           811K            34K</t>
        </is>
      </c>
      <c r="O112" s="17" t="inlineStr">
        <is>
          <t>FXPn4kM8M252tbRXV4mvdqSQvY6jrg3J5cuRCphXpump</t>
        </is>
      </c>
      <c r="P112" s="17">
        <f>HYPERLINK("https://dexscreener.com/solana/FXPn4kM8M252tbRXV4mvdqSQvY6jrg3J5cuRCphXpump", "View")</f>
        <v/>
      </c>
    </row>
    <row r="113">
      <c r="A113" s="20" t="inlineStr">
        <is>
          <t xml:space="preserve">Kiri </t>
        </is>
      </c>
      <c r="B113" s="21" t="n">
        <v>372986</v>
      </c>
      <c r="C113" s="21" t="n">
        <v>360491</v>
      </c>
      <c r="D113" s="21" t="inlineStr">
        <is>
          <t>0.006520</t>
        </is>
      </c>
      <c r="E113" s="21" t="inlineStr">
        <is>
          <t>1.000 SOL</t>
        </is>
      </c>
      <c r="F113" s="21" t="inlineStr">
        <is>
          <t>1.192 SOL</t>
        </is>
      </c>
      <c r="G113" s="22" t="inlineStr">
        <is>
          <t>0.186 SOL</t>
        </is>
      </c>
      <c r="H113" s="22" t="inlineStr">
        <is>
          <t>18.47%</t>
        </is>
      </c>
      <c r="I113" s="21" t="inlineStr">
        <is>
          <t>N/A</t>
        </is>
      </c>
      <c r="J113" s="21" t="n">
        <v>1</v>
      </c>
      <c r="K113" s="21" t="n">
        <v>3</v>
      </c>
      <c r="L113" s="21" t="inlineStr">
        <is>
          <t>22.10.2024 02:56:22</t>
        </is>
      </c>
      <c r="M113" s="21" t="inlineStr">
        <is>
          <t>2 days</t>
        </is>
      </c>
      <c r="N113" s="21" t="inlineStr">
        <is>
          <t xml:space="preserve">        471K           111K           183K</t>
        </is>
      </c>
      <c r="O113" s="21" t="inlineStr">
        <is>
          <t>3Ei8SaoL4JWZv1XsWePqiAjVtb7QtpJbV2TSuURmpump</t>
        </is>
      </c>
      <c r="P113" s="21">
        <f>HYPERLINK("https://dexscreener.com/solana/3Ei8SaoL4JWZv1XsWePqiAjVtb7QtpJbV2TSuURmpump", "View")</f>
        <v/>
      </c>
    </row>
    <row r="114">
      <c r="A114" s="16" t="inlineStr">
        <is>
          <t>🦄</t>
        </is>
      </c>
      <c r="B114" s="17" t="n">
        <v>2066140</v>
      </c>
      <c r="C114" s="17" t="n">
        <v>1033070</v>
      </c>
      <c r="D114" s="17" t="inlineStr">
        <is>
          <t>0.001010</t>
        </is>
      </c>
      <c r="E114" s="17" t="inlineStr">
        <is>
          <t>1.000 SOL</t>
        </is>
      </c>
      <c r="F114" s="17" t="inlineStr">
        <is>
          <t>0.750 SOL</t>
        </is>
      </c>
      <c r="G114" s="25" t="inlineStr">
        <is>
          <t>-0.251 SOL</t>
        </is>
      </c>
      <c r="H114" s="25" t="inlineStr">
        <is>
          <t>-25.08%</t>
        </is>
      </c>
      <c r="I114" s="17" t="inlineStr">
        <is>
          <t>N/A</t>
        </is>
      </c>
      <c r="J114" s="17" t="n">
        <v>1</v>
      </c>
      <c r="K114" s="17" t="n">
        <v>1</v>
      </c>
      <c r="L114" s="17" t="inlineStr">
        <is>
          <t>22.10.2024 02:53:57</t>
        </is>
      </c>
      <c r="M114" s="17" t="inlineStr">
        <is>
          <t>4 days</t>
        </is>
      </c>
      <c r="N114" s="17" t="inlineStr">
        <is>
          <t xml:space="preserve">         84K            84K           170K</t>
        </is>
      </c>
      <c r="O114" s="17" t="inlineStr">
        <is>
          <t>Gg7Rc5qog3RXSNFoR9aBUmDZcEpL2iNkwjvTo4LDENWt</t>
        </is>
      </c>
      <c r="P114" s="17">
        <f>HYPERLINK("https://dexscreener.com/solana/Gg7Rc5qog3RXSNFoR9aBUmDZcEpL2iNkwjvTo4LDENWt", "View")</f>
        <v/>
      </c>
    </row>
    <row r="115">
      <c r="A115" s="20" t="inlineStr">
        <is>
          <t>BULLY</t>
        </is>
      </c>
      <c r="B115" s="21" t="n">
        <v>1202704</v>
      </c>
      <c r="C115" s="21" t="n">
        <v>1052365</v>
      </c>
      <c r="D115" s="21" t="inlineStr">
        <is>
          <t>0.002020</t>
        </is>
      </c>
      <c r="E115" s="21" t="inlineStr">
        <is>
          <t>1.000 SOL</t>
        </is>
      </c>
      <c r="F115" s="21" t="inlineStr">
        <is>
          <t>6.289 SOL</t>
        </is>
      </c>
      <c r="G115" s="24" t="inlineStr">
        <is>
          <t>5.287 SOL</t>
        </is>
      </c>
      <c r="H115" s="24" t="inlineStr">
        <is>
          <t>527.66%</t>
        </is>
      </c>
      <c r="I115" s="21" t="inlineStr">
        <is>
          <t>N/A</t>
        </is>
      </c>
      <c r="J115" s="21" t="n">
        <v>1</v>
      </c>
      <c r="K115" s="21" t="n">
        <v>3</v>
      </c>
      <c r="L115" s="21" t="inlineStr">
        <is>
          <t>22.10.2024 02:51:28</t>
        </is>
      </c>
      <c r="M115" s="21" t="inlineStr">
        <is>
          <t>5 days</t>
        </is>
      </c>
      <c r="N115" s="21" t="inlineStr">
        <is>
          <t xml:space="preserve">        140K           140K            97K</t>
        </is>
      </c>
      <c r="O115" s="21" t="inlineStr">
        <is>
          <t>79yTpy8uwmAkrdgZdq6ZSBTvxKsgPrNqTLvYQBh1pump</t>
        </is>
      </c>
      <c r="P115" s="21">
        <f>HYPERLINK("https://dexscreener.com/solana/79yTpy8uwmAkrdgZdq6ZSBTvxKsgPrNqTLvYQBh1pump", "View")</f>
        <v/>
      </c>
    </row>
    <row r="116">
      <c r="A116" s="16" t="inlineStr">
        <is>
          <t>CHONK</t>
        </is>
      </c>
      <c r="B116" s="17" t="n">
        <v>403494</v>
      </c>
      <c r="C116" s="17" t="n">
        <v>302115</v>
      </c>
      <c r="D116" s="17" t="inlineStr">
        <is>
          <t>0.002020</t>
        </is>
      </c>
      <c r="E116" s="17" t="inlineStr">
        <is>
          <t>1.000 SOL</t>
        </is>
      </c>
      <c r="F116" s="17" t="inlineStr">
        <is>
          <t>2.087 SOL</t>
        </is>
      </c>
      <c r="G116" s="24" t="inlineStr">
        <is>
          <t>1.085 SOL</t>
        </is>
      </c>
      <c r="H116" s="24" t="inlineStr">
        <is>
          <t>108.23%</t>
        </is>
      </c>
      <c r="I116" s="17" t="inlineStr">
        <is>
          <t>N/A</t>
        </is>
      </c>
      <c r="J116" s="17" t="n">
        <v>1</v>
      </c>
      <c r="K116" s="17" t="n">
        <v>3</v>
      </c>
      <c r="L116" s="17" t="inlineStr">
        <is>
          <t>22.10.2024 02:48:47</t>
        </is>
      </c>
      <c r="M116" s="17" t="inlineStr">
        <is>
          <t>6 days</t>
        </is>
      </c>
      <c r="N116" s="17" t="inlineStr">
        <is>
          <t xml:space="preserve">        436K           436K           743K</t>
        </is>
      </c>
      <c r="O116" s="17" t="inlineStr">
        <is>
          <t>AT7RRrFhBU1Dw1WghdgAqeNKNXKomDFXm77owQgppump</t>
        </is>
      </c>
      <c r="P116" s="17">
        <f>HYPERLINK("https://dexscreener.com/solana/AT7RRrFhBU1Dw1WghdgAqeNKNXKomDFXm77owQgppump", "View")</f>
        <v/>
      </c>
    </row>
    <row r="117">
      <c r="A117" s="20" t="inlineStr">
        <is>
          <t>Paws</t>
        </is>
      </c>
      <c r="B117" s="21" t="n">
        <v>1351</v>
      </c>
      <c r="C117" s="21" t="n">
        <v>0</v>
      </c>
      <c r="D117" s="21" t="inlineStr">
        <is>
          <t>0.000500</t>
        </is>
      </c>
      <c r="E117" s="21" t="inlineStr">
        <is>
          <t>0.980 SOL</t>
        </is>
      </c>
      <c r="F117" s="21" t="inlineStr">
        <is>
          <t>0.000 SOL</t>
        </is>
      </c>
      <c r="G117" s="18" t="inlineStr">
        <is>
          <t>-0.981 SOL</t>
        </is>
      </c>
      <c r="H117" s="18" t="inlineStr">
        <is>
          <t>0.00%</t>
        </is>
      </c>
      <c r="I117" s="21" t="inlineStr">
        <is>
          <t>1,351</t>
        </is>
      </c>
      <c r="J117" s="21" t="n">
        <v>1</v>
      </c>
      <c r="K117" s="21" t="n">
        <v>0</v>
      </c>
      <c r="L117" s="21" t="inlineStr">
        <is>
          <t>22.10.2024 02:48:29</t>
        </is>
      </c>
      <c r="M117" s="19" t="inlineStr">
        <is>
          <t>0 sec</t>
        </is>
      </c>
      <c r="N117" s="21" t="inlineStr">
        <is>
          <t xml:space="preserve">         85M            85M             40</t>
        </is>
      </c>
      <c r="O117" s="21" t="inlineStr">
        <is>
          <t>GLNzbbd7zskRVsVREju1xnDZrR2sECSPkWT5HfwafsMT</t>
        </is>
      </c>
      <c r="P117" s="21">
        <f>HYPERLINK("https://dexscreener.com/solana/GLNzbbd7zskRVsVREju1xnDZrR2sECSPkWT5HfwafsMT", "View")</f>
        <v/>
      </c>
    </row>
    <row r="118">
      <c r="A118" s="16" t="inlineStr">
        <is>
          <t>★</t>
        </is>
      </c>
      <c r="B118" s="17" t="n">
        <v>1785780</v>
      </c>
      <c r="C118" s="17" t="n">
        <v>0</v>
      </c>
      <c r="D118" s="17" t="inlineStr">
        <is>
          <t>0.000500</t>
        </is>
      </c>
      <c r="E118" s="17" t="inlineStr">
        <is>
          <t>0.980 SOL</t>
        </is>
      </c>
      <c r="F118" s="17" t="inlineStr">
        <is>
          <t>0.000 SOL</t>
        </is>
      </c>
      <c r="G118" s="18" t="inlineStr">
        <is>
          <t>-0.981 SOL</t>
        </is>
      </c>
      <c r="H118" s="18" t="inlineStr">
        <is>
          <t>0.00%</t>
        </is>
      </c>
      <c r="I118" s="17" t="inlineStr">
        <is>
          <t>1,785,780</t>
        </is>
      </c>
      <c r="J118" s="17" t="n">
        <v>1</v>
      </c>
      <c r="K118" s="17" t="n">
        <v>0</v>
      </c>
      <c r="L118" s="17" t="inlineStr">
        <is>
          <t>22.10.2024 01:21:30</t>
        </is>
      </c>
      <c r="M118" s="19" t="inlineStr">
        <is>
          <t>0 sec</t>
        </is>
      </c>
      <c r="N118" s="17" t="inlineStr">
        <is>
          <t xml:space="preserve">         96K            96K             3K</t>
        </is>
      </c>
      <c r="O118" s="17" t="inlineStr">
        <is>
          <t>NovavkexDZZQKFvYThWKgAuaTgMxrGqQyWeGbAM8Ks1</t>
        </is>
      </c>
      <c r="P118" s="17">
        <f>HYPERLINK("https://dexscreener.com/solana/NovavkexDZZQKFvYThWKgAuaTgMxrGqQyWeGbAM8Ks1", "View")</f>
        <v/>
      </c>
    </row>
    <row r="119">
      <c r="A119" s="20" t="inlineStr">
        <is>
          <t>MDOG</t>
        </is>
      </c>
      <c r="B119" s="21" t="n">
        <v>310726</v>
      </c>
      <c r="C119" s="21" t="n">
        <v>0</v>
      </c>
      <c r="D119" s="21" t="inlineStr">
        <is>
          <t>0.000500</t>
        </is>
      </c>
      <c r="E119" s="21" t="inlineStr">
        <is>
          <t>0.980 SOL</t>
        </is>
      </c>
      <c r="F119" s="21" t="inlineStr">
        <is>
          <t>0.000 SOL</t>
        </is>
      </c>
      <c r="G119" s="18" t="inlineStr">
        <is>
          <t>-0.981 SOL</t>
        </is>
      </c>
      <c r="H119" s="18" t="inlineStr">
        <is>
          <t>0.00%</t>
        </is>
      </c>
      <c r="I119" s="21" t="inlineStr">
        <is>
          <t>310,726</t>
        </is>
      </c>
      <c r="J119" s="21" t="n">
        <v>1</v>
      </c>
      <c r="K119" s="21" t="n">
        <v>0</v>
      </c>
      <c r="L119" s="21" t="inlineStr">
        <is>
          <t>22.10.2024 00:21:28</t>
        </is>
      </c>
      <c r="M119" s="19" t="inlineStr">
        <is>
          <t>0 sec</t>
        </is>
      </c>
      <c r="N119" s="21" t="inlineStr">
        <is>
          <t xml:space="preserve">        551K           551K             5K</t>
        </is>
      </c>
      <c r="O119" s="21" t="inlineStr">
        <is>
          <t>wpxTGswisVp6q33Rfnt39A7q7R6NzV523pXRpA9pump</t>
        </is>
      </c>
      <c r="P119" s="21">
        <f>HYPERLINK("https://dexscreener.com/solana/wpxTGswisVp6q33Rfnt39A7q7R6NzV523pXRpA9pump", "View")</f>
        <v/>
      </c>
    </row>
    <row r="120">
      <c r="A120" s="16" t="inlineStr">
        <is>
          <t>mochi</t>
        </is>
      </c>
      <c r="B120" s="17" t="n">
        <v>706360</v>
      </c>
      <c r="C120" s="17" t="n">
        <v>635724</v>
      </c>
      <c r="D120" s="17" t="inlineStr">
        <is>
          <t>0.011010</t>
        </is>
      </c>
      <c r="E120" s="17" t="inlineStr">
        <is>
          <t>0.980 SOL</t>
        </is>
      </c>
      <c r="F120" s="17" t="inlineStr">
        <is>
          <t>0.043 SOL</t>
        </is>
      </c>
      <c r="G120" s="23" t="inlineStr">
        <is>
          <t>-0.948 SOL</t>
        </is>
      </c>
      <c r="H120" s="23" t="inlineStr">
        <is>
          <t>-95.69%</t>
        </is>
      </c>
      <c r="I120" s="17" t="inlineStr">
        <is>
          <t>N/A</t>
        </is>
      </c>
      <c r="J120" s="17" t="n">
        <v>1</v>
      </c>
      <c r="K120" s="17" t="n">
        <v>1</v>
      </c>
      <c r="L120" s="17" t="inlineStr">
        <is>
          <t>21.10.2024 20:15:25</t>
        </is>
      </c>
      <c r="M120" s="17" t="inlineStr">
        <is>
          <t>1 hours</t>
        </is>
      </c>
      <c r="N120" s="17" t="inlineStr">
        <is>
          <t xml:space="preserve">        244K           244K             5K</t>
        </is>
      </c>
      <c r="O120" s="17" t="inlineStr">
        <is>
          <t>3bxVJsSkWHRZ4UeAg7N5YYxz8Z5AhpnrQj9Fe3wgpump</t>
        </is>
      </c>
      <c r="P120" s="17">
        <f>HYPERLINK("https://dexscreener.com/solana/3bxVJsSkWHRZ4UeAg7N5YYxz8Z5AhpnrQj9Fe3wgpump", "View")</f>
        <v/>
      </c>
    </row>
    <row r="121">
      <c r="A121" s="20" t="inlineStr">
        <is>
          <t>ct</t>
        </is>
      </c>
      <c r="B121" s="21" t="n">
        <v>645120</v>
      </c>
      <c r="C121" s="21" t="n">
        <v>0</v>
      </c>
      <c r="D121" s="21" t="inlineStr">
        <is>
          <t>0.006000</t>
        </is>
      </c>
      <c r="E121" s="21" t="inlineStr">
        <is>
          <t>0.980 SOL</t>
        </is>
      </c>
      <c r="F121" s="21" t="inlineStr">
        <is>
          <t>0.000 SOL</t>
        </is>
      </c>
      <c r="G121" s="18" t="inlineStr">
        <is>
          <t>-0.986 SOL</t>
        </is>
      </c>
      <c r="H121" s="18" t="inlineStr">
        <is>
          <t>0.00%</t>
        </is>
      </c>
      <c r="I121" s="21" t="inlineStr">
        <is>
          <t>645,120</t>
        </is>
      </c>
      <c r="J121" s="21" t="n">
        <v>1</v>
      </c>
      <c r="K121" s="21" t="n">
        <v>0</v>
      </c>
      <c r="L121" s="21" t="inlineStr">
        <is>
          <t>21.10.2024 19:36:33</t>
        </is>
      </c>
      <c r="M121" s="19" t="inlineStr">
        <is>
          <t>0 sec</t>
        </is>
      </c>
      <c r="N121" s="21" t="inlineStr">
        <is>
          <t xml:space="preserve">        267K           267K            43K</t>
        </is>
      </c>
      <c r="O121" s="21" t="inlineStr">
        <is>
          <t>H8eK75hXWrZRtUSuewapGQPbyHhVKHppErs468vcpump</t>
        </is>
      </c>
      <c r="P121" s="21">
        <f>HYPERLINK("https://dexscreener.com/solana/H8eK75hXWrZRtUSuewapGQPbyHhVKHppErs468vcpump", "View")</f>
        <v/>
      </c>
    </row>
    <row r="122">
      <c r="A122" s="16" t="inlineStr">
        <is>
          <t>every AI</t>
        </is>
      </c>
      <c r="B122" s="17" t="n">
        <v>494443</v>
      </c>
      <c r="C122" s="17" t="n">
        <v>0</v>
      </c>
      <c r="D122" s="17" t="inlineStr">
        <is>
          <t>0.006000</t>
        </is>
      </c>
      <c r="E122" s="17" t="inlineStr">
        <is>
          <t>0.980 SOL</t>
        </is>
      </c>
      <c r="F122" s="17" t="inlineStr">
        <is>
          <t>0.000 SOL</t>
        </is>
      </c>
      <c r="G122" s="18" t="inlineStr">
        <is>
          <t>-0.986 SOL</t>
        </is>
      </c>
      <c r="H122" s="18" t="inlineStr">
        <is>
          <t>0.00%</t>
        </is>
      </c>
      <c r="I122" s="17" t="inlineStr">
        <is>
          <t>494,443</t>
        </is>
      </c>
      <c r="J122" s="17" t="n">
        <v>1</v>
      </c>
      <c r="K122" s="17" t="n">
        <v>0</v>
      </c>
      <c r="L122" s="17" t="inlineStr">
        <is>
          <t>21.10.2024 19:18:24</t>
        </is>
      </c>
      <c r="M122" s="19" t="inlineStr">
        <is>
          <t>0 sec</t>
        </is>
      </c>
      <c r="N122" s="17" t="inlineStr">
        <is>
          <t xml:space="preserve">        348K           348K             4K</t>
        </is>
      </c>
      <c r="O122" s="17" t="inlineStr">
        <is>
          <t>4arp7siokxbe72AwiiWVya63QY49HRTbpWrFpNozpump</t>
        </is>
      </c>
      <c r="P122" s="17">
        <f>HYPERLINK("https://dexscreener.com/solana/4arp7siokxbe72AwiiWVya63QY49HRTbpWrFpNozpump", "View")</f>
        <v/>
      </c>
    </row>
    <row r="123">
      <c r="A123" s="20" t="inlineStr">
        <is>
          <t>XENO</t>
        </is>
      </c>
      <c r="B123" s="21" t="n">
        <v>1072516</v>
      </c>
      <c r="C123" s="21" t="n">
        <v>160877</v>
      </c>
      <c r="D123" s="21" t="inlineStr">
        <is>
          <t>0.005610</t>
        </is>
      </c>
      <c r="E123" s="21" t="inlineStr">
        <is>
          <t>1.000 SOL</t>
        </is>
      </c>
      <c r="F123" s="21" t="inlineStr">
        <is>
          <t>0.917 SOL</t>
        </is>
      </c>
      <c r="G123" s="25" t="inlineStr">
        <is>
          <t>-0.089 SOL</t>
        </is>
      </c>
      <c r="H123" s="25" t="inlineStr">
        <is>
          <t>-8.83%</t>
        </is>
      </c>
      <c r="I123" s="21" t="inlineStr">
        <is>
          <t>N/A</t>
        </is>
      </c>
      <c r="J123" s="21" t="n">
        <v>1</v>
      </c>
      <c r="K123" s="21" t="n">
        <v>1</v>
      </c>
      <c r="L123" s="21" t="inlineStr">
        <is>
          <t>21.10.2024 16:10:28</t>
        </is>
      </c>
      <c r="M123" s="21" t="inlineStr">
        <is>
          <t>2 days</t>
        </is>
      </c>
      <c r="N123" s="21" t="inlineStr">
        <is>
          <t xml:space="preserve">        163K           163K            35K</t>
        </is>
      </c>
      <c r="O123" s="21" t="inlineStr">
        <is>
          <t>AU6z1iY7Jt8kLzybWvSzj6jFEqVvXBZaA8VJmK83pump</t>
        </is>
      </c>
      <c r="P123" s="21">
        <f>HYPERLINK("https://dexscreener.com/solana/AU6z1iY7Jt8kLzybWvSzj6jFEqVvXBZaA8VJmK83pump", "View")</f>
        <v/>
      </c>
    </row>
    <row r="124">
      <c r="A124" s="16" t="inlineStr">
        <is>
          <t>gum</t>
        </is>
      </c>
      <c r="B124" s="17" t="n">
        <v>842209</v>
      </c>
      <c r="C124" s="17" t="n">
        <v>0</v>
      </c>
      <c r="D124" s="17" t="inlineStr">
        <is>
          <t>0.006000</t>
        </is>
      </c>
      <c r="E124" s="17" t="inlineStr">
        <is>
          <t>0.980 SOL</t>
        </is>
      </c>
      <c r="F124" s="17" t="inlineStr">
        <is>
          <t>0.000 SOL</t>
        </is>
      </c>
      <c r="G124" s="18" t="inlineStr">
        <is>
          <t>-0.986 SOL</t>
        </is>
      </c>
      <c r="H124" s="18" t="inlineStr">
        <is>
          <t>0.00%</t>
        </is>
      </c>
      <c r="I124" s="17" t="inlineStr">
        <is>
          <t>842,209</t>
        </is>
      </c>
      <c r="J124" s="17" t="n">
        <v>1</v>
      </c>
      <c r="K124" s="17" t="n">
        <v>0</v>
      </c>
      <c r="L124" s="17" t="inlineStr">
        <is>
          <t>21.10.2024 15:06:56</t>
        </is>
      </c>
      <c r="M124" s="19" t="inlineStr">
        <is>
          <t>0 sec</t>
        </is>
      </c>
      <c r="N124" s="17" t="inlineStr">
        <is>
          <t xml:space="preserve">        204K           204K             5K</t>
        </is>
      </c>
      <c r="O124" s="17" t="inlineStr">
        <is>
          <t>pi6XiAqEXP4r3Fe5xd7ZyWC9Ve2pYSaXETQGX9wpump</t>
        </is>
      </c>
      <c r="P124" s="17">
        <f>HYPERLINK("https://dexscreener.com/solana/pi6XiAqEXP4r3Fe5xd7ZyWC9Ve2pYSaXETQGX9wpump", "View")</f>
        <v/>
      </c>
    </row>
    <row r="125">
      <c r="A125" s="20" t="inlineStr">
        <is>
          <t>✨</t>
        </is>
      </c>
      <c r="B125" s="21" t="n">
        <v>3090604</v>
      </c>
      <c r="C125" s="21" t="n">
        <v>0</v>
      </c>
      <c r="D125" s="21" t="inlineStr">
        <is>
          <t>0.006000</t>
        </is>
      </c>
      <c r="E125" s="21" t="inlineStr">
        <is>
          <t>0.980 SOL</t>
        </is>
      </c>
      <c r="F125" s="21" t="inlineStr">
        <is>
          <t>0.000 SOL</t>
        </is>
      </c>
      <c r="G125" s="18" t="inlineStr">
        <is>
          <t>-0.986 SOL</t>
        </is>
      </c>
      <c r="H125" s="18" t="inlineStr">
        <is>
          <t>0.00%</t>
        </is>
      </c>
      <c r="I125" s="21" t="inlineStr">
        <is>
          <t>3,090,604</t>
        </is>
      </c>
      <c r="J125" s="21" t="n">
        <v>1</v>
      </c>
      <c r="K125" s="21" t="n">
        <v>0</v>
      </c>
      <c r="L125" s="21" t="inlineStr">
        <is>
          <t>21.10.2024 14:45:41</t>
        </is>
      </c>
      <c r="M125" s="19" t="inlineStr">
        <is>
          <t>0 sec</t>
        </is>
      </c>
      <c r="N125" s="21" t="inlineStr">
        <is>
          <t xml:space="preserve">         56K            56K             5K</t>
        </is>
      </c>
      <c r="O125" s="21" t="inlineStr">
        <is>
          <t>8KapfTcDKMMCN1xujKvDFPA4QSbRci9nSkpyYxoMpump</t>
        </is>
      </c>
      <c r="P125" s="21">
        <f>HYPERLINK("https://dexscreener.com/solana/8KapfTcDKMMCN1xujKvDFPA4QSbRci9nSkpyYxoMpump", "View")</f>
        <v/>
      </c>
    </row>
    <row r="126">
      <c r="A126" s="16" t="inlineStr">
        <is>
          <t>$BASI</t>
        </is>
      </c>
      <c r="B126" s="17" t="n">
        <v>1415060</v>
      </c>
      <c r="C126" s="17" t="n">
        <v>0</v>
      </c>
      <c r="D126" s="17" t="inlineStr">
        <is>
          <t>0.006000</t>
        </is>
      </c>
      <c r="E126" s="17" t="inlineStr">
        <is>
          <t>0.980 SOL</t>
        </is>
      </c>
      <c r="F126" s="17" t="inlineStr">
        <is>
          <t>0.000 SOL</t>
        </is>
      </c>
      <c r="G126" s="18" t="inlineStr">
        <is>
          <t>-0.986 SOL</t>
        </is>
      </c>
      <c r="H126" s="18" t="inlineStr">
        <is>
          <t>0.00%</t>
        </is>
      </c>
      <c r="I126" s="17" t="inlineStr">
        <is>
          <t>1,415,060</t>
        </is>
      </c>
      <c r="J126" s="17" t="n">
        <v>1</v>
      </c>
      <c r="K126" s="17" t="n">
        <v>0</v>
      </c>
      <c r="L126" s="17" t="inlineStr">
        <is>
          <t>21.10.2024 14:27:55</t>
        </is>
      </c>
      <c r="M126" s="19" t="inlineStr">
        <is>
          <t>0 sec</t>
        </is>
      </c>
      <c r="N126" s="17" t="inlineStr">
        <is>
          <t xml:space="preserve">        121K           121K             5K</t>
        </is>
      </c>
      <c r="O126" s="17" t="inlineStr">
        <is>
          <t>mAhve2iAaV6XXixNXZdwRGDTTHBUp2sb8tD41rHpump</t>
        </is>
      </c>
      <c r="P126" s="17">
        <f>HYPERLINK("https://dexscreener.com/solana/mAhve2iAaV6XXixNXZdwRGDTTHBUp2sb8tD41rHpump", "View")</f>
        <v/>
      </c>
    </row>
    <row r="127">
      <c r="A127" s="20" t="inlineStr">
        <is>
          <t>🌀</t>
        </is>
      </c>
      <c r="B127" s="21" t="n">
        <v>734870</v>
      </c>
      <c r="C127" s="21" t="n">
        <v>0</v>
      </c>
      <c r="D127" s="21" t="inlineStr">
        <is>
          <t>0.006000</t>
        </is>
      </c>
      <c r="E127" s="21" t="inlineStr">
        <is>
          <t>0.980 SOL</t>
        </is>
      </c>
      <c r="F127" s="21" t="inlineStr">
        <is>
          <t>0.000 SOL</t>
        </is>
      </c>
      <c r="G127" s="18" t="inlineStr">
        <is>
          <t>-0.986 SOL</t>
        </is>
      </c>
      <c r="H127" s="18" t="inlineStr">
        <is>
          <t>0.00%</t>
        </is>
      </c>
      <c r="I127" s="21" t="inlineStr">
        <is>
          <t>734,870</t>
        </is>
      </c>
      <c r="J127" s="21" t="n">
        <v>1</v>
      </c>
      <c r="K127" s="21" t="n">
        <v>0</v>
      </c>
      <c r="L127" s="21" t="inlineStr">
        <is>
          <t>21.10.2024 13:21:28</t>
        </is>
      </c>
      <c r="M127" s="19" t="inlineStr">
        <is>
          <t>0 sec</t>
        </is>
      </c>
      <c r="N127" s="21" t="inlineStr">
        <is>
          <t xml:space="preserve">        233K           233K             5K</t>
        </is>
      </c>
      <c r="O127" s="21" t="inlineStr">
        <is>
          <t>GkyZ89FRpwnMdCxBM3eKXD8zHouFvNxbVC2gb7y8pump</t>
        </is>
      </c>
      <c r="P127" s="21">
        <f>HYPERLINK("https://dexscreener.com/solana/GkyZ89FRpwnMdCxBM3eKXD8zHouFvNxbVC2gb7y8pump", "View")</f>
        <v/>
      </c>
    </row>
    <row r="128">
      <c r="A128" s="16" t="inlineStr">
        <is>
          <t>$ SUNGOD</t>
        </is>
      </c>
      <c r="B128" s="17" t="n">
        <v>950</v>
      </c>
      <c r="C128" s="17" t="n">
        <v>0</v>
      </c>
      <c r="D128" s="17" t="inlineStr">
        <is>
          <t>0.006000</t>
        </is>
      </c>
      <c r="E128" s="17" t="inlineStr">
        <is>
          <t>0.980 SOL</t>
        </is>
      </c>
      <c r="F128" s="17" t="inlineStr">
        <is>
          <t>0.000 SOL</t>
        </is>
      </c>
      <c r="G128" s="18" t="inlineStr">
        <is>
          <t>-0.986 SOL</t>
        </is>
      </c>
      <c r="H128" s="18" t="inlineStr">
        <is>
          <t>0.00%</t>
        </is>
      </c>
      <c r="I128" s="17" t="inlineStr">
        <is>
          <t>950</t>
        </is>
      </c>
      <c r="J128" s="17" t="n">
        <v>1</v>
      </c>
      <c r="K128" s="17" t="n">
        <v>0</v>
      </c>
      <c r="L128" s="17" t="inlineStr">
        <is>
          <t>21.10.2024 12:48:42</t>
        </is>
      </c>
      <c r="M128" s="19" t="inlineStr">
        <is>
          <t>0 sec</t>
        </is>
      </c>
      <c r="N128" s="17" t="inlineStr">
        <is>
          <t xml:space="preserve">        128M           128M            421</t>
        </is>
      </c>
      <c r="O128" s="17" t="inlineStr">
        <is>
          <t>C3HN5P6U8MuLUmNLuS7wGfbtHgQLuHUVgx8zGCshmT7Y</t>
        </is>
      </c>
      <c r="P128" s="17">
        <f>HYPERLINK("https://dexscreener.com/solana/C3HN5P6U8MuLUmNLuS7wGfbtHgQLuHUVgx8zGCshmT7Y", "View")</f>
        <v/>
      </c>
    </row>
    <row r="129">
      <c r="A129" s="20" t="inlineStr">
        <is>
          <t>LOMBA</t>
        </is>
      </c>
      <c r="B129" s="21" t="n">
        <v>6393042</v>
      </c>
      <c r="C129" s="21" t="n">
        <v>5753737</v>
      </c>
      <c r="D129" s="21" t="inlineStr">
        <is>
          <t>0.011010</t>
        </is>
      </c>
      <c r="E129" s="21" t="inlineStr">
        <is>
          <t>0.980 SOL</t>
        </is>
      </c>
      <c r="F129" s="21" t="inlineStr">
        <is>
          <t>0.033 SOL</t>
        </is>
      </c>
      <c r="G129" s="23" t="inlineStr">
        <is>
          <t>-0.958 SOL</t>
        </is>
      </c>
      <c r="H129" s="23" t="inlineStr">
        <is>
          <t>-96.62%</t>
        </is>
      </c>
      <c r="I129" s="21" t="inlineStr">
        <is>
          <t>N/A</t>
        </is>
      </c>
      <c r="J129" s="21" t="n">
        <v>1</v>
      </c>
      <c r="K129" s="21" t="n">
        <v>1</v>
      </c>
      <c r="L129" s="21" t="inlineStr">
        <is>
          <t>21.10.2024 12:21:11</t>
        </is>
      </c>
      <c r="M129" s="21" t="inlineStr">
        <is>
          <t>23 min</t>
        </is>
      </c>
      <c r="N129" s="21" t="inlineStr">
        <is>
          <t xml:space="preserve">         26K            26K            431</t>
        </is>
      </c>
      <c r="O129" s="21" t="inlineStr">
        <is>
          <t>GQZA1Ly7er3qQLMbKz3nDr9NarPwZQda3Q7cFnftrNdT</t>
        </is>
      </c>
      <c r="P129" s="21">
        <f>HYPERLINK("https://dexscreener.com/solana/GQZA1Ly7er3qQLMbKz3nDr9NarPwZQda3Q7cFnftrNdT", "View")</f>
        <v/>
      </c>
    </row>
    <row r="130">
      <c r="A130" s="16" t="inlineStr">
        <is>
          <t>NEOLUD</t>
        </is>
      </c>
      <c r="B130" s="17" t="n">
        <v>587594</v>
      </c>
      <c r="C130" s="17" t="n">
        <v>88139</v>
      </c>
      <c r="D130" s="17" t="inlineStr">
        <is>
          <t>0.011010</t>
        </is>
      </c>
      <c r="E130" s="17" t="inlineStr">
        <is>
          <t>0.980 SOL</t>
        </is>
      </c>
      <c r="F130" s="17" t="inlineStr">
        <is>
          <t>0.371 SOL</t>
        </is>
      </c>
      <c r="G130" s="23" t="inlineStr">
        <is>
          <t>-0.620 SOL</t>
        </is>
      </c>
      <c r="H130" s="23" t="inlineStr">
        <is>
          <t>-62.55%</t>
        </is>
      </c>
      <c r="I130" s="17" t="inlineStr">
        <is>
          <t>N/A</t>
        </is>
      </c>
      <c r="J130" s="17" t="n">
        <v>1</v>
      </c>
      <c r="K130" s="17" t="n">
        <v>1</v>
      </c>
      <c r="L130" s="17" t="inlineStr">
        <is>
          <t>21.10.2024 11:15:47</t>
        </is>
      </c>
      <c r="M130" s="17" t="inlineStr">
        <is>
          <t>3 hours</t>
        </is>
      </c>
      <c r="N130" s="17" t="inlineStr">
        <is>
          <t xml:space="preserve">        293K           293K            14K</t>
        </is>
      </c>
      <c r="O130" s="17" t="inlineStr">
        <is>
          <t>BEk5erCFDjoVEZYUJV2gJAVrp6CERSEgtY7CsWFYpump</t>
        </is>
      </c>
      <c r="P130" s="17">
        <f>HYPERLINK("https://dexscreener.com/solana/BEk5erCFDjoVEZYUJV2gJAVrp6CERSEgtY7CsWFYpump", "View")</f>
        <v/>
      </c>
    </row>
    <row r="131">
      <c r="A131" s="20" t="inlineStr">
        <is>
          <t>Grump</t>
        </is>
      </c>
      <c r="B131" s="21" t="n">
        <v>1184</v>
      </c>
      <c r="C131" s="21" t="n">
        <v>0</v>
      </c>
      <c r="D131" s="21" t="inlineStr">
        <is>
          <t>0.006000</t>
        </is>
      </c>
      <c r="E131" s="21" t="inlineStr">
        <is>
          <t>0.980 SOL</t>
        </is>
      </c>
      <c r="F131" s="21" t="inlineStr">
        <is>
          <t>0.000 SOL</t>
        </is>
      </c>
      <c r="G131" s="18" t="inlineStr">
        <is>
          <t>-0.986 SOL</t>
        </is>
      </c>
      <c r="H131" s="18" t="inlineStr">
        <is>
          <t>0.00%</t>
        </is>
      </c>
      <c r="I131" s="21" t="inlineStr">
        <is>
          <t>1,184</t>
        </is>
      </c>
      <c r="J131" s="21" t="n">
        <v>1</v>
      </c>
      <c r="K131" s="21" t="n">
        <v>0</v>
      </c>
      <c r="L131" s="21" t="inlineStr">
        <is>
          <t>21.10.2024 10:36:32</t>
        </is>
      </c>
      <c r="M131" s="19" t="inlineStr">
        <is>
          <t>0 sec</t>
        </is>
      </c>
      <c r="N131" s="21" t="inlineStr">
        <is>
          <t xml:space="preserve">        136M           136M             35</t>
        </is>
      </c>
      <c r="O131" s="21" t="inlineStr">
        <is>
          <t>C2HKY4Rgi9GE1B95Q7i3dvQccLMxtzK4vk8hC6UcnEwm</t>
        </is>
      </c>
      <c r="P131" s="21">
        <f>HYPERLINK("https://dexscreener.com/solana/C2HKY4Rgi9GE1B95Q7i3dvQccLMxtzK4vk8hC6UcnEwm", "View")</f>
        <v/>
      </c>
    </row>
    <row r="132">
      <c r="A132" s="16" t="inlineStr">
        <is>
          <t>ACTII</t>
        </is>
      </c>
      <c r="B132" s="17" t="n">
        <v>4689620</v>
      </c>
      <c r="C132" s="17" t="n">
        <v>0</v>
      </c>
      <c r="D132" s="17" t="inlineStr">
        <is>
          <t>0.006000</t>
        </is>
      </c>
      <c r="E132" s="17" t="inlineStr">
        <is>
          <t>0.980 SOL</t>
        </is>
      </c>
      <c r="F132" s="17" t="inlineStr">
        <is>
          <t>0.000 SOL</t>
        </is>
      </c>
      <c r="G132" s="18" t="inlineStr">
        <is>
          <t>-0.986 SOL</t>
        </is>
      </c>
      <c r="H132" s="18" t="inlineStr">
        <is>
          <t>0.00%</t>
        </is>
      </c>
      <c r="I132" s="17" t="inlineStr">
        <is>
          <t>4,689,620</t>
        </is>
      </c>
      <c r="J132" s="17" t="n">
        <v>1</v>
      </c>
      <c r="K132" s="17" t="n">
        <v>0</v>
      </c>
      <c r="L132" s="17" t="inlineStr">
        <is>
          <t>21.10.2024 10:06:47</t>
        </is>
      </c>
      <c r="M132" s="19" t="inlineStr">
        <is>
          <t>0 sec</t>
        </is>
      </c>
      <c r="N132" s="17" t="inlineStr">
        <is>
          <t xml:space="preserve">         37K            37K             5K</t>
        </is>
      </c>
      <c r="O132" s="17" t="inlineStr">
        <is>
          <t>HgjX7ZvBUgekABZwapxKqVu4pQ7omi4ZXhPksKUVpump</t>
        </is>
      </c>
      <c r="P132" s="17">
        <f>HYPERLINK("https://dexscreener.com/solana/HgjX7ZvBUgekABZwapxKqVu4pQ7omi4ZXhPksKUVpump", "View")</f>
        <v/>
      </c>
    </row>
    <row r="133">
      <c r="A133" s="20" t="inlineStr">
        <is>
          <t>HOMDANG</t>
        </is>
      </c>
      <c r="B133" s="21" t="n">
        <v>1384895</v>
      </c>
      <c r="C133" s="21" t="n">
        <v>0</v>
      </c>
      <c r="D133" s="21" t="inlineStr">
        <is>
          <t>0.006000</t>
        </is>
      </c>
      <c r="E133" s="21" t="inlineStr">
        <is>
          <t>0.980 SOL</t>
        </is>
      </c>
      <c r="F133" s="21" t="inlineStr">
        <is>
          <t>0.000 SOL</t>
        </is>
      </c>
      <c r="G133" s="18" t="inlineStr">
        <is>
          <t>-0.986 SOL</t>
        </is>
      </c>
      <c r="H133" s="18" t="inlineStr">
        <is>
          <t>0.00%</t>
        </is>
      </c>
      <c r="I133" s="21" t="inlineStr">
        <is>
          <t>1,384,895</t>
        </is>
      </c>
      <c r="J133" s="21" t="n">
        <v>1</v>
      </c>
      <c r="K133" s="21" t="n">
        <v>0</v>
      </c>
      <c r="L133" s="21" t="inlineStr">
        <is>
          <t>21.10.2024 07:39:24</t>
        </is>
      </c>
      <c r="M133" s="19" t="inlineStr">
        <is>
          <t>0 sec</t>
        </is>
      </c>
      <c r="N133" s="21" t="inlineStr">
        <is>
          <t xml:space="preserve">        125K           125K            12K</t>
        </is>
      </c>
      <c r="O133" s="21" t="inlineStr">
        <is>
          <t>BZF6Hd5Y4qBq96kyjNCDEoBbWZfc7vny9RjiMLNkpump</t>
        </is>
      </c>
      <c r="P133" s="21">
        <f>HYPERLINK("https://dexscreener.com/solana/BZF6Hd5Y4qBq96kyjNCDEoBbWZfc7vny9RjiMLNkpump", "View")</f>
        <v/>
      </c>
    </row>
    <row r="134">
      <c r="A134" s="16" t="inlineStr">
        <is>
          <t>LAMDUAN</t>
        </is>
      </c>
      <c r="B134" s="17" t="n">
        <v>267652</v>
      </c>
      <c r="C134" s="17" t="n">
        <v>0</v>
      </c>
      <c r="D134" s="17" t="inlineStr">
        <is>
          <t>0.006000</t>
        </is>
      </c>
      <c r="E134" s="17" t="inlineStr">
        <is>
          <t>0.980 SOL</t>
        </is>
      </c>
      <c r="F134" s="17" t="inlineStr">
        <is>
          <t>0.000 SOL</t>
        </is>
      </c>
      <c r="G134" s="18" t="inlineStr">
        <is>
          <t>-0.986 SOL</t>
        </is>
      </c>
      <c r="H134" s="18" t="inlineStr">
        <is>
          <t>0.00%</t>
        </is>
      </c>
      <c r="I134" s="17" t="inlineStr">
        <is>
          <t>267,652</t>
        </is>
      </c>
      <c r="J134" s="17" t="n">
        <v>1</v>
      </c>
      <c r="K134" s="17" t="n">
        <v>0</v>
      </c>
      <c r="L134" s="17" t="inlineStr">
        <is>
          <t>21.10.2024 06:48:42</t>
        </is>
      </c>
      <c r="M134" s="19" t="inlineStr">
        <is>
          <t>0 sec</t>
        </is>
      </c>
      <c r="N134" s="17" t="inlineStr">
        <is>
          <t xml:space="preserve">        643K           643K           195K</t>
        </is>
      </c>
      <c r="O134" s="17" t="inlineStr">
        <is>
          <t>6WSppYPevaDEZxdmW2WoHLoSnJMeVyqz8Rqkm8MCpump</t>
        </is>
      </c>
      <c r="P134" s="17">
        <f>HYPERLINK("https://dexscreener.com/solana/6WSppYPevaDEZxdmW2WoHLoSnJMeVyqz8Rqkm8MCpump", "View")</f>
        <v/>
      </c>
    </row>
    <row r="135">
      <c r="A135" s="20" t="inlineStr">
        <is>
          <t>ton</t>
        </is>
      </c>
      <c r="B135" s="21" t="n">
        <v>157771</v>
      </c>
      <c r="C135" s="21" t="n">
        <v>0</v>
      </c>
      <c r="D135" s="21" t="inlineStr">
        <is>
          <t>0.006000</t>
        </is>
      </c>
      <c r="E135" s="21" t="inlineStr">
        <is>
          <t>0.980 SOL</t>
        </is>
      </c>
      <c r="F135" s="21" t="inlineStr">
        <is>
          <t>0.000 SOL</t>
        </is>
      </c>
      <c r="G135" s="18" t="inlineStr">
        <is>
          <t>-0.986 SOL</t>
        </is>
      </c>
      <c r="H135" s="18" t="inlineStr">
        <is>
          <t>0.00%</t>
        </is>
      </c>
      <c r="I135" s="21" t="inlineStr">
        <is>
          <t>157,771</t>
        </is>
      </c>
      <c r="J135" s="21" t="n">
        <v>1</v>
      </c>
      <c r="K135" s="21" t="n">
        <v>0</v>
      </c>
      <c r="L135" s="21" t="inlineStr">
        <is>
          <t>21.10.2024 06:36:42</t>
        </is>
      </c>
      <c r="M135" s="19" t="inlineStr">
        <is>
          <t>0 sec</t>
        </is>
      </c>
      <c r="N135" s="21" t="inlineStr">
        <is>
          <t xml:space="preserve">          1M             1M            26K</t>
        </is>
      </c>
      <c r="O135" s="21" t="inlineStr">
        <is>
          <t>DQ9ecb5Pxgz9YTUBaB4PyhRkmM2jSK4P4j6kTZUFpump</t>
        </is>
      </c>
      <c r="P135" s="21">
        <f>HYPERLINK("https://dexscreener.com/solana/DQ9ecb5Pxgz9YTUBaB4PyhRkmM2jSK4P4j6kTZUFpump", "View")</f>
        <v/>
      </c>
    </row>
    <row r="136">
      <c r="A136" s="16" t="inlineStr">
        <is>
          <t>PAWG</t>
        </is>
      </c>
      <c r="B136" s="17" t="n">
        <v>1437153</v>
      </c>
      <c r="C136" s="17" t="n">
        <v>0</v>
      </c>
      <c r="D136" s="17" t="inlineStr">
        <is>
          <t>0.006000</t>
        </is>
      </c>
      <c r="E136" s="17" t="inlineStr">
        <is>
          <t>0.980 SOL</t>
        </is>
      </c>
      <c r="F136" s="17" t="inlineStr">
        <is>
          <t>0.000 SOL</t>
        </is>
      </c>
      <c r="G136" s="18" t="inlineStr">
        <is>
          <t>-0.986 SOL</t>
        </is>
      </c>
      <c r="H136" s="18" t="inlineStr">
        <is>
          <t>0.00%</t>
        </is>
      </c>
      <c r="I136" s="17" t="inlineStr">
        <is>
          <t>1,437,153</t>
        </is>
      </c>
      <c r="J136" s="17" t="n">
        <v>1</v>
      </c>
      <c r="K136" s="17" t="n">
        <v>0</v>
      </c>
      <c r="L136" s="17" t="inlineStr">
        <is>
          <t>21.10.2024 04:36:27</t>
        </is>
      </c>
      <c r="M136" s="19" t="inlineStr">
        <is>
          <t>0 sec</t>
        </is>
      </c>
      <c r="N136" s="17" t="inlineStr">
        <is>
          <t xml:space="preserve">        119K           119K             7K</t>
        </is>
      </c>
      <c r="O136" s="17" t="inlineStr">
        <is>
          <t>6FGVQezFyqD7iY1pEXAW2EUoRUk6JL3K6H5aLy76pump</t>
        </is>
      </c>
      <c r="P136" s="17">
        <f>HYPERLINK("https://dexscreener.com/solana/6FGVQezFyqD7iY1pEXAW2EUoRUk6JL3K6H5aLy76pump", "View")</f>
        <v/>
      </c>
    </row>
    <row r="137">
      <c r="A137" s="20" t="inlineStr">
        <is>
          <t>16</t>
        </is>
      </c>
      <c r="B137" s="21" t="n">
        <v>3023886</v>
      </c>
      <c r="C137" s="21" t="n">
        <v>0</v>
      </c>
      <c r="D137" s="21" t="inlineStr">
        <is>
          <t>0.006000</t>
        </is>
      </c>
      <c r="E137" s="21" t="inlineStr">
        <is>
          <t>0.980 SOL</t>
        </is>
      </c>
      <c r="F137" s="21" t="inlineStr">
        <is>
          <t>0.000 SOL</t>
        </is>
      </c>
      <c r="G137" s="18" t="inlineStr">
        <is>
          <t>-0.986 SOL</t>
        </is>
      </c>
      <c r="H137" s="18" t="inlineStr">
        <is>
          <t>0.00%</t>
        </is>
      </c>
      <c r="I137" s="21" t="inlineStr">
        <is>
          <t>3,023,886</t>
        </is>
      </c>
      <c r="J137" s="21" t="n">
        <v>1</v>
      </c>
      <c r="K137" s="21" t="n">
        <v>0</v>
      </c>
      <c r="L137" s="21" t="inlineStr">
        <is>
          <t>21.10.2024 03:42:30</t>
        </is>
      </c>
      <c r="M137" s="19" t="inlineStr">
        <is>
          <t>0 sec</t>
        </is>
      </c>
      <c r="N137" s="21" t="inlineStr">
        <is>
          <t xml:space="preserve">         56K            56K             6K</t>
        </is>
      </c>
      <c r="O137" s="21" t="inlineStr">
        <is>
          <t>BwwEPhfEtzYJf8CEmWjKADDMxqJzD29b2NzS4go1pump</t>
        </is>
      </c>
      <c r="P137" s="21">
        <f>HYPERLINK("https://dexscreener.com/solana/BwwEPhfEtzYJf8CEmWjKADDMxqJzD29b2NzS4go1pump", "View")</f>
        <v/>
      </c>
    </row>
    <row r="138">
      <c r="A138" s="16" t="inlineStr">
        <is>
          <t>fabian</t>
        </is>
      </c>
      <c r="B138" s="17" t="n">
        <v>954560</v>
      </c>
      <c r="C138" s="17" t="n">
        <v>0</v>
      </c>
      <c r="D138" s="17" t="inlineStr">
        <is>
          <t>0.006000</t>
        </is>
      </c>
      <c r="E138" s="17" t="inlineStr">
        <is>
          <t>0.980 SOL</t>
        </is>
      </c>
      <c r="F138" s="17" t="inlineStr">
        <is>
          <t>0.000 SOL</t>
        </is>
      </c>
      <c r="G138" s="18" t="inlineStr">
        <is>
          <t>-0.986 SOL</t>
        </is>
      </c>
      <c r="H138" s="18" t="inlineStr">
        <is>
          <t>0.00%</t>
        </is>
      </c>
      <c r="I138" s="17" t="inlineStr">
        <is>
          <t>954,560</t>
        </is>
      </c>
      <c r="J138" s="17" t="n">
        <v>1</v>
      </c>
      <c r="K138" s="17" t="n">
        <v>0</v>
      </c>
      <c r="L138" s="17" t="inlineStr">
        <is>
          <t>21.10.2024 02:48:44</t>
        </is>
      </c>
      <c r="M138" s="19" t="inlineStr">
        <is>
          <t>0 sec</t>
        </is>
      </c>
      <c r="N138" s="17" t="inlineStr">
        <is>
          <t xml:space="preserve">        181K           181K             6K</t>
        </is>
      </c>
      <c r="O138" s="17" t="inlineStr">
        <is>
          <t>Hej96eAZNrdTPvZQe9b91311BJMWMqJRHztmYCjay8qb</t>
        </is>
      </c>
      <c r="P138" s="17">
        <f>HYPERLINK("https://dexscreener.com/solana/Hej96eAZNrdTPvZQe9b91311BJMWMqJRHztmYCjay8qb", "View")</f>
        <v/>
      </c>
    </row>
    <row r="139">
      <c r="A139" s="20" t="inlineStr">
        <is>
          <t>SALT</t>
        </is>
      </c>
      <c r="B139" s="21" t="n">
        <v>814763</v>
      </c>
      <c r="C139" s="21" t="n">
        <v>0</v>
      </c>
      <c r="D139" s="21" t="inlineStr">
        <is>
          <t>0.006000</t>
        </is>
      </c>
      <c r="E139" s="21" t="inlineStr">
        <is>
          <t>0.980 SOL</t>
        </is>
      </c>
      <c r="F139" s="21" t="inlineStr">
        <is>
          <t>0.000 SOL</t>
        </is>
      </c>
      <c r="G139" s="18" t="inlineStr">
        <is>
          <t>-0.986 SOL</t>
        </is>
      </c>
      <c r="H139" s="18" t="inlineStr">
        <is>
          <t>0.00%</t>
        </is>
      </c>
      <c r="I139" s="21" t="inlineStr">
        <is>
          <t>814,763</t>
        </is>
      </c>
      <c r="J139" s="21" t="n">
        <v>1</v>
      </c>
      <c r="K139" s="21" t="n">
        <v>0</v>
      </c>
      <c r="L139" s="21" t="inlineStr">
        <is>
          <t>21.10.2024 02:37:01</t>
        </is>
      </c>
      <c r="M139" s="19" t="inlineStr">
        <is>
          <t>0 sec</t>
        </is>
      </c>
      <c r="N139" s="21" t="inlineStr">
        <is>
          <t xml:space="preserve">        211K           211K             8K</t>
        </is>
      </c>
      <c r="O139" s="21" t="inlineStr">
        <is>
          <t>EDNB87kSED7ER2Qe39xSsXDyjSK6LqBSyv6v8ocepump</t>
        </is>
      </c>
      <c r="P139" s="21">
        <f>HYPERLINK("https://dexscreener.com/solana/EDNB87kSED7ER2Qe39xSsXDyjSK6LqBSyv6v8ocepump", "View")</f>
        <v/>
      </c>
    </row>
    <row r="140">
      <c r="A140" s="16" t="inlineStr">
        <is>
          <t>Glifbots</t>
        </is>
      </c>
      <c r="B140" s="17" t="n">
        <v>3078622</v>
      </c>
      <c r="C140" s="17" t="n">
        <v>0</v>
      </c>
      <c r="D140" s="17" t="inlineStr">
        <is>
          <t>0.006000</t>
        </is>
      </c>
      <c r="E140" s="17" t="inlineStr">
        <is>
          <t>0.980 SOL</t>
        </is>
      </c>
      <c r="F140" s="17" t="inlineStr">
        <is>
          <t>0.000 SOL</t>
        </is>
      </c>
      <c r="G140" s="18" t="inlineStr">
        <is>
          <t>-0.986 SOL</t>
        </is>
      </c>
      <c r="H140" s="18" t="inlineStr">
        <is>
          <t>0.00%</t>
        </is>
      </c>
      <c r="I140" s="17" t="inlineStr">
        <is>
          <t>3,078,622</t>
        </is>
      </c>
      <c r="J140" s="17" t="n">
        <v>1</v>
      </c>
      <c r="K140" s="17" t="n">
        <v>0</v>
      </c>
      <c r="L140" s="17" t="inlineStr">
        <is>
          <t>21.10.2024 01:27:31</t>
        </is>
      </c>
      <c r="M140" s="19" t="inlineStr">
        <is>
          <t>0 sec</t>
        </is>
      </c>
      <c r="N140" s="17" t="inlineStr">
        <is>
          <t xml:space="preserve">         56K            56K             6K</t>
        </is>
      </c>
      <c r="O140" s="17" t="inlineStr">
        <is>
          <t>HC5UNDdVBKAxau2sPCzrHwum6UNrDH5bdiKR3Snapump</t>
        </is>
      </c>
      <c r="P140" s="17">
        <f>HYPERLINK("https://dexscreener.com/solana/HC5UNDdVBKAxau2sPCzrHwum6UNrDH5bdiKR3Snapump", "View")</f>
        <v/>
      </c>
    </row>
    <row r="141">
      <c r="A141" s="20" t="inlineStr">
        <is>
          <t>god</t>
        </is>
      </c>
      <c r="B141" s="21" t="n">
        <v>2139312</v>
      </c>
      <c r="C141" s="21" t="n">
        <v>705973</v>
      </c>
      <c r="D141" s="21" t="inlineStr">
        <is>
          <t>0.005110</t>
        </is>
      </c>
      <c r="E141" s="21" t="inlineStr">
        <is>
          <t>2.974 SOL</t>
        </is>
      </c>
      <c r="F141" s="21" t="inlineStr">
        <is>
          <t>3.136 SOL</t>
        </is>
      </c>
      <c r="G141" s="22" t="inlineStr">
        <is>
          <t>0.156 SOL</t>
        </is>
      </c>
      <c r="H141" s="22" t="inlineStr">
        <is>
          <t>5.24%</t>
        </is>
      </c>
      <c r="I141" s="21" t="inlineStr">
        <is>
          <t>N/A</t>
        </is>
      </c>
      <c r="J141" s="21" t="n">
        <v>1</v>
      </c>
      <c r="K141" s="21" t="n">
        <v>1</v>
      </c>
      <c r="L141" s="21" t="inlineStr">
        <is>
          <t>20.10.2024 22:50:06</t>
        </is>
      </c>
      <c r="M141" s="21" t="inlineStr">
        <is>
          <t>6 hours</t>
        </is>
      </c>
      <c r="N141" s="21" t="inlineStr">
        <is>
          <t xml:space="preserve">        244K           244K            30K</t>
        </is>
      </c>
      <c r="O141" s="21" t="inlineStr">
        <is>
          <t>jasQQD17WWgFhiCZVZDyik35XEd3SVqza5godvopump</t>
        </is>
      </c>
      <c r="P141" s="21">
        <f>HYPERLINK("https://dexscreener.com/solana/jasQQD17WWgFhiCZVZDyik35XEd3SVqza5godvopump", "View")</f>
        <v/>
      </c>
    </row>
    <row r="142">
      <c r="A142" s="16" t="inlineStr">
        <is>
          <t>PHIL</t>
        </is>
      </c>
      <c r="B142" s="17" t="n">
        <v>881</v>
      </c>
      <c r="C142" s="17" t="n">
        <v>0</v>
      </c>
      <c r="D142" s="17" t="inlineStr">
        <is>
          <t>0.006000</t>
        </is>
      </c>
      <c r="E142" s="17" t="inlineStr">
        <is>
          <t>0.980 SOL</t>
        </is>
      </c>
      <c r="F142" s="17" t="inlineStr">
        <is>
          <t>0.000 SOL</t>
        </is>
      </c>
      <c r="G142" s="18" t="inlineStr">
        <is>
          <t>-0.986 SOL</t>
        </is>
      </c>
      <c r="H142" s="18" t="inlineStr">
        <is>
          <t>0.00%</t>
        </is>
      </c>
      <c r="I142" s="17" t="inlineStr">
        <is>
          <t>881</t>
        </is>
      </c>
      <c r="J142" s="17" t="n">
        <v>1</v>
      </c>
      <c r="K142" s="17" t="n">
        <v>0</v>
      </c>
      <c r="L142" s="17" t="inlineStr">
        <is>
          <t>20.10.2024 22:33:43</t>
        </is>
      </c>
      <c r="M142" s="19" t="inlineStr">
        <is>
          <t>0 sec</t>
        </is>
      </c>
      <c r="N142" s="17" t="inlineStr">
        <is>
          <t xml:space="preserve">        144M           144M             43</t>
        </is>
      </c>
      <c r="O142" s="17" t="inlineStr">
        <is>
          <t>3EatUAd55TndNRiRPK7mLZJfSQCRzJg76wL9WHCsk4rh</t>
        </is>
      </c>
      <c r="P142" s="17">
        <f>HYPERLINK("https://dexscreener.com/solana/3EatUAd55TndNRiRPK7mLZJfSQCRzJg76wL9WHCsk4rh", "View")</f>
        <v/>
      </c>
    </row>
    <row r="143">
      <c r="A143" s="20" t="inlineStr">
        <is>
          <t>Komrade</t>
        </is>
      </c>
      <c r="B143" s="21" t="n">
        <v>1962519</v>
      </c>
      <c r="C143" s="21" t="n">
        <v>0</v>
      </c>
      <c r="D143" s="21" t="inlineStr">
        <is>
          <t>0.006000</t>
        </is>
      </c>
      <c r="E143" s="21" t="inlineStr">
        <is>
          <t>0.980 SOL</t>
        </is>
      </c>
      <c r="F143" s="21" t="inlineStr">
        <is>
          <t>0.000 SOL</t>
        </is>
      </c>
      <c r="G143" s="18" t="inlineStr">
        <is>
          <t>-0.986 SOL</t>
        </is>
      </c>
      <c r="H143" s="18" t="inlineStr">
        <is>
          <t>0.00%</t>
        </is>
      </c>
      <c r="I143" s="21" t="inlineStr">
        <is>
          <t>1,962,519</t>
        </is>
      </c>
      <c r="J143" s="21" t="n">
        <v>1</v>
      </c>
      <c r="K143" s="21" t="n">
        <v>0</v>
      </c>
      <c r="L143" s="21" t="inlineStr">
        <is>
          <t>20.10.2024 22:12:42</t>
        </is>
      </c>
      <c r="M143" s="19" t="inlineStr">
        <is>
          <t>0 sec</t>
        </is>
      </c>
      <c r="N143" s="21" t="inlineStr">
        <is>
          <t xml:space="preserve">         88K            88K             4K</t>
        </is>
      </c>
      <c r="O143" s="21" t="inlineStr">
        <is>
          <t>2vWVk6fSmM6V7BN4sjCPsrqsXwZHUccwTEgJasDFpump</t>
        </is>
      </c>
      <c r="P143" s="21">
        <f>HYPERLINK("https://dexscreener.com/solana/2vWVk6fSmM6V7BN4sjCPsrqsXwZHUccwTEgJasDFpump", "View")</f>
        <v/>
      </c>
    </row>
    <row r="144">
      <c r="A144" s="16" t="inlineStr">
        <is>
          <t>∅</t>
        </is>
      </c>
      <c r="B144" s="17" t="n">
        <v>597219</v>
      </c>
      <c r="C144" s="17" t="n">
        <v>0</v>
      </c>
      <c r="D144" s="17" t="inlineStr">
        <is>
          <t>0.006000</t>
        </is>
      </c>
      <c r="E144" s="17" t="inlineStr">
        <is>
          <t>0.980 SOL</t>
        </is>
      </c>
      <c r="F144" s="17" t="inlineStr">
        <is>
          <t>0.000 SOL</t>
        </is>
      </c>
      <c r="G144" s="18" t="inlineStr">
        <is>
          <t>-0.986 SOL</t>
        </is>
      </c>
      <c r="H144" s="18" t="inlineStr">
        <is>
          <t>0.00%</t>
        </is>
      </c>
      <c r="I144" s="17" t="inlineStr">
        <is>
          <t>597,219</t>
        </is>
      </c>
      <c r="J144" s="17" t="n">
        <v>1</v>
      </c>
      <c r="K144" s="17" t="n">
        <v>0</v>
      </c>
      <c r="L144" s="17" t="inlineStr">
        <is>
          <t>20.10.2024 22:06:56</t>
        </is>
      </c>
      <c r="M144" s="19" t="inlineStr">
        <is>
          <t>0 sec</t>
        </is>
      </c>
      <c r="N144" s="17" t="inlineStr">
        <is>
          <t xml:space="preserve">        288K           288K             9K</t>
        </is>
      </c>
      <c r="O144" s="17" t="inlineStr">
        <is>
          <t>ExocdWVMKbZBsMo21M6c6SCj7n4k4s7vmUVz3mGvpump</t>
        </is>
      </c>
      <c r="P144" s="17">
        <f>HYPERLINK("https://dexscreener.com/solana/ExocdWVMKbZBsMo21M6c6SCj7n4k4s7vmUVz3mGvpump", "View")</f>
        <v/>
      </c>
    </row>
    <row r="145">
      <c r="A145" s="20" t="inlineStr">
        <is>
          <t>fag</t>
        </is>
      </c>
      <c r="B145" s="21" t="n">
        <v>3055170</v>
      </c>
      <c r="C145" s="21" t="n">
        <v>0</v>
      </c>
      <c r="D145" s="21" t="inlineStr">
        <is>
          <t>0.006000</t>
        </is>
      </c>
      <c r="E145" s="21" t="inlineStr">
        <is>
          <t>0.980 SOL</t>
        </is>
      </c>
      <c r="F145" s="21" t="inlineStr">
        <is>
          <t>0.000 SOL</t>
        </is>
      </c>
      <c r="G145" s="18" t="inlineStr">
        <is>
          <t>-0.986 SOL</t>
        </is>
      </c>
      <c r="H145" s="18" t="inlineStr">
        <is>
          <t>0.00%</t>
        </is>
      </c>
      <c r="I145" s="21" t="inlineStr">
        <is>
          <t>3,055,170</t>
        </is>
      </c>
      <c r="J145" s="21" t="n">
        <v>1</v>
      </c>
      <c r="K145" s="21" t="n">
        <v>0</v>
      </c>
      <c r="L145" s="21" t="inlineStr">
        <is>
          <t>20.10.2024 22:06:30</t>
        </is>
      </c>
      <c r="M145" s="19" t="inlineStr">
        <is>
          <t>0 sec</t>
        </is>
      </c>
      <c r="N145" s="21" t="inlineStr">
        <is>
          <t xml:space="preserve">         56K            56K             5K</t>
        </is>
      </c>
      <c r="O145" s="21" t="inlineStr">
        <is>
          <t>Gnq3u69LJGrr4k1Dw7JZTFUt1cftHwVcrxmUsMEHpump</t>
        </is>
      </c>
      <c r="P145" s="21">
        <f>HYPERLINK("https://dexscreener.com/solana/Gnq3u69LJGrr4k1Dw7JZTFUt1cftHwVcrxmUsMEHpump", "View")</f>
        <v/>
      </c>
    </row>
    <row r="146">
      <c r="A146" s="16" t="inlineStr">
        <is>
          <t>GAMEFACE</t>
        </is>
      </c>
      <c r="B146" s="17" t="n">
        <v>888958</v>
      </c>
      <c r="C146" s="17" t="n">
        <v>0</v>
      </c>
      <c r="D146" s="17" t="inlineStr">
        <is>
          <t>0.006000</t>
        </is>
      </c>
      <c r="E146" s="17" t="inlineStr">
        <is>
          <t>0.980 SOL</t>
        </is>
      </c>
      <c r="F146" s="17" t="inlineStr">
        <is>
          <t>0.000 SOL</t>
        </is>
      </c>
      <c r="G146" s="18" t="inlineStr">
        <is>
          <t>-0.986 SOL</t>
        </is>
      </c>
      <c r="H146" s="18" t="inlineStr">
        <is>
          <t>0.00%</t>
        </is>
      </c>
      <c r="I146" s="17" t="inlineStr">
        <is>
          <t>888,958</t>
        </is>
      </c>
      <c r="J146" s="17" t="n">
        <v>1</v>
      </c>
      <c r="K146" s="17" t="n">
        <v>0</v>
      </c>
      <c r="L146" s="17" t="inlineStr">
        <is>
          <t>20.10.2024 22:00:45</t>
        </is>
      </c>
      <c r="M146" s="19" t="inlineStr">
        <is>
          <t>0 sec</t>
        </is>
      </c>
      <c r="N146" s="17" t="inlineStr">
        <is>
          <t xml:space="preserve">        193K           193K             6K</t>
        </is>
      </c>
      <c r="O146" s="17" t="inlineStr">
        <is>
          <t>F6W6jbpRb6zxZ9BmH96Gw1L5LrBf8z1AcJKF4dUJpump</t>
        </is>
      </c>
      <c r="P146" s="17">
        <f>HYPERLINK("https://dexscreener.com/solana/F6W6jbpRb6zxZ9BmH96Gw1L5LrBf8z1AcJKF4dUJpump", "View")</f>
        <v/>
      </c>
    </row>
    <row r="147">
      <c r="A147" s="20" t="inlineStr">
        <is>
          <t>YUUMI</t>
        </is>
      </c>
      <c r="B147" s="21" t="n">
        <v>3417236</v>
      </c>
      <c r="C147" s="21" t="n">
        <v>512585</v>
      </c>
      <c r="D147" s="21" t="inlineStr">
        <is>
          <t>0.011010</t>
        </is>
      </c>
      <c r="E147" s="21" t="inlineStr">
        <is>
          <t>0.980 SOL</t>
        </is>
      </c>
      <c r="F147" s="21" t="inlineStr">
        <is>
          <t>0.744 SOL</t>
        </is>
      </c>
      <c r="G147" s="25" t="inlineStr">
        <is>
          <t>-0.247 SOL</t>
        </is>
      </c>
      <c r="H147" s="25" t="inlineStr">
        <is>
          <t>-24.93%</t>
        </is>
      </c>
      <c r="I147" s="21" t="inlineStr">
        <is>
          <t>N/A</t>
        </is>
      </c>
      <c r="J147" s="21" t="n">
        <v>1</v>
      </c>
      <c r="K147" s="21" t="n">
        <v>1</v>
      </c>
      <c r="L147" s="21" t="inlineStr">
        <is>
          <t>20.10.2024 21:40:34</t>
        </is>
      </c>
      <c r="M147" s="21" t="inlineStr">
        <is>
          <t>3 hours</t>
        </is>
      </c>
      <c r="N147" s="21" t="inlineStr">
        <is>
          <t xml:space="preserve">         51K            51K            34K</t>
        </is>
      </c>
      <c r="O147" s="21" t="inlineStr">
        <is>
          <t>ChuPbVJ4nt1Fz48HTTasLZjzaXPqC8NwNU7L2y3hpump</t>
        </is>
      </c>
      <c r="P147" s="21">
        <f>HYPERLINK("https://dexscreener.com/solana/ChuPbVJ4nt1Fz48HTTasLZjzaXPqC8NwNU7L2y3hpump", "View")</f>
        <v/>
      </c>
    </row>
    <row r="148">
      <c r="A148" s="16" t="inlineStr">
        <is>
          <t>MAI</t>
        </is>
      </c>
      <c r="B148" s="17" t="n">
        <v>2347449</v>
      </c>
      <c r="C148" s="17" t="n">
        <v>0</v>
      </c>
      <c r="D148" s="17" t="inlineStr">
        <is>
          <t>0.006000</t>
        </is>
      </c>
      <c r="E148" s="17" t="inlineStr">
        <is>
          <t>0.980 SOL</t>
        </is>
      </c>
      <c r="F148" s="17" t="inlineStr">
        <is>
          <t>0.000 SOL</t>
        </is>
      </c>
      <c r="G148" s="18" t="inlineStr">
        <is>
          <t>-0.986 SOL</t>
        </is>
      </c>
      <c r="H148" s="18" t="inlineStr">
        <is>
          <t>0.00%</t>
        </is>
      </c>
      <c r="I148" s="17" t="inlineStr">
        <is>
          <t>2,347,449</t>
        </is>
      </c>
      <c r="J148" s="17" t="n">
        <v>1</v>
      </c>
      <c r="K148" s="17" t="n">
        <v>0</v>
      </c>
      <c r="L148" s="17" t="inlineStr">
        <is>
          <t>20.10.2024 21:25:05</t>
        </is>
      </c>
      <c r="M148" s="19" t="inlineStr">
        <is>
          <t>0 sec</t>
        </is>
      </c>
      <c r="N148" s="17" t="inlineStr">
        <is>
          <t xml:space="preserve">         74K            74K             5K</t>
        </is>
      </c>
      <c r="O148" s="17" t="inlineStr">
        <is>
          <t>3EkX4ERk9CRzG5pUTMxeQdtSnbbALTGWP6gnW7bzpump</t>
        </is>
      </c>
      <c r="P148" s="17">
        <f>HYPERLINK("https://dexscreener.com/solana/3EkX4ERk9CRzG5pUTMxeQdtSnbbALTGWP6gnW7bzpump", "View")</f>
        <v/>
      </c>
    </row>
    <row r="149">
      <c r="A149" s="20" t="inlineStr">
        <is>
          <t>Poya</t>
        </is>
      </c>
      <c r="B149" s="21" t="n">
        <v>1782</v>
      </c>
      <c r="C149" s="21" t="n">
        <v>0</v>
      </c>
      <c r="D149" s="21" t="inlineStr">
        <is>
          <t>0.006000</t>
        </is>
      </c>
      <c r="E149" s="21" t="inlineStr">
        <is>
          <t>0.980 SOL</t>
        </is>
      </c>
      <c r="F149" s="21" t="inlineStr">
        <is>
          <t>0.000 SOL</t>
        </is>
      </c>
      <c r="G149" s="18" t="inlineStr">
        <is>
          <t>-0.986 SOL</t>
        </is>
      </c>
      <c r="H149" s="18" t="inlineStr">
        <is>
          <t>0.00%</t>
        </is>
      </c>
      <c r="I149" s="21" t="inlineStr">
        <is>
          <t>1,782</t>
        </is>
      </c>
      <c r="J149" s="21" t="n">
        <v>1</v>
      </c>
      <c r="K149" s="21" t="n">
        <v>0</v>
      </c>
      <c r="L149" s="21" t="inlineStr">
        <is>
          <t>20.10.2024 21:24:30</t>
        </is>
      </c>
      <c r="M149" s="19" t="inlineStr">
        <is>
          <t>0 sec</t>
        </is>
      </c>
      <c r="N149" s="21" t="inlineStr">
        <is>
          <t xml:space="preserve">         85M            85M             38</t>
        </is>
      </c>
      <c r="O149" s="21" t="inlineStr">
        <is>
          <t>4WkPxCRdLoMerS59EspYvr6qx6GS7rRb9S6tN4Z4KqTD</t>
        </is>
      </c>
      <c r="P149" s="21">
        <f>HYPERLINK("https://dexscreener.com/solana/4WkPxCRdLoMerS59EspYvr6qx6GS7rRb9S6tN4Z4KqTD", "View")</f>
        <v/>
      </c>
    </row>
    <row r="150">
      <c r="A150" s="16" t="inlineStr">
        <is>
          <t>McTrump</t>
        </is>
      </c>
      <c r="B150" s="17" t="n">
        <v>1621261</v>
      </c>
      <c r="C150" s="17" t="n">
        <v>0</v>
      </c>
      <c r="D150" s="17" t="inlineStr">
        <is>
          <t>0.006000</t>
        </is>
      </c>
      <c r="E150" s="17" t="inlineStr">
        <is>
          <t>0.980 SOL</t>
        </is>
      </c>
      <c r="F150" s="17" t="inlineStr">
        <is>
          <t>0.000 SOL</t>
        </is>
      </c>
      <c r="G150" s="18" t="inlineStr">
        <is>
          <t>-0.986 SOL</t>
        </is>
      </c>
      <c r="H150" s="18" t="inlineStr">
        <is>
          <t>0.00%</t>
        </is>
      </c>
      <c r="I150" s="17" t="inlineStr">
        <is>
          <t>1,621,261</t>
        </is>
      </c>
      <c r="J150" s="17" t="n">
        <v>1</v>
      </c>
      <c r="K150" s="17" t="n">
        <v>0</v>
      </c>
      <c r="L150" s="17" t="inlineStr">
        <is>
          <t>20.10.2024 21:03:40</t>
        </is>
      </c>
      <c r="M150" s="19" t="inlineStr">
        <is>
          <t>0 sec</t>
        </is>
      </c>
      <c r="N150" s="17" t="inlineStr">
        <is>
          <t xml:space="preserve">        105K           105K             6K</t>
        </is>
      </c>
      <c r="O150" s="17" t="inlineStr">
        <is>
          <t>5yVbknR3tQGfybcqD7zwuxdej1GTLWr53av4KNmXpump</t>
        </is>
      </c>
      <c r="P150" s="17">
        <f>HYPERLINK("https://dexscreener.com/solana/5yVbknR3tQGfybcqD7zwuxdej1GTLWr53av4KNmXpump", "View")</f>
        <v/>
      </c>
    </row>
    <row r="151">
      <c r="A151" s="20" t="inlineStr">
        <is>
          <t>DANI</t>
        </is>
      </c>
      <c r="B151" s="21" t="n">
        <v>4004</v>
      </c>
      <c r="C151" s="21" t="n">
        <v>0</v>
      </c>
      <c r="D151" s="21" t="inlineStr">
        <is>
          <t>0.006000</t>
        </is>
      </c>
      <c r="E151" s="21" t="inlineStr">
        <is>
          <t>0.980 SOL</t>
        </is>
      </c>
      <c r="F151" s="21" t="inlineStr">
        <is>
          <t>0.000 SOL</t>
        </is>
      </c>
      <c r="G151" s="18" t="inlineStr">
        <is>
          <t>-0.986 SOL</t>
        </is>
      </c>
      <c r="H151" s="18" t="inlineStr">
        <is>
          <t>0.00%</t>
        </is>
      </c>
      <c r="I151" s="21" t="inlineStr">
        <is>
          <t>4,004</t>
        </is>
      </c>
      <c r="J151" s="21" t="n">
        <v>1</v>
      </c>
      <c r="K151" s="21" t="n">
        <v>0</v>
      </c>
      <c r="L151" s="21" t="inlineStr">
        <is>
          <t>20.10.2024 20:48:27</t>
        </is>
      </c>
      <c r="M151" s="19" t="inlineStr">
        <is>
          <t>0 sec</t>
        </is>
      </c>
      <c r="N151" s="21" t="inlineStr">
        <is>
          <t xml:space="preserve">         36M            36M             37</t>
        </is>
      </c>
      <c r="O151" s="21" t="inlineStr">
        <is>
          <t>FKUdgJyCA3csnosM9gjrxzxvjNoTYbcaR6yWWsxZKD4U</t>
        </is>
      </c>
      <c r="P151" s="21">
        <f>HYPERLINK("https://dexscreener.com/solana/FKUdgJyCA3csnosM9gjrxzxvjNoTYbcaR6yWWsxZKD4U", "View")</f>
        <v/>
      </c>
    </row>
    <row r="152">
      <c r="A152" s="16" t="inlineStr">
        <is>
          <t>ROBODG</t>
        </is>
      </c>
      <c r="B152" s="17" t="n">
        <v>856639</v>
      </c>
      <c r="C152" s="17" t="n">
        <v>0</v>
      </c>
      <c r="D152" s="17" t="inlineStr">
        <is>
          <t>0.006000</t>
        </is>
      </c>
      <c r="E152" s="17" t="inlineStr">
        <is>
          <t>0.980 SOL</t>
        </is>
      </c>
      <c r="F152" s="17" t="inlineStr">
        <is>
          <t>0.000 SOL</t>
        </is>
      </c>
      <c r="G152" s="18" t="inlineStr">
        <is>
          <t>-0.986 SOL</t>
        </is>
      </c>
      <c r="H152" s="18" t="inlineStr">
        <is>
          <t>0.00%</t>
        </is>
      </c>
      <c r="I152" s="17" t="inlineStr">
        <is>
          <t>856,639</t>
        </is>
      </c>
      <c r="J152" s="17" t="n">
        <v>1</v>
      </c>
      <c r="K152" s="17" t="n">
        <v>0</v>
      </c>
      <c r="L152" s="17" t="inlineStr">
        <is>
          <t>20.10.2024 20:42:29</t>
        </is>
      </c>
      <c r="M152" s="19" t="inlineStr">
        <is>
          <t>0 sec</t>
        </is>
      </c>
      <c r="N152" s="17" t="inlineStr">
        <is>
          <t xml:space="preserve">        200K           200K            10K</t>
        </is>
      </c>
      <c r="O152" s="17" t="inlineStr">
        <is>
          <t>Er2mtAhfbZUWbLhxY3ShN5Prj2DrnGjy6d8FYoMXpump</t>
        </is>
      </c>
      <c r="P152" s="17">
        <f>HYPERLINK("https://dexscreener.com/solana/Er2mtAhfbZUWbLhxY3ShN5Prj2DrnGjy6d8FYoMXpump", "View")</f>
        <v/>
      </c>
    </row>
    <row r="153">
      <c r="A153" s="20" t="inlineStr">
        <is>
          <t>AWIF</t>
        </is>
      </c>
      <c r="B153" s="21" t="n">
        <v>897587</v>
      </c>
      <c r="C153" s="21" t="n">
        <v>0</v>
      </c>
      <c r="D153" s="21" t="inlineStr">
        <is>
          <t>0.006000</t>
        </is>
      </c>
      <c r="E153" s="21" t="inlineStr">
        <is>
          <t>0.980 SOL</t>
        </is>
      </c>
      <c r="F153" s="21" t="inlineStr">
        <is>
          <t>0.000 SOL</t>
        </is>
      </c>
      <c r="G153" s="18" t="inlineStr">
        <is>
          <t>-0.986 SOL</t>
        </is>
      </c>
      <c r="H153" s="18" t="inlineStr">
        <is>
          <t>0.00%</t>
        </is>
      </c>
      <c r="I153" s="21" t="inlineStr">
        <is>
          <t>897,587</t>
        </is>
      </c>
      <c r="J153" s="21" t="n">
        <v>1</v>
      </c>
      <c r="K153" s="21" t="n">
        <v>0</v>
      </c>
      <c r="L153" s="21" t="inlineStr">
        <is>
          <t>20.10.2024 19:57:24</t>
        </is>
      </c>
      <c r="M153" s="19" t="inlineStr">
        <is>
          <t>0 sec</t>
        </is>
      </c>
      <c r="N153" s="21" t="inlineStr">
        <is>
          <t xml:space="preserve">        191K           191K             5K</t>
        </is>
      </c>
      <c r="O153" s="21" t="inlineStr">
        <is>
          <t>J3BgRRy1DbGiZbeXMBjD6nATtk5zWfAgwVFxjmdvpump</t>
        </is>
      </c>
      <c r="P153" s="21">
        <f>HYPERLINK("https://dexscreener.com/solana/J3BgRRy1DbGiZbeXMBjD6nATtk5zWfAgwVFxjmdvpump", "View")</f>
        <v/>
      </c>
    </row>
    <row r="154">
      <c r="A154" s="16" t="inlineStr">
        <is>
          <t>MEME</t>
        </is>
      </c>
      <c r="B154" s="17" t="n">
        <v>858977</v>
      </c>
      <c r="C154" s="17" t="n">
        <v>473381</v>
      </c>
      <c r="D154" s="17" t="inlineStr">
        <is>
          <t>0.015020</t>
        </is>
      </c>
      <c r="E154" s="17" t="inlineStr">
        <is>
          <t>0.990 SOL</t>
        </is>
      </c>
      <c r="F154" s="17" t="inlineStr">
        <is>
          <t>4.627 SOL</t>
        </is>
      </c>
      <c r="G154" s="24" t="inlineStr">
        <is>
          <t>3.622 SOL</t>
        </is>
      </c>
      <c r="H154" s="24" t="inlineStr">
        <is>
          <t>360.40%</t>
        </is>
      </c>
      <c r="I154" s="17" t="inlineStr">
        <is>
          <t>N/A</t>
        </is>
      </c>
      <c r="J154" s="17" t="n">
        <v>1</v>
      </c>
      <c r="K154" s="17" t="n">
        <v>2</v>
      </c>
      <c r="L154" s="17" t="inlineStr">
        <is>
          <t>20.10.2024 18:10:34</t>
        </is>
      </c>
      <c r="M154" s="17" t="inlineStr">
        <is>
          <t>1 days</t>
        </is>
      </c>
      <c r="N154" s="17" t="inlineStr">
        <is>
          <t xml:space="preserve">        202K           796K            66K</t>
        </is>
      </c>
      <c r="O154" s="17" t="inlineStr">
        <is>
          <t>EWy1HPEUq4Lgm6H4pQ8augEuJ7WRwJgENZMTAUzrpump</t>
        </is>
      </c>
      <c r="P154" s="17">
        <f>HYPERLINK("https://dexscreener.com/solana/EWy1HPEUq4Lgm6H4pQ8augEuJ7WRwJgENZMTAUzrpump", "View")</f>
        <v/>
      </c>
    </row>
    <row r="155">
      <c r="A155" s="20" t="inlineStr">
        <is>
          <t>PNON</t>
        </is>
      </c>
      <c r="B155" s="21" t="n">
        <v>2454580</v>
      </c>
      <c r="C155" s="21" t="n">
        <v>0</v>
      </c>
      <c r="D155" s="21" t="inlineStr">
        <is>
          <t>0.006000</t>
        </is>
      </c>
      <c r="E155" s="21" t="inlineStr">
        <is>
          <t>0.980 SOL</t>
        </is>
      </c>
      <c r="F155" s="21" t="inlineStr">
        <is>
          <t>0.000 SOL</t>
        </is>
      </c>
      <c r="G155" s="18" t="inlineStr">
        <is>
          <t>-0.986 SOL</t>
        </is>
      </c>
      <c r="H155" s="18" t="inlineStr">
        <is>
          <t>0.00%</t>
        </is>
      </c>
      <c r="I155" s="21" t="inlineStr">
        <is>
          <t>2,454,580</t>
        </is>
      </c>
      <c r="J155" s="21" t="n">
        <v>1</v>
      </c>
      <c r="K155" s="21" t="n">
        <v>0</v>
      </c>
      <c r="L155" s="21" t="inlineStr">
        <is>
          <t>20.10.2024 17:45:35</t>
        </is>
      </c>
      <c r="M155" s="19" t="inlineStr">
        <is>
          <t>0 sec</t>
        </is>
      </c>
      <c r="N155" s="21" t="inlineStr">
        <is>
          <t xml:space="preserve">         70K            70K             7K</t>
        </is>
      </c>
      <c r="O155" s="21" t="inlineStr">
        <is>
          <t>6SNF42gEu3WkEVy7JgmMb1wTNxeGWY5UXfRjQKUzpump</t>
        </is>
      </c>
      <c r="P155" s="21">
        <f>HYPERLINK("https://dexscreener.com/solana/6SNF42gEu3WkEVy7JgmMb1wTNxeGWY5UXfRjQKUzpump", "View")</f>
        <v/>
      </c>
    </row>
    <row r="156">
      <c r="A156" s="16" t="inlineStr">
        <is>
          <t>$OLAF</t>
        </is>
      </c>
      <c r="B156" s="17" t="n">
        <v>1484</v>
      </c>
      <c r="C156" s="17" t="n">
        <v>0</v>
      </c>
      <c r="D156" s="17" t="inlineStr">
        <is>
          <t>0.006000</t>
        </is>
      </c>
      <c r="E156" s="17" t="inlineStr">
        <is>
          <t>0.980 SOL</t>
        </is>
      </c>
      <c r="F156" s="17" t="inlineStr">
        <is>
          <t>0.000 SOL</t>
        </is>
      </c>
      <c r="G156" s="18" t="inlineStr">
        <is>
          <t>-0.986 SOL</t>
        </is>
      </c>
      <c r="H156" s="18" t="inlineStr">
        <is>
          <t>0.00%</t>
        </is>
      </c>
      <c r="I156" s="17" t="inlineStr">
        <is>
          <t>1,484</t>
        </is>
      </c>
      <c r="J156" s="17" t="n">
        <v>1</v>
      </c>
      <c r="K156" s="17" t="n">
        <v>0</v>
      </c>
      <c r="L156" s="17" t="inlineStr">
        <is>
          <t>20.10.2024 16:24:39</t>
        </is>
      </c>
      <c r="M156" s="19" t="inlineStr">
        <is>
          <t>0 sec</t>
        </is>
      </c>
      <c r="N156" s="17" t="inlineStr">
        <is>
          <t xml:space="preserve">        115M           115M             35</t>
        </is>
      </c>
      <c r="O156" s="17" t="inlineStr">
        <is>
          <t>FKd2HeKxddXLxYD3Ts5MUaKqVsuUbnhA4AergM8gsaU</t>
        </is>
      </c>
      <c r="P156" s="17">
        <f>HYPERLINK("https://dexscreener.com/solana/FKd2HeKxddXLxYD3Ts5MUaKqVsuUbnhA4AergM8gsaU", "View")</f>
        <v/>
      </c>
    </row>
    <row r="157">
      <c r="A157" s="20" t="inlineStr">
        <is>
          <t>BACKROOM</t>
        </is>
      </c>
      <c r="B157" s="21" t="n">
        <v>563489</v>
      </c>
      <c r="C157" s="21" t="n">
        <v>0</v>
      </c>
      <c r="D157" s="21" t="inlineStr">
        <is>
          <t>0.006000</t>
        </is>
      </c>
      <c r="E157" s="21" t="inlineStr">
        <is>
          <t>0.980 SOL</t>
        </is>
      </c>
      <c r="F157" s="21" t="inlineStr">
        <is>
          <t>0.000 SOL</t>
        </is>
      </c>
      <c r="G157" s="18" t="inlineStr">
        <is>
          <t>-0.986 SOL</t>
        </is>
      </c>
      <c r="H157" s="18" t="inlineStr">
        <is>
          <t>0.00%</t>
        </is>
      </c>
      <c r="I157" s="21" t="inlineStr">
        <is>
          <t>563,489</t>
        </is>
      </c>
      <c r="J157" s="21" t="n">
        <v>1</v>
      </c>
      <c r="K157" s="21" t="n">
        <v>0</v>
      </c>
      <c r="L157" s="21" t="inlineStr">
        <is>
          <t>20.10.2024 16:06:29</t>
        </is>
      </c>
      <c r="M157" s="19" t="inlineStr">
        <is>
          <t>0 sec</t>
        </is>
      </c>
      <c r="N157" s="21" t="inlineStr">
        <is>
          <t xml:space="preserve">        305K           305K             4K</t>
        </is>
      </c>
      <c r="O157" s="21" t="inlineStr">
        <is>
          <t>EA6ktYMspQpDSB7VwGmi3YSiE5JDFyTsWioLfMw7pump</t>
        </is>
      </c>
      <c r="P157" s="21">
        <f>HYPERLINK("https://dexscreener.com/solana/EA6ktYMspQpDSB7VwGmi3YSiE5JDFyTsWioLfMw7pump", "View")</f>
        <v/>
      </c>
    </row>
    <row r="158">
      <c r="A158" s="16" t="inlineStr">
        <is>
          <t>Lump</t>
        </is>
      </c>
      <c r="B158" s="17" t="n">
        <v>2781290</v>
      </c>
      <c r="C158" s="17" t="n">
        <v>2718391</v>
      </c>
      <c r="D158" s="17" t="inlineStr">
        <is>
          <t>0.009150</t>
        </is>
      </c>
      <c r="E158" s="17" t="inlineStr">
        <is>
          <t>1.000 SOL</t>
        </is>
      </c>
      <c r="F158" s="17" t="inlineStr">
        <is>
          <t>9.127 SOL</t>
        </is>
      </c>
      <c r="G158" s="24" t="inlineStr">
        <is>
          <t>8.118 SOL</t>
        </is>
      </c>
      <c r="H158" s="24" t="inlineStr">
        <is>
          <t>804.40%</t>
        </is>
      </c>
      <c r="I158" s="17" t="inlineStr">
        <is>
          <t>N/A</t>
        </is>
      </c>
      <c r="J158" s="17" t="n">
        <v>1</v>
      </c>
      <c r="K158" s="17" t="n">
        <v>8</v>
      </c>
      <c r="L158" s="17" t="inlineStr">
        <is>
          <t>20.10.2024 06:55:25</t>
        </is>
      </c>
      <c r="M158" s="17" t="inlineStr">
        <is>
          <t>5 days</t>
        </is>
      </c>
      <c r="N158" s="17" t="inlineStr">
        <is>
          <t xml:space="preserve">         63K           383K            55K</t>
        </is>
      </c>
      <c r="O158" s="17" t="inlineStr">
        <is>
          <t>CSEkG3mT5P1GUf4HZTHdVk1syKFN6gQWokbZ4jDWpump</t>
        </is>
      </c>
      <c r="P158" s="17">
        <f>HYPERLINK("https://dexscreener.com/solana/CSEkG3mT5P1GUf4HZTHdVk1syKFN6gQWokbZ4jDWpump", "View")</f>
        <v/>
      </c>
    </row>
    <row r="159">
      <c r="A159" s="20" t="inlineStr">
        <is>
          <t>CCRU</t>
        </is>
      </c>
      <c r="B159" s="21" t="n">
        <v>1477349</v>
      </c>
      <c r="C159" s="21" t="n">
        <v>1409531</v>
      </c>
      <c r="D159" s="21" t="inlineStr">
        <is>
          <t>0.021630</t>
        </is>
      </c>
      <c r="E159" s="21" t="inlineStr">
        <is>
          <t>1.000 SOL</t>
        </is>
      </c>
      <c r="F159" s="21" t="inlineStr">
        <is>
          <t>7.053 SOL</t>
        </is>
      </c>
      <c r="G159" s="24" t="inlineStr">
        <is>
          <t>6.032 SOL</t>
        </is>
      </c>
      <c r="H159" s="24" t="inlineStr">
        <is>
          <t>590.40%</t>
        </is>
      </c>
      <c r="I159" s="21" t="inlineStr">
        <is>
          <t>N/A</t>
        </is>
      </c>
      <c r="J159" s="21" t="n">
        <v>1</v>
      </c>
      <c r="K159" s="21" t="n">
        <v>6</v>
      </c>
      <c r="L159" s="21" t="inlineStr">
        <is>
          <t>20.10.2024 05:05:30</t>
        </is>
      </c>
      <c r="M159" s="21" t="inlineStr">
        <is>
          <t>14 hours</t>
        </is>
      </c>
      <c r="N159" s="21" t="inlineStr">
        <is>
          <t xml:space="preserve">        119K           119K           141K</t>
        </is>
      </c>
      <c r="O159" s="21" t="inlineStr">
        <is>
          <t>BVoFXcjNSQ8fHGNc2aeS52rLXwag52PHK2aQJsrkpump</t>
        </is>
      </c>
      <c r="P159" s="21">
        <f>HYPERLINK("https://dexscreener.com/solana/BVoFXcjNSQ8fHGNc2aeS52rLXwag52PHK2aQJsrkpump", "View")</f>
        <v/>
      </c>
    </row>
    <row r="160">
      <c r="A160" s="16" t="inlineStr">
        <is>
          <t>$1</t>
        </is>
      </c>
      <c r="B160" s="17" t="n">
        <v>1347802</v>
      </c>
      <c r="C160" s="17" t="n">
        <v>1076204</v>
      </c>
      <c r="D160" s="17" t="inlineStr">
        <is>
          <t>0.011620</t>
        </is>
      </c>
      <c r="E160" s="17" t="inlineStr">
        <is>
          <t>1.000 SOL</t>
        </is>
      </c>
      <c r="F160" s="17" t="inlineStr">
        <is>
          <t>4.352 SOL</t>
        </is>
      </c>
      <c r="G160" s="24" t="inlineStr">
        <is>
          <t>3.340 SOL</t>
        </is>
      </c>
      <c r="H160" s="24" t="inlineStr">
        <is>
          <t>330.17%</t>
        </is>
      </c>
      <c r="I160" s="17" t="inlineStr">
        <is>
          <t>N/A</t>
        </is>
      </c>
      <c r="J160" s="17" t="n">
        <v>1</v>
      </c>
      <c r="K160" s="17" t="n">
        <v>4</v>
      </c>
      <c r="L160" s="17" t="inlineStr">
        <is>
          <t>20.10.2024 04:25:25</t>
        </is>
      </c>
      <c r="M160" s="17" t="inlineStr">
        <is>
          <t>3 days</t>
        </is>
      </c>
      <c r="N160" s="17" t="inlineStr">
        <is>
          <t xml:space="preserve">        130K           130K           116K</t>
        </is>
      </c>
      <c r="O160" s="17" t="inlineStr">
        <is>
          <t>4UTEFQjNMvfQF5NT8mVfXdMAKoL7hS7i9U4mMVAzpump</t>
        </is>
      </c>
      <c r="P160" s="17">
        <f>HYPERLINK("https://dexscreener.com/solana/4UTEFQjNMvfQF5NT8mVfXdMAKoL7hS7i9U4mMVAzpump", "View")</f>
        <v/>
      </c>
    </row>
    <row r="161">
      <c r="A161" s="20" t="inlineStr">
        <is>
          <t>AURORA</t>
        </is>
      </c>
      <c r="B161" s="21" t="n">
        <v>1815572</v>
      </c>
      <c r="C161" s="21" t="n">
        <v>1207354</v>
      </c>
      <c r="D161" s="21" t="inlineStr">
        <is>
          <t>0.006110</t>
        </is>
      </c>
      <c r="E161" s="21" t="inlineStr">
        <is>
          <t>1.000 SOL</t>
        </is>
      </c>
      <c r="F161" s="21" t="inlineStr">
        <is>
          <t>1.157 SOL</t>
        </is>
      </c>
      <c r="G161" s="22" t="inlineStr">
        <is>
          <t>0.151 SOL</t>
        </is>
      </c>
      <c r="H161" s="22" t="inlineStr">
        <is>
          <t>14.98%</t>
        </is>
      </c>
      <c r="I161" s="21" t="inlineStr">
        <is>
          <t>N/A</t>
        </is>
      </c>
      <c r="J161" s="21" t="n">
        <v>1</v>
      </c>
      <c r="K161" s="21" t="n">
        <v>2</v>
      </c>
      <c r="L161" s="21" t="inlineStr">
        <is>
          <t>20.10.2024 00:30:23</t>
        </is>
      </c>
      <c r="M161" s="21" t="inlineStr">
        <is>
          <t>3 days</t>
        </is>
      </c>
      <c r="N161" s="21" t="inlineStr">
        <is>
          <t xml:space="preserve">         97K            97K            25K</t>
        </is>
      </c>
      <c r="O161" s="21" t="inlineStr">
        <is>
          <t>9tF4vuYRQY3d5GPnE9pjUevukgo6vHiepe3E1w8Jpump</t>
        </is>
      </c>
      <c r="P161" s="21">
        <f>HYPERLINK("https://dexscreener.com/solana/9tF4vuYRQY3d5GPnE9pjUevukgo6vHiepe3E1w8Jpump", "View")</f>
        <v/>
      </c>
    </row>
    <row r="162">
      <c r="A162" s="16" t="inlineStr">
        <is>
          <t>RETERDEO</t>
        </is>
      </c>
      <c r="B162" s="17" t="n">
        <v>1380629</v>
      </c>
      <c r="C162" s="17" t="n">
        <v>0</v>
      </c>
      <c r="D162" s="17" t="inlineStr">
        <is>
          <t>0.005000</t>
        </is>
      </c>
      <c r="E162" s="17" t="inlineStr">
        <is>
          <t>0.990 SOL</t>
        </is>
      </c>
      <c r="F162" s="17" t="inlineStr">
        <is>
          <t>0.000 SOL</t>
        </is>
      </c>
      <c r="G162" s="18" t="inlineStr">
        <is>
          <t>-0.995 SOL</t>
        </is>
      </c>
      <c r="H162" s="18" t="inlineStr">
        <is>
          <t>0.00%</t>
        </is>
      </c>
      <c r="I162" s="17" t="inlineStr">
        <is>
          <t>1,380,629</t>
        </is>
      </c>
      <c r="J162" s="17" t="n">
        <v>1</v>
      </c>
      <c r="K162" s="17" t="n">
        <v>0</v>
      </c>
      <c r="L162" s="17" t="inlineStr">
        <is>
          <t>20.10.2024 00:03:33</t>
        </is>
      </c>
      <c r="M162" s="19" t="inlineStr">
        <is>
          <t>0 sec</t>
        </is>
      </c>
      <c r="N162" s="17" t="inlineStr">
        <is>
          <t xml:space="preserve">        126K           126K             2K</t>
        </is>
      </c>
      <c r="O162" s="17" t="inlineStr">
        <is>
          <t>GV4BF4nthLPKeNQpinYMwNUwJX7inKbN9MW6rN1e1TX7</t>
        </is>
      </c>
      <c r="P162" s="17">
        <f>HYPERLINK("https://dexscreener.com/solana/GV4BF4nthLPKeNQpinYMwNUwJX7inKbN9MW6rN1e1TX7", "View")</f>
        <v/>
      </c>
    </row>
    <row r="163">
      <c r="A163" s="20" t="inlineStr">
        <is>
          <t>369</t>
        </is>
      </c>
      <c r="B163" s="21" t="n">
        <v>990817</v>
      </c>
      <c r="C163" s="21" t="n">
        <v>0</v>
      </c>
      <c r="D163" s="21" t="inlineStr">
        <is>
          <t>0.005000</t>
        </is>
      </c>
      <c r="E163" s="21" t="inlineStr">
        <is>
          <t>0.990 SOL</t>
        </is>
      </c>
      <c r="F163" s="21" t="inlineStr">
        <is>
          <t>0.000 SOL</t>
        </is>
      </c>
      <c r="G163" s="18" t="inlineStr">
        <is>
          <t>-0.995 SOL</t>
        </is>
      </c>
      <c r="H163" s="18" t="inlineStr">
        <is>
          <t>0.00%</t>
        </is>
      </c>
      <c r="I163" s="21" t="inlineStr">
        <is>
          <t>990,817</t>
        </is>
      </c>
      <c r="J163" s="21" t="n">
        <v>1</v>
      </c>
      <c r="K163" s="21" t="n">
        <v>0</v>
      </c>
      <c r="L163" s="21" t="inlineStr">
        <is>
          <t>19.10.2024 22:45:46</t>
        </is>
      </c>
      <c r="M163" s="19" t="inlineStr">
        <is>
          <t>0 sec</t>
        </is>
      </c>
      <c r="N163" s="21" t="inlineStr">
        <is>
          <t xml:space="preserve">        176K           176K             5K</t>
        </is>
      </c>
      <c r="O163" s="21" t="inlineStr">
        <is>
          <t>H3MdcPyJf2D1MVEGzdxeNEb6PfKyXh1oiNnszeD4pump</t>
        </is>
      </c>
      <c r="P163" s="21">
        <f>HYPERLINK("https://dexscreener.com/solana/H3MdcPyJf2D1MVEGzdxeNEb6PfKyXh1oiNnszeD4pump", "View")</f>
        <v/>
      </c>
    </row>
    <row r="164">
      <c r="A164" s="16" t="inlineStr">
        <is>
          <t>GREEN</t>
        </is>
      </c>
      <c r="B164" s="17" t="n">
        <v>1227833</v>
      </c>
      <c r="C164" s="17" t="n">
        <v>1171470</v>
      </c>
      <c r="D164" s="17" t="inlineStr">
        <is>
          <t>0.012640</t>
        </is>
      </c>
      <c r="E164" s="17" t="inlineStr">
        <is>
          <t>1.000 SOL</t>
        </is>
      </c>
      <c r="F164" s="17" t="inlineStr">
        <is>
          <t>10.871 SOL</t>
        </is>
      </c>
      <c r="G164" s="24" t="inlineStr">
        <is>
          <t>9.859 SOL</t>
        </is>
      </c>
      <c r="H164" s="24" t="inlineStr">
        <is>
          <t>973.58%</t>
        </is>
      </c>
      <c r="I164" s="17" t="inlineStr">
        <is>
          <t>N/A</t>
        </is>
      </c>
      <c r="J164" s="17" t="n">
        <v>1</v>
      </c>
      <c r="K164" s="17" t="n">
        <v>6</v>
      </c>
      <c r="L164" s="17" t="inlineStr">
        <is>
          <t>19.10.2024 21:15:27</t>
        </is>
      </c>
      <c r="M164" s="17" t="inlineStr">
        <is>
          <t>20 hours</t>
        </is>
      </c>
      <c r="N164" s="17" t="inlineStr">
        <is>
          <t xml:space="preserve">        129K           623K           889K</t>
        </is>
      </c>
      <c r="O164" s="17" t="inlineStr">
        <is>
          <t>GGHga4iRCxEvq9Ky4MNwk9amTbLLg53bBHcSjpJLpump</t>
        </is>
      </c>
      <c r="P164" s="17">
        <f>HYPERLINK("https://dexscreener.com/solana/GGHga4iRCxEvq9Ky4MNwk9amTbLLg53bBHcSjpJLpump", "View")</f>
        <v/>
      </c>
    </row>
    <row r="165">
      <c r="A165" s="20" t="inlineStr">
        <is>
          <t>/Send</t>
        </is>
      </c>
      <c r="B165" s="21" t="n">
        <v>2249751</v>
      </c>
      <c r="C165" s="21" t="n">
        <v>0</v>
      </c>
      <c r="D165" s="21" t="inlineStr">
        <is>
          <t>0.005000</t>
        </is>
      </c>
      <c r="E165" s="21" t="inlineStr">
        <is>
          <t>0.990 SOL</t>
        </is>
      </c>
      <c r="F165" s="21" t="inlineStr">
        <is>
          <t>0.000 SOL</t>
        </is>
      </c>
      <c r="G165" s="18" t="inlineStr">
        <is>
          <t>-0.995 SOL</t>
        </is>
      </c>
      <c r="H165" s="18" t="inlineStr">
        <is>
          <t>0.00%</t>
        </is>
      </c>
      <c r="I165" s="21" t="inlineStr">
        <is>
          <t>2,249,751</t>
        </is>
      </c>
      <c r="J165" s="21" t="n">
        <v>1</v>
      </c>
      <c r="K165" s="21" t="n">
        <v>0</v>
      </c>
      <c r="L165" s="21" t="inlineStr">
        <is>
          <t>19.10.2024 17:42:19</t>
        </is>
      </c>
      <c r="M165" s="19" t="inlineStr">
        <is>
          <t>0 sec</t>
        </is>
      </c>
      <c r="N165" s="21" t="inlineStr">
        <is>
          <t xml:space="preserve">         77K            77K             4K</t>
        </is>
      </c>
      <c r="O165" s="21" t="inlineStr">
        <is>
          <t>3J6q8ds2gL2PZ6jy8NJXMs1g5DL79VFoSmRCnDhtpump</t>
        </is>
      </c>
      <c r="P165" s="21">
        <f>HYPERLINK("https://dexscreener.com/solana/3J6q8ds2gL2PZ6jy8NJXMs1g5DL79VFoSmRCnDhtpump", "View")</f>
        <v/>
      </c>
    </row>
    <row r="166">
      <c r="A166" s="16" t="inlineStr">
        <is>
          <t>a/sol</t>
        </is>
      </c>
      <c r="B166" s="17" t="n">
        <v>1284433</v>
      </c>
      <c r="C166" s="17" t="n">
        <v>0</v>
      </c>
      <c r="D166" s="17" t="inlineStr">
        <is>
          <t>0.005000</t>
        </is>
      </c>
      <c r="E166" s="17" t="inlineStr">
        <is>
          <t>0.990 SOL</t>
        </is>
      </c>
      <c r="F166" s="17" t="inlineStr">
        <is>
          <t>0.000 SOL</t>
        </is>
      </c>
      <c r="G166" s="18" t="inlineStr">
        <is>
          <t>-0.995 SOL</t>
        </is>
      </c>
      <c r="H166" s="18" t="inlineStr">
        <is>
          <t>0.00%</t>
        </is>
      </c>
      <c r="I166" s="17" t="inlineStr">
        <is>
          <t>1,284,433</t>
        </is>
      </c>
      <c r="J166" s="17" t="n">
        <v>1</v>
      </c>
      <c r="K166" s="17" t="n">
        <v>0</v>
      </c>
      <c r="L166" s="17" t="inlineStr">
        <is>
          <t>19.10.2024 17:09:29</t>
        </is>
      </c>
      <c r="M166" s="19" t="inlineStr">
        <is>
          <t>0 sec</t>
        </is>
      </c>
      <c r="N166" s="17" t="inlineStr">
        <is>
          <t xml:space="preserve">        135K           135K             5K</t>
        </is>
      </c>
      <c r="O166" s="17" t="inlineStr">
        <is>
          <t>EwDw33fuey7WLu1hF8kJiybccDhhgD1uugUZbaRKpump</t>
        </is>
      </c>
      <c r="P166" s="17">
        <f>HYPERLINK("https://dexscreener.com/solana/EwDw33fuey7WLu1hF8kJiybccDhhgD1uugUZbaRKpump", "View")</f>
        <v/>
      </c>
    </row>
    <row r="167">
      <c r="A167" s="20" t="inlineStr">
        <is>
          <t>WUMPUS</t>
        </is>
      </c>
      <c r="B167" s="21" t="n">
        <v>4206877</v>
      </c>
      <c r="C167" s="21" t="n">
        <v>0</v>
      </c>
      <c r="D167" s="21" t="inlineStr">
        <is>
          <t>0.000600</t>
        </is>
      </c>
      <c r="E167" s="21" t="inlineStr">
        <is>
          <t>1.000 SOL</t>
        </is>
      </c>
      <c r="F167" s="21" t="inlineStr">
        <is>
          <t>0.000 SOL</t>
        </is>
      </c>
      <c r="G167" s="18" t="inlineStr">
        <is>
          <t>-1.001 SOL</t>
        </is>
      </c>
      <c r="H167" s="18" t="inlineStr">
        <is>
          <t>0.00%</t>
        </is>
      </c>
      <c r="I167" s="21" t="inlineStr">
        <is>
          <t>4,206,877</t>
        </is>
      </c>
      <c r="J167" s="21" t="n">
        <v>1</v>
      </c>
      <c r="K167" s="21" t="n">
        <v>0</v>
      </c>
      <c r="L167" s="21" t="inlineStr">
        <is>
          <t>19.10.2024 15:39:22</t>
        </is>
      </c>
      <c r="M167" s="19" t="inlineStr">
        <is>
          <t>0 sec</t>
        </is>
      </c>
      <c r="N167" s="21" t="inlineStr">
        <is>
          <t xml:space="preserve">         42K            42K             2K</t>
        </is>
      </c>
      <c r="O167" s="21" t="inlineStr">
        <is>
          <t>5cG2Pr1x99tgQgFiC6Nr2kzPd1fdGonrJR7Ef8ppE53d</t>
        </is>
      </c>
      <c r="P167" s="21">
        <f>HYPERLINK("https://dexscreener.com/solana/5cG2Pr1x99tgQgFiC6Nr2kzPd1fdGonrJR7Ef8ppE53d", "View")</f>
        <v/>
      </c>
    </row>
    <row r="168">
      <c r="A168" s="16" t="inlineStr">
        <is>
          <t>SM</t>
        </is>
      </c>
      <c r="B168" s="17" t="n">
        <v>415314</v>
      </c>
      <c r="C168" s="17" t="n">
        <v>0</v>
      </c>
      <c r="D168" s="17" t="inlineStr">
        <is>
          <t>0.000600</t>
        </is>
      </c>
      <c r="E168" s="17" t="inlineStr">
        <is>
          <t>1.000 SOL</t>
        </is>
      </c>
      <c r="F168" s="17" t="inlineStr">
        <is>
          <t>0.000 SOL</t>
        </is>
      </c>
      <c r="G168" s="18" t="inlineStr">
        <is>
          <t>-1.001 SOL</t>
        </is>
      </c>
      <c r="H168" s="18" t="inlineStr">
        <is>
          <t>0.00%</t>
        </is>
      </c>
      <c r="I168" s="17" t="inlineStr">
        <is>
          <t>415,314</t>
        </is>
      </c>
      <c r="J168" s="17" t="n">
        <v>1</v>
      </c>
      <c r="K168" s="17" t="n">
        <v>0</v>
      </c>
      <c r="L168" s="17" t="inlineStr">
        <is>
          <t>19.10.2024 15:09:34</t>
        </is>
      </c>
      <c r="M168" s="19" t="inlineStr">
        <is>
          <t>0 sec</t>
        </is>
      </c>
      <c r="N168" s="17" t="inlineStr">
        <is>
          <t xml:space="preserve">        423K           423K             7K</t>
        </is>
      </c>
      <c r="O168" s="17" t="inlineStr">
        <is>
          <t>EAJwKJz2zPqvHdvfFfQ8o2Fa57G82UuZ9ZTnkMYPpump</t>
        </is>
      </c>
      <c r="P168" s="17">
        <f>HYPERLINK("https://dexscreener.com/solana/EAJwKJz2zPqvHdvfFfQ8o2Fa57G82UuZ9ZTnkMYPpump", "View")</f>
        <v/>
      </c>
    </row>
    <row r="169">
      <c r="A169" s="20" t="inlineStr">
        <is>
          <t>MORPHGEN</t>
        </is>
      </c>
      <c r="B169" s="21" t="n">
        <v>1004539</v>
      </c>
      <c r="C169" s="21" t="n">
        <v>0</v>
      </c>
      <c r="D169" s="21" t="inlineStr">
        <is>
          <t>0.000600</t>
        </is>
      </c>
      <c r="E169" s="21" t="inlineStr">
        <is>
          <t>1.000 SOL</t>
        </is>
      </c>
      <c r="F169" s="21" t="inlineStr">
        <is>
          <t>0.000 SOL</t>
        </is>
      </c>
      <c r="G169" s="18" t="inlineStr">
        <is>
          <t>-1.001 SOL</t>
        </is>
      </c>
      <c r="H169" s="18" t="inlineStr">
        <is>
          <t>0.00%</t>
        </is>
      </c>
      <c r="I169" s="21" t="inlineStr">
        <is>
          <t>1,004,539</t>
        </is>
      </c>
      <c r="J169" s="21" t="n">
        <v>1</v>
      </c>
      <c r="K169" s="21" t="n">
        <v>0</v>
      </c>
      <c r="L169" s="21" t="inlineStr">
        <is>
          <t>19.10.2024 15:00:35</t>
        </is>
      </c>
      <c r="M169" s="19" t="inlineStr">
        <is>
          <t>0 sec</t>
        </is>
      </c>
      <c r="N169" s="21" t="inlineStr">
        <is>
          <t xml:space="preserve">        176K           176K             9K</t>
        </is>
      </c>
      <c r="O169" s="21" t="inlineStr">
        <is>
          <t>GQ5c4fXPFuBad9BX1nhMxit1Wg343VC5kVPtbZaPpump</t>
        </is>
      </c>
      <c r="P169" s="21">
        <f>HYPERLINK("https://dexscreener.com/solana/GQ5c4fXPFuBad9BX1nhMxit1Wg343VC5kVPtbZaPpump", "View")</f>
        <v/>
      </c>
    </row>
    <row r="170">
      <c r="A170" s="16" t="inlineStr">
        <is>
          <t>MENA</t>
        </is>
      </c>
      <c r="B170" s="17" t="n">
        <v>431097</v>
      </c>
      <c r="C170" s="17" t="n">
        <v>0</v>
      </c>
      <c r="D170" s="17" t="inlineStr">
        <is>
          <t>0.000600</t>
        </is>
      </c>
      <c r="E170" s="17" t="inlineStr">
        <is>
          <t>1.000 SOL</t>
        </is>
      </c>
      <c r="F170" s="17" t="inlineStr">
        <is>
          <t>0.000 SOL</t>
        </is>
      </c>
      <c r="G170" s="18" t="inlineStr">
        <is>
          <t>-1.001 SOL</t>
        </is>
      </c>
      <c r="H170" s="18" t="inlineStr">
        <is>
          <t>0.00%</t>
        </is>
      </c>
      <c r="I170" s="17" t="inlineStr">
        <is>
          <t>431,097</t>
        </is>
      </c>
      <c r="J170" s="17" t="n">
        <v>1</v>
      </c>
      <c r="K170" s="17" t="n">
        <v>0</v>
      </c>
      <c r="L170" s="17" t="inlineStr">
        <is>
          <t>19.10.2024 14:39:26</t>
        </is>
      </c>
      <c r="M170" s="19" t="inlineStr">
        <is>
          <t>0 sec</t>
        </is>
      </c>
      <c r="N170" s="17" t="inlineStr">
        <is>
          <t xml:space="preserve">        407K           407K            14K</t>
        </is>
      </c>
      <c r="O170" s="17" t="inlineStr">
        <is>
          <t>4ytpWfVCpJ2nSjahbioPkejnLVBsc7FGZi2hCojppump</t>
        </is>
      </c>
      <c r="P170" s="17">
        <f>HYPERLINK("https://dexscreener.com/solana/4ytpWfVCpJ2nSjahbioPkejnLVBsc7FGZi2hCojppump", "View")</f>
        <v/>
      </c>
    </row>
    <row r="171">
      <c r="A171" s="20" t="inlineStr">
        <is>
          <t>AICYCLE</t>
        </is>
      </c>
      <c r="B171" s="21" t="n">
        <v>1795598</v>
      </c>
      <c r="C171" s="21" t="n">
        <v>0</v>
      </c>
      <c r="D171" s="21" t="inlineStr">
        <is>
          <t>0.000600</t>
        </is>
      </c>
      <c r="E171" s="21" t="inlineStr">
        <is>
          <t>1.000 SOL</t>
        </is>
      </c>
      <c r="F171" s="21" t="inlineStr">
        <is>
          <t>0.000 SOL</t>
        </is>
      </c>
      <c r="G171" s="18" t="inlineStr">
        <is>
          <t>-1.001 SOL</t>
        </is>
      </c>
      <c r="H171" s="18" t="inlineStr">
        <is>
          <t>0.00%</t>
        </is>
      </c>
      <c r="I171" s="21" t="inlineStr">
        <is>
          <t>1,795,598</t>
        </is>
      </c>
      <c r="J171" s="21" t="n">
        <v>1</v>
      </c>
      <c r="K171" s="21" t="n">
        <v>0</v>
      </c>
      <c r="L171" s="21" t="inlineStr">
        <is>
          <t>19.10.2024 12:52:16</t>
        </is>
      </c>
      <c r="M171" s="19" t="inlineStr">
        <is>
          <t>0 sec</t>
        </is>
      </c>
      <c r="N171" s="21" t="inlineStr">
        <is>
          <t xml:space="preserve">         98K            98K             5K</t>
        </is>
      </c>
      <c r="O171" s="21" t="inlineStr">
        <is>
          <t>CqYM3eUQnppnQtPNcHWYdN9tgb5ePnuBpSxkiFDupump</t>
        </is>
      </c>
      <c r="P171" s="21">
        <f>HYPERLINK("https://dexscreener.com/solana/CqYM3eUQnppnQtPNcHWYdN9tgb5ePnuBpSxkiFDupump", "View")</f>
        <v/>
      </c>
    </row>
    <row r="172">
      <c r="A172" s="16" t="inlineStr">
        <is>
          <t>Fiora</t>
        </is>
      </c>
      <c r="B172" s="17" t="n">
        <v>1451150</v>
      </c>
      <c r="C172" s="17" t="n">
        <v>0</v>
      </c>
      <c r="D172" s="17" t="inlineStr">
        <is>
          <t>0.000600</t>
        </is>
      </c>
      <c r="E172" s="17" t="inlineStr">
        <is>
          <t>1.000 SOL</t>
        </is>
      </c>
      <c r="F172" s="17" t="inlineStr">
        <is>
          <t>0.000 SOL</t>
        </is>
      </c>
      <c r="G172" s="18" t="inlineStr">
        <is>
          <t>-1.001 SOL</t>
        </is>
      </c>
      <c r="H172" s="18" t="inlineStr">
        <is>
          <t>0.00%</t>
        </is>
      </c>
      <c r="I172" s="17" t="inlineStr">
        <is>
          <t>1,451,150</t>
        </is>
      </c>
      <c r="J172" s="17" t="n">
        <v>1</v>
      </c>
      <c r="K172" s="17" t="n">
        <v>0</v>
      </c>
      <c r="L172" s="17" t="inlineStr">
        <is>
          <t>19.10.2024 12:06:35</t>
        </is>
      </c>
      <c r="M172" s="19" t="inlineStr">
        <is>
          <t>0 sec</t>
        </is>
      </c>
      <c r="N172" s="17" t="inlineStr">
        <is>
          <t xml:space="preserve">        121K           121K             6K</t>
        </is>
      </c>
      <c r="O172" s="17" t="inlineStr">
        <is>
          <t>HkQ2TgynP3gWZr13qfhHLMmwS4TmXUnFU3GafaL1pump</t>
        </is>
      </c>
      <c r="P172" s="17">
        <f>HYPERLINK("https://dexscreener.com/solana/HkQ2TgynP3gWZr13qfhHLMmwS4TmXUnFU3GafaL1pump", "View")</f>
        <v/>
      </c>
    </row>
    <row r="173">
      <c r="A173" s="20" t="inlineStr">
        <is>
          <t>CHIRPY</t>
        </is>
      </c>
      <c r="B173" s="21" t="n">
        <v>1571</v>
      </c>
      <c r="C173" s="21" t="n">
        <v>0</v>
      </c>
      <c r="D173" s="21" t="inlineStr">
        <is>
          <t>0.000600</t>
        </is>
      </c>
      <c r="E173" s="21" t="inlineStr">
        <is>
          <t>1.000 SOL</t>
        </is>
      </c>
      <c r="F173" s="21" t="inlineStr">
        <is>
          <t>0.000 SOL</t>
        </is>
      </c>
      <c r="G173" s="18" t="inlineStr">
        <is>
          <t>-1.001 SOL</t>
        </is>
      </c>
      <c r="H173" s="18" t="inlineStr">
        <is>
          <t>0.00%</t>
        </is>
      </c>
      <c r="I173" s="21" t="inlineStr">
        <is>
          <t>1,571</t>
        </is>
      </c>
      <c r="J173" s="21" t="n">
        <v>1</v>
      </c>
      <c r="K173" s="21" t="n">
        <v>0</v>
      </c>
      <c r="L173" s="21" t="inlineStr">
        <is>
          <t>19.10.2024 11:00:42</t>
        </is>
      </c>
      <c r="M173" s="19" t="inlineStr">
        <is>
          <t>0 sec</t>
        </is>
      </c>
      <c r="N173" s="21" t="inlineStr">
        <is>
          <t xml:space="preserve">         67M            67M             47</t>
        </is>
      </c>
      <c r="O173" s="21" t="inlineStr">
        <is>
          <t>Cvo4GdT1VCb3wp4vinVEyj2yBfQ2BNLvR5sUPhV2pump</t>
        </is>
      </c>
      <c r="P173" s="21">
        <f>HYPERLINK("https://dexscreener.com/solana/Cvo4GdT1VCb3wp4vinVEyj2yBfQ2BNLvR5sUPhV2pump", "View")</f>
        <v/>
      </c>
    </row>
    <row r="174">
      <c r="A174" s="16" t="inlineStr">
        <is>
          <t>x982a{j:+.</t>
        </is>
      </c>
      <c r="B174" s="17" t="n">
        <v>520977</v>
      </c>
      <c r="C174" s="17" t="n">
        <v>0</v>
      </c>
      <c r="D174" s="17" t="inlineStr">
        <is>
          <t>0.000600</t>
        </is>
      </c>
      <c r="E174" s="17" t="inlineStr">
        <is>
          <t>1.000 SOL</t>
        </is>
      </c>
      <c r="F174" s="17" t="inlineStr">
        <is>
          <t>0.000 SOL</t>
        </is>
      </c>
      <c r="G174" s="18" t="inlineStr">
        <is>
          <t>-1.001 SOL</t>
        </is>
      </c>
      <c r="H174" s="18" t="inlineStr">
        <is>
          <t>0.00%</t>
        </is>
      </c>
      <c r="I174" s="17" t="inlineStr">
        <is>
          <t>520,977</t>
        </is>
      </c>
      <c r="J174" s="17" t="n">
        <v>1</v>
      </c>
      <c r="K174" s="17" t="n">
        <v>0</v>
      </c>
      <c r="L174" s="17" t="inlineStr">
        <is>
          <t>19.10.2024 10:45:26</t>
        </is>
      </c>
      <c r="M174" s="19" t="inlineStr">
        <is>
          <t>0 sec</t>
        </is>
      </c>
      <c r="N174" s="17" t="inlineStr">
        <is>
          <t xml:space="preserve">        337K           337K             5K</t>
        </is>
      </c>
      <c r="O174" s="17" t="inlineStr">
        <is>
          <t>8uCydBTEBHsNULSu3gwMKS5U1EKcGD4Ky5kzju65pump</t>
        </is>
      </c>
      <c r="P174" s="17">
        <f>HYPERLINK("https://dexscreener.com/solana/8uCydBTEBHsNULSu3gwMKS5U1EKcGD4Ky5kzju65pump", "View")</f>
        <v/>
      </c>
    </row>
    <row r="175">
      <c r="A175" s="20" t="inlineStr">
        <is>
          <t>PaST</t>
        </is>
      </c>
      <c r="B175" s="21" t="n">
        <v>1737451</v>
      </c>
      <c r="C175" s="21" t="n">
        <v>0</v>
      </c>
      <c r="D175" s="21" t="inlineStr">
        <is>
          <t>0.000600</t>
        </is>
      </c>
      <c r="E175" s="21" t="inlineStr">
        <is>
          <t>1.000 SOL</t>
        </is>
      </c>
      <c r="F175" s="21" t="inlineStr">
        <is>
          <t>0.000 SOL</t>
        </is>
      </c>
      <c r="G175" s="18" t="inlineStr">
        <is>
          <t>-1.001 SOL</t>
        </is>
      </c>
      <c r="H175" s="18" t="inlineStr">
        <is>
          <t>0.00%</t>
        </is>
      </c>
      <c r="I175" s="21" t="inlineStr">
        <is>
          <t>1,737,451</t>
        </is>
      </c>
      <c r="J175" s="21" t="n">
        <v>1</v>
      </c>
      <c r="K175" s="21" t="n">
        <v>0</v>
      </c>
      <c r="L175" s="21" t="inlineStr">
        <is>
          <t>19.10.2024 09:51:34</t>
        </is>
      </c>
      <c r="M175" s="19" t="inlineStr">
        <is>
          <t>0 sec</t>
        </is>
      </c>
      <c r="N175" s="21" t="inlineStr">
        <is>
          <t xml:space="preserve">        102K           102K             4K</t>
        </is>
      </c>
      <c r="O175" s="21" t="inlineStr">
        <is>
          <t>7NsY3ZqGrY3suPaPvJLYncTfoPF3Ef4JDcRHVig4pump</t>
        </is>
      </c>
      <c r="P175" s="21">
        <f>HYPERLINK("https://dexscreener.com/solana/7NsY3ZqGrY3suPaPvJLYncTfoPF3Ef4JDcRHVig4pump", "View")</f>
        <v/>
      </c>
    </row>
    <row r="176">
      <c r="A176" s="16" t="inlineStr">
        <is>
          <t>LLMtheism</t>
        </is>
      </c>
      <c r="B176" s="17" t="n">
        <v>509866</v>
      </c>
      <c r="C176" s="17" t="n">
        <v>475704</v>
      </c>
      <c r="D176" s="17" t="inlineStr">
        <is>
          <t>0.001610</t>
        </is>
      </c>
      <c r="E176" s="17" t="inlineStr">
        <is>
          <t>1.000 SOL</t>
        </is>
      </c>
      <c r="F176" s="17" t="inlineStr">
        <is>
          <t>0.493 SOL</t>
        </is>
      </c>
      <c r="G176" s="23" t="inlineStr">
        <is>
          <t>-0.508 SOL</t>
        </is>
      </c>
      <c r="H176" s="23" t="inlineStr">
        <is>
          <t>-50.75%</t>
        </is>
      </c>
      <c r="I176" s="17" t="inlineStr">
        <is>
          <t>N/A</t>
        </is>
      </c>
      <c r="J176" s="17" t="n">
        <v>1</v>
      </c>
      <c r="K176" s="17" t="n">
        <v>2</v>
      </c>
      <c r="L176" s="17" t="inlineStr">
        <is>
          <t>19.10.2024 09:40:24</t>
        </is>
      </c>
      <c r="M176" s="17" t="inlineStr">
        <is>
          <t>7 hours</t>
        </is>
      </c>
      <c r="N176" s="17" t="inlineStr">
        <is>
          <t xml:space="preserve">        344K           344K            22K</t>
        </is>
      </c>
      <c r="O176" s="17" t="inlineStr">
        <is>
          <t>8XgSvP4iMbBeQDnC9i4odSGeG4h3QoLJ58avjLBnpump</t>
        </is>
      </c>
      <c r="P176" s="17">
        <f>HYPERLINK("https://dexscreener.com/solana/8XgSvP4iMbBeQDnC9i4odSGeG4h3QoLJ58avjLBnpump", "View")</f>
        <v/>
      </c>
    </row>
    <row r="177">
      <c r="A177" s="20" t="inlineStr">
        <is>
          <t>Cyborgism</t>
        </is>
      </c>
      <c r="B177" s="21" t="n">
        <v>846538</v>
      </c>
      <c r="C177" s="21" t="n">
        <v>279357</v>
      </c>
      <c r="D177" s="21" t="inlineStr">
        <is>
          <t>0.001110</t>
        </is>
      </c>
      <c r="E177" s="21" t="inlineStr">
        <is>
          <t>1.000 SOL</t>
        </is>
      </c>
      <c r="F177" s="21" t="inlineStr">
        <is>
          <t>0.950 SOL</t>
        </is>
      </c>
      <c r="G177" s="25" t="inlineStr">
        <is>
          <t>-0.051 SOL</t>
        </is>
      </c>
      <c r="H177" s="25" t="inlineStr">
        <is>
          <t>-5.10%</t>
        </is>
      </c>
      <c r="I177" s="21" t="inlineStr">
        <is>
          <t>N/A</t>
        </is>
      </c>
      <c r="J177" s="21" t="n">
        <v>1</v>
      </c>
      <c r="K177" s="21" t="n">
        <v>1</v>
      </c>
      <c r="L177" s="21" t="inlineStr">
        <is>
          <t>19.10.2024 09:35:27</t>
        </is>
      </c>
      <c r="M177" s="21" t="inlineStr">
        <is>
          <t>49 min</t>
        </is>
      </c>
      <c r="N177" s="21" t="inlineStr">
        <is>
          <t xml:space="preserve">        207K           207K            20K</t>
        </is>
      </c>
      <c r="O177" s="21" t="inlineStr">
        <is>
          <t>8X7emJy8CV5pK7UjyBKCywdfc4MTKShpUddqrqyepump</t>
        </is>
      </c>
      <c r="P177" s="21">
        <f>HYPERLINK("https://dexscreener.com/solana/8X7emJy8CV5pK7UjyBKCywdfc4MTKShpUddqrqyepump", "View")</f>
        <v/>
      </c>
    </row>
    <row r="178">
      <c r="A178" s="16" t="inlineStr">
        <is>
          <t xml:space="preserve">GASPODE </t>
        </is>
      </c>
      <c r="B178" s="17" t="n">
        <v>2228560</v>
      </c>
      <c r="C178" s="17" t="n">
        <v>2161531</v>
      </c>
      <c r="D178" s="17" t="inlineStr">
        <is>
          <t>0.002620</t>
        </is>
      </c>
      <c r="E178" s="17" t="inlineStr">
        <is>
          <t>1.000 SOL</t>
        </is>
      </c>
      <c r="F178" s="17" t="inlineStr">
        <is>
          <t>0.953 SOL</t>
        </is>
      </c>
      <c r="G178" s="25" t="inlineStr">
        <is>
          <t>-0.050 SOL</t>
        </is>
      </c>
      <c r="H178" s="25" t="inlineStr">
        <is>
          <t>-4.95%</t>
        </is>
      </c>
      <c r="I178" s="17" t="inlineStr">
        <is>
          <t>N/A</t>
        </is>
      </c>
      <c r="J178" s="17" t="n">
        <v>1</v>
      </c>
      <c r="K178" s="17" t="n">
        <v>4</v>
      </c>
      <c r="L178" s="17" t="inlineStr">
        <is>
          <t>19.10.2024 09:20:33</t>
        </is>
      </c>
      <c r="M178" s="17" t="inlineStr">
        <is>
          <t>19 hours</t>
        </is>
      </c>
      <c r="N178" s="17" t="inlineStr">
        <is>
          <t xml:space="preserve">         79K            79K            25K</t>
        </is>
      </c>
      <c r="O178" s="17" t="inlineStr">
        <is>
          <t>CLmkmdeeDqZRciDPrpVS8JtFj2g1hh8U4XQmQishpump</t>
        </is>
      </c>
      <c r="P178" s="17">
        <f>HYPERLINK("https://dexscreener.com/solana/CLmkmdeeDqZRciDPrpVS8JtFj2g1hh8U4XQmQishpump", "View")</f>
        <v/>
      </c>
    </row>
    <row r="179">
      <c r="A179" s="20" t="inlineStr">
        <is>
          <t>SONNET</t>
        </is>
      </c>
      <c r="B179" s="21" t="n">
        <v>1376087</v>
      </c>
      <c r="C179" s="21" t="n">
        <v>1334698</v>
      </c>
      <c r="D179" s="21" t="inlineStr">
        <is>
          <t>0.002620</t>
        </is>
      </c>
      <c r="E179" s="21" t="inlineStr">
        <is>
          <t>1.000 SOL</t>
        </is>
      </c>
      <c r="F179" s="21" t="inlineStr">
        <is>
          <t>0.516 SOL</t>
        </is>
      </c>
      <c r="G179" s="25" t="inlineStr">
        <is>
          <t>-0.487 SOL</t>
        </is>
      </c>
      <c r="H179" s="25" t="inlineStr">
        <is>
          <t>-48.54%</t>
        </is>
      </c>
      <c r="I179" s="21" t="inlineStr">
        <is>
          <t>N/A</t>
        </is>
      </c>
      <c r="J179" s="21" t="n">
        <v>1</v>
      </c>
      <c r="K179" s="21" t="n">
        <v>4</v>
      </c>
      <c r="L179" s="21" t="inlineStr">
        <is>
          <t>19.10.2024 09:05:36</t>
        </is>
      </c>
      <c r="M179" s="21" t="inlineStr">
        <is>
          <t>9 hours</t>
        </is>
      </c>
      <c r="N179" s="21" t="inlineStr">
        <is>
          <t xml:space="preserve">        128K            28K            58K</t>
        </is>
      </c>
      <c r="O179" s="21" t="inlineStr">
        <is>
          <t>A6J6iU22H4dzFsHiSRcPdwYCGtJLNFupDotwhKgfpump</t>
        </is>
      </c>
      <c r="P179" s="21">
        <f>HYPERLINK("https://dexscreener.com/solana/A6J6iU22H4dzFsHiSRcPdwYCGtJLNFupDotwhKgfpump", "View")</f>
        <v/>
      </c>
    </row>
    <row r="180">
      <c r="A180" s="16" t="inlineStr">
        <is>
          <t>TEAPOT</t>
        </is>
      </c>
      <c r="B180" s="17" t="n">
        <v>720451</v>
      </c>
      <c r="C180" s="17" t="n">
        <v>0</v>
      </c>
      <c r="D180" s="17" t="inlineStr">
        <is>
          <t>0.000600</t>
        </is>
      </c>
      <c r="E180" s="17" t="inlineStr">
        <is>
          <t>1.000 SOL</t>
        </is>
      </c>
      <c r="F180" s="17" t="inlineStr">
        <is>
          <t>0.000 SOL</t>
        </is>
      </c>
      <c r="G180" s="18" t="inlineStr">
        <is>
          <t>-1.001 SOL</t>
        </is>
      </c>
      <c r="H180" s="18" t="inlineStr">
        <is>
          <t>0.00%</t>
        </is>
      </c>
      <c r="I180" s="17" t="inlineStr">
        <is>
          <t>720,451</t>
        </is>
      </c>
      <c r="J180" s="17" t="n">
        <v>1</v>
      </c>
      <c r="K180" s="17" t="n">
        <v>0</v>
      </c>
      <c r="L180" s="17" t="inlineStr">
        <is>
          <t>19.10.2024 09:03:20</t>
        </is>
      </c>
      <c r="M180" s="19" t="inlineStr">
        <is>
          <t>0 sec</t>
        </is>
      </c>
      <c r="N180" s="17" t="inlineStr">
        <is>
          <t xml:space="preserve">        244K           244K            37K</t>
        </is>
      </c>
      <c r="O180" s="17" t="inlineStr">
        <is>
          <t>9wtFqbMCFDLwgEboVs3WJhVG2VgwdFBo3osqtqgXpump</t>
        </is>
      </c>
      <c r="P180" s="17">
        <f>HYPERLINK("https://dexscreener.com/solana/9wtFqbMCFDLwgEboVs3WJhVG2VgwdFBo3osqtqgXpump", "View")</f>
        <v/>
      </c>
    </row>
    <row r="181">
      <c r="A181" s="20" t="inlineStr">
        <is>
          <t>LLMtheism</t>
        </is>
      </c>
      <c r="B181" s="21" t="n">
        <v>4454506</v>
      </c>
      <c r="C181" s="21" t="n">
        <v>4254542</v>
      </c>
      <c r="D181" s="21" t="inlineStr">
        <is>
          <t>0.002120</t>
        </is>
      </c>
      <c r="E181" s="21" t="inlineStr">
        <is>
          <t>1.000 SOL</t>
        </is>
      </c>
      <c r="F181" s="21" t="inlineStr">
        <is>
          <t>1.609 SOL</t>
        </is>
      </c>
      <c r="G181" s="24" t="inlineStr">
        <is>
          <t>0.607 SOL</t>
        </is>
      </c>
      <c r="H181" s="24" t="inlineStr">
        <is>
          <t>60.55%</t>
        </is>
      </c>
      <c r="I181" s="21" t="inlineStr">
        <is>
          <t>N/A</t>
        </is>
      </c>
      <c r="J181" s="21" t="n">
        <v>1</v>
      </c>
      <c r="K181" s="21" t="n">
        <v>3</v>
      </c>
      <c r="L181" s="21" t="inlineStr">
        <is>
          <t>19.10.2024 08:10:29</t>
        </is>
      </c>
      <c r="M181" s="21" t="inlineStr">
        <is>
          <t>6 hours</t>
        </is>
      </c>
      <c r="N181" s="21" t="inlineStr">
        <is>
          <t xml:space="preserve">         39K            98K             9K</t>
        </is>
      </c>
      <c r="O181" s="21" t="inlineStr">
        <is>
          <t>2jfmsGtcBpF4qQxztyBqhZmrtTf8tCNv7o98kwwSpump</t>
        </is>
      </c>
      <c r="P181" s="21">
        <f>HYPERLINK("https://dexscreener.com/solana/2jfmsGtcBpF4qQxztyBqhZmrtTf8tCNv7o98kwwSpump", "View")</f>
        <v/>
      </c>
    </row>
    <row r="182">
      <c r="A182" s="16" t="inlineStr">
        <is>
          <t>LOOM</t>
        </is>
      </c>
      <c r="B182" s="17" t="n">
        <v>1626913</v>
      </c>
      <c r="C182" s="17" t="n">
        <v>1604946</v>
      </c>
      <c r="D182" s="17" t="inlineStr">
        <is>
          <t>0.003640</t>
        </is>
      </c>
      <c r="E182" s="17" t="inlineStr">
        <is>
          <t>1.000 SOL</t>
        </is>
      </c>
      <c r="F182" s="17" t="inlineStr">
        <is>
          <t>2.058 SOL</t>
        </is>
      </c>
      <c r="G182" s="24" t="inlineStr">
        <is>
          <t>1.054 SOL</t>
        </is>
      </c>
      <c r="H182" s="24" t="inlineStr">
        <is>
          <t>105.04%</t>
        </is>
      </c>
      <c r="I182" s="17" t="inlineStr">
        <is>
          <t>N/A</t>
        </is>
      </c>
      <c r="J182" s="17" t="n">
        <v>1</v>
      </c>
      <c r="K182" s="17" t="n">
        <v>6</v>
      </c>
      <c r="L182" s="17" t="inlineStr">
        <is>
          <t>19.10.2024 07:50:21</t>
        </is>
      </c>
      <c r="M182" s="17" t="inlineStr">
        <is>
          <t>19 hours</t>
        </is>
      </c>
      <c r="N182" s="17" t="inlineStr">
        <is>
          <t xml:space="preserve">        107K           107K           147K</t>
        </is>
      </c>
      <c r="O182" s="17" t="inlineStr">
        <is>
          <t>D57CP6MA7G5idNmxAuigU6W8uPeiGvDVuuwh4z2ypump</t>
        </is>
      </c>
      <c r="P182" s="17">
        <f>HYPERLINK("https://dexscreener.com/solana/D57CP6MA7G5idNmxAuigU6W8uPeiGvDVuuwh4z2ypump", "View")</f>
        <v/>
      </c>
    </row>
    <row r="183">
      <c r="A183" s="20" t="inlineStr">
        <is>
          <t>SGON</t>
        </is>
      </c>
      <c r="B183" s="21" t="n">
        <v>1255754</v>
      </c>
      <c r="C183" s="21" t="n">
        <v>0</v>
      </c>
      <c r="D183" s="21" t="inlineStr">
        <is>
          <t>0.000600</t>
        </is>
      </c>
      <c r="E183" s="21" t="inlineStr">
        <is>
          <t>1.000 SOL</t>
        </is>
      </c>
      <c r="F183" s="21" t="inlineStr">
        <is>
          <t>0.000 SOL</t>
        </is>
      </c>
      <c r="G183" s="18" t="inlineStr">
        <is>
          <t>-1.001 SOL</t>
        </is>
      </c>
      <c r="H183" s="18" t="inlineStr">
        <is>
          <t>0.00%</t>
        </is>
      </c>
      <c r="I183" s="21" t="inlineStr">
        <is>
          <t>1,255,754</t>
        </is>
      </c>
      <c r="J183" s="21" t="n">
        <v>1</v>
      </c>
      <c r="K183" s="21" t="n">
        <v>0</v>
      </c>
      <c r="L183" s="21" t="inlineStr">
        <is>
          <t>19.10.2024 07:48:24</t>
        </is>
      </c>
      <c r="M183" s="19" t="inlineStr">
        <is>
          <t>0 sec</t>
        </is>
      </c>
      <c r="N183" s="21" t="inlineStr">
        <is>
          <t xml:space="preserve">        140K           140K             4K</t>
        </is>
      </c>
      <c r="O183" s="21" t="inlineStr">
        <is>
          <t>5cnfnDNVssoccP2T1sG1ie5Wfk9jSnG3ruMQcPS4pump</t>
        </is>
      </c>
      <c r="P183" s="21">
        <f>HYPERLINK("https://dexscreener.com/solana/5cnfnDNVssoccP2T1sG1ie5Wfk9jSnG3ruMQcPS4pump", "View")</f>
        <v/>
      </c>
    </row>
    <row r="184">
      <c r="A184" s="16" t="inlineStr">
        <is>
          <t>SLINK</t>
        </is>
      </c>
      <c r="B184" s="17" t="n">
        <v>751</v>
      </c>
      <c r="C184" s="17" t="n">
        <v>0</v>
      </c>
      <c r="D184" s="17" t="inlineStr">
        <is>
          <t>0.000600</t>
        </is>
      </c>
      <c r="E184" s="17" t="inlineStr">
        <is>
          <t>1.000 SOL</t>
        </is>
      </c>
      <c r="F184" s="17" t="inlineStr">
        <is>
          <t>0.000 SOL</t>
        </is>
      </c>
      <c r="G184" s="18" t="inlineStr">
        <is>
          <t>-1.001 SOL</t>
        </is>
      </c>
      <c r="H184" s="18" t="inlineStr">
        <is>
          <t>0.00%</t>
        </is>
      </c>
      <c r="I184" s="17" t="inlineStr">
        <is>
          <t>751</t>
        </is>
      </c>
      <c r="J184" s="17" t="n">
        <v>1</v>
      </c>
      <c r="K184" s="17" t="n">
        <v>0</v>
      </c>
      <c r="L184" s="17" t="inlineStr">
        <is>
          <t>19.10.2024 07:03:22</t>
        </is>
      </c>
      <c r="M184" s="19" t="inlineStr">
        <is>
          <t>0 sec</t>
        </is>
      </c>
      <c r="N184" s="17" t="inlineStr">
        <is>
          <t xml:space="preserve">        232M           232M            132</t>
        </is>
      </c>
      <c r="O184" s="17" t="inlineStr">
        <is>
          <t>HRfsUNJiePHqU9pxkWtES6ECEHszthyv6Jg9ZY7bpump</t>
        </is>
      </c>
      <c r="P184" s="17">
        <f>HYPERLINK("https://dexscreener.com/solana/HRfsUNJiePHqU9pxkWtES6ECEHszthyv6Jg9ZY7bpump", "View")</f>
        <v/>
      </c>
    </row>
    <row r="185">
      <c r="A185" s="20" t="inlineStr">
        <is>
          <t>AMANO</t>
        </is>
      </c>
      <c r="B185" s="21" t="n">
        <v>1712500</v>
      </c>
      <c r="C185" s="21" t="n">
        <v>0</v>
      </c>
      <c r="D185" s="21" t="inlineStr">
        <is>
          <t>0.000600</t>
        </is>
      </c>
      <c r="E185" s="21" t="inlineStr">
        <is>
          <t>1.000 SOL</t>
        </is>
      </c>
      <c r="F185" s="21" t="inlineStr">
        <is>
          <t>0.000 SOL</t>
        </is>
      </c>
      <c r="G185" s="18" t="inlineStr">
        <is>
          <t>-1.001 SOL</t>
        </is>
      </c>
      <c r="H185" s="18" t="inlineStr">
        <is>
          <t>0.00%</t>
        </is>
      </c>
      <c r="I185" s="21" t="inlineStr">
        <is>
          <t>1,712,500</t>
        </is>
      </c>
      <c r="J185" s="21" t="n">
        <v>1</v>
      </c>
      <c r="K185" s="21" t="n">
        <v>0</v>
      </c>
      <c r="L185" s="21" t="inlineStr">
        <is>
          <t>19.10.2024 06:18:20</t>
        </is>
      </c>
      <c r="M185" s="19" t="inlineStr">
        <is>
          <t>0 sec</t>
        </is>
      </c>
      <c r="N185" s="21" t="inlineStr">
        <is>
          <t xml:space="preserve">        102K           102K             4K</t>
        </is>
      </c>
      <c r="O185" s="21" t="inlineStr">
        <is>
          <t>DL7eHjziBjJ4aDVCRuz41nM2SceQvrUfREYmRQYHpump</t>
        </is>
      </c>
      <c r="P185" s="21">
        <f>HYPERLINK("https://dexscreener.com/solana/DL7eHjziBjJ4aDVCRuz41nM2SceQvrUfREYmRQYHpump", "View")</f>
        <v/>
      </c>
    </row>
    <row r="186">
      <c r="A186" s="16" t="inlineStr">
        <is>
          <t>Thebes</t>
        </is>
      </c>
      <c r="B186" s="17" t="n">
        <v>2245025</v>
      </c>
      <c r="C186" s="17" t="n">
        <v>2020522</v>
      </c>
      <c r="D186" s="17" t="inlineStr">
        <is>
          <t>0.001110</t>
        </is>
      </c>
      <c r="E186" s="17" t="inlineStr">
        <is>
          <t>1.000 SOL</t>
        </is>
      </c>
      <c r="F186" s="17" t="inlineStr">
        <is>
          <t>0.467 SOL</t>
        </is>
      </c>
      <c r="G186" s="23" t="inlineStr">
        <is>
          <t>-0.534 SOL</t>
        </is>
      </c>
      <c r="H186" s="23" t="inlineStr">
        <is>
          <t>-53.31%</t>
        </is>
      </c>
      <c r="I186" s="17" t="inlineStr">
        <is>
          <t>N/A</t>
        </is>
      </c>
      <c r="J186" s="17" t="n">
        <v>1</v>
      </c>
      <c r="K186" s="17" t="n">
        <v>1</v>
      </c>
      <c r="L186" s="17" t="inlineStr">
        <is>
          <t>19.10.2024 04:56:11</t>
        </is>
      </c>
      <c r="M186" s="17" t="inlineStr">
        <is>
          <t>52 min</t>
        </is>
      </c>
      <c r="N186" s="17" t="inlineStr">
        <is>
          <t xml:space="preserve">         79K            79K             5K</t>
        </is>
      </c>
      <c r="O186" s="17" t="inlineStr">
        <is>
          <t>79zER84VHcQKmmnsjaHtZ6T5sDFsejy9z6YWR5smpump</t>
        </is>
      </c>
      <c r="P186" s="17">
        <f>HYPERLINK("https://dexscreener.com/solana/79zER84VHcQKmmnsjaHtZ6T5sDFsejy9z6YWR5smpump", "View")</f>
        <v/>
      </c>
    </row>
    <row r="187">
      <c r="A187" s="20" t="inlineStr">
        <is>
          <t>GMC</t>
        </is>
      </c>
      <c r="B187" s="21" t="n">
        <v>2056654</v>
      </c>
      <c r="C187" s="21" t="n">
        <v>1850988</v>
      </c>
      <c r="D187" s="21" t="inlineStr">
        <is>
          <t>0.001110</t>
        </is>
      </c>
      <c r="E187" s="21" t="inlineStr">
        <is>
          <t>1.000 SOL</t>
        </is>
      </c>
      <c r="F187" s="21" t="inlineStr">
        <is>
          <t>0.214 SOL</t>
        </is>
      </c>
      <c r="G187" s="23" t="inlineStr">
        <is>
          <t>-0.787 SOL</t>
        </is>
      </c>
      <c r="H187" s="23" t="inlineStr">
        <is>
          <t>-78.66%</t>
        </is>
      </c>
      <c r="I187" s="21" t="inlineStr">
        <is>
          <t>N/A</t>
        </is>
      </c>
      <c r="J187" s="21" t="n">
        <v>1</v>
      </c>
      <c r="K187" s="21" t="n">
        <v>1</v>
      </c>
      <c r="L187" s="21" t="inlineStr">
        <is>
          <t>19.10.2024 04:54:09</t>
        </is>
      </c>
      <c r="M187" s="21" t="inlineStr">
        <is>
          <t>20 min</t>
        </is>
      </c>
      <c r="N187" s="21" t="inlineStr">
        <is>
          <t xml:space="preserve">         86K            86K             5K</t>
        </is>
      </c>
      <c r="O187" s="21" t="inlineStr">
        <is>
          <t>8q83Vvfu9ShcREvQ6TGi34VrJH9y2uSPygGzTtYWpump</t>
        </is>
      </c>
      <c r="P187" s="21">
        <f>HYPERLINK("https://dexscreener.com/solana/8q83Vvfu9ShcREvQ6TGi34VrJH9y2uSPygGzTtYWpump", "View")</f>
        <v/>
      </c>
    </row>
    <row r="188">
      <c r="A188" s="16" t="inlineStr">
        <is>
          <t>j⧉nus</t>
        </is>
      </c>
      <c r="B188" s="17" t="n">
        <v>3228256</v>
      </c>
      <c r="C188" s="17" t="n">
        <v>2905430</v>
      </c>
      <c r="D188" s="17" t="inlineStr">
        <is>
          <t>0.001110</t>
        </is>
      </c>
      <c r="E188" s="17" t="inlineStr">
        <is>
          <t>1.000 SOL</t>
        </is>
      </c>
      <c r="F188" s="17" t="inlineStr">
        <is>
          <t>0.392 SOL</t>
        </is>
      </c>
      <c r="G188" s="23" t="inlineStr">
        <is>
          <t>-0.609 SOL</t>
        </is>
      </c>
      <c r="H188" s="23" t="inlineStr">
        <is>
          <t>-60.84%</t>
        </is>
      </c>
      <c r="I188" s="17" t="inlineStr">
        <is>
          <t>N/A</t>
        </is>
      </c>
      <c r="J188" s="17" t="n">
        <v>1</v>
      </c>
      <c r="K188" s="17" t="n">
        <v>1</v>
      </c>
      <c r="L188" s="17" t="inlineStr">
        <is>
          <t>19.10.2024 03:58:12</t>
        </is>
      </c>
      <c r="M188" s="17" t="inlineStr">
        <is>
          <t>48 min</t>
        </is>
      </c>
      <c r="N188" s="17" t="inlineStr">
        <is>
          <t xml:space="preserve">         54K            54K             9K</t>
        </is>
      </c>
      <c r="O188" s="17" t="inlineStr">
        <is>
          <t>EVRWBUYGN5BdJcwagB7sYHy9cAo6xPUqD1j5VHv6pump</t>
        </is>
      </c>
      <c r="P188" s="17">
        <f>HYPERLINK("https://dexscreener.com/solana/EVRWBUYGN5BdJcwagB7sYHy9cAo6xPUqD1j5VHv6pump", "View")</f>
        <v/>
      </c>
    </row>
    <row r="189">
      <c r="A189" s="20" t="inlineStr">
        <is>
          <t>GOTE</t>
        </is>
      </c>
      <c r="B189" s="21" t="n">
        <v>261978</v>
      </c>
      <c r="C189" s="21" t="n">
        <v>235780</v>
      </c>
      <c r="D189" s="21" t="inlineStr">
        <is>
          <t>0.001110</t>
        </is>
      </c>
      <c r="E189" s="21" t="inlineStr">
        <is>
          <t>1.000 SOL</t>
        </is>
      </c>
      <c r="F189" s="21" t="inlineStr">
        <is>
          <t>0.494 SOL</t>
        </is>
      </c>
      <c r="G189" s="23" t="inlineStr">
        <is>
          <t>-0.507 SOL</t>
        </is>
      </c>
      <c r="H189" s="23" t="inlineStr">
        <is>
          <t>-50.66%</t>
        </is>
      </c>
      <c r="I189" s="21" t="inlineStr">
        <is>
          <t>N/A</t>
        </is>
      </c>
      <c r="J189" s="21" t="n">
        <v>1</v>
      </c>
      <c r="K189" s="21" t="n">
        <v>1</v>
      </c>
      <c r="L189" s="21" t="inlineStr">
        <is>
          <t>19.10.2024 03:25:20</t>
        </is>
      </c>
      <c r="M189" s="21" t="inlineStr">
        <is>
          <t>5 hours</t>
        </is>
      </c>
      <c r="N189" s="21" t="inlineStr">
        <is>
          <t xml:space="preserve">        671K           671K            22K</t>
        </is>
      </c>
      <c r="O189" s="21" t="inlineStr">
        <is>
          <t>Fgn3y5zLZTfi5UxP59yHbLmryWgWnHS4BFJHcsuVpump</t>
        </is>
      </c>
      <c r="P189" s="21">
        <f>HYPERLINK("https://dexscreener.com/solana/Fgn3y5zLZTfi5UxP59yHbLmryWgWnHS4BFJHcsuVpump", "View")</f>
        <v/>
      </c>
    </row>
    <row r="190">
      <c r="A190" s="16" t="inlineStr">
        <is>
          <t>Red</t>
        </is>
      </c>
      <c r="B190" s="17" t="n">
        <v>4866977</v>
      </c>
      <c r="C190" s="17" t="n">
        <v>0</v>
      </c>
      <c r="D190" s="17" t="inlineStr">
        <is>
          <t>0.000600</t>
        </is>
      </c>
      <c r="E190" s="17" t="inlineStr">
        <is>
          <t>1.000 SOL</t>
        </is>
      </c>
      <c r="F190" s="17" t="inlineStr">
        <is>
          <t>0.000 SOL</t>
        </is>
      </c>
      <c r="G190" s="18" t="inlineStr">
        <is>
          <t>-1.001 SOL</t>
        </is>
      </c>
      <c r="H190" s="18" t="inlineStr">
        <is>
          <t>0.00%</t>
        </is>
      </c>
      <c r="I190" s="17" t="inlineStr">
        <is>
          <t>4,866,977</t>
        </is>
      </c>
      <c r="J190" s="17" t="n">
        <v>1</v>
      </c>
      <c r="K190" s="17" t="n">
        <v>0</v>
      </c>
      <c r="L190" s="17" t="inlineStr">
        <is>
          <t>19.10.2024 03:24:17</t>
        </is>
      </c>
      <c r="M190" s="19" t="inlineStr">
        <is>
          <t>0 sec</t>
        </is>
      </c>
      <c r="N190" s="17" t="inlineStr">
        <is>
          <t xml:space="preserve">         37K            37K             4K</t>
        </is>
      </c>
      <c r="O190" s="17" t="inlineStr">
        <is>
          <t>AgQtbsiNfuaviLF7xzxSQFnfWBDu7ekhkNBStxaRpump</t>
        </is>
      </c>
      <c r="P190" s="17">
        <f>HYPERLINK("https://dexscreener.com/solana/AgQtbsiNfuaviLF7xzxSQFnfWBDu7ekhkNBStxaRpump", "View")</f>
        <v/>
      </c>
    </row>
    <row r="191">
      <c r="A191" s="20" t="inlineStr">
        <is>
          <t>CTG</t>
        </is>
      </c>
      <c r="B191" s="21" t="n">
        <v>682655</v>
      </c>
      <c r="C191" s="21" t="n">
        <v>636917</v>
      </c>
      <c r="D191" s="21" t="inlineStr">
        <is>
          <t>0.001610</t>
        </is>
      </c>
      <c r="E191" s="21" t="inlineStr">
        <is>
          <t>1.000 SOL</t>
        </is>
      </c>
      <c r="F191" s="21" t="inlineStr">
        <is>
          <t>1.530 SOL</t>
        </is>
      </c>
      <c r="G191" s="24" t="inlineStr">
        <is>
          <t>0.528 SOL</t>
        </is>
      </c>
      <c r="H191" s="24" t="inlineStr">
        <is>
          <t>52.74%</t>
        </is>
      </c>
      <c r="I191" s="21" t="inlineStr">
        <is>
          <t>N/A</t>
        </is>
      </c>
      <c r="J191" s="21" t="n">
        <v>1</v>
      </c>
      <c r="K191" s="21" t="n">
        <v>2</v>
      </c>
      <c r="L191" s="21" t="inlineStr">
        <is>
          <t>19.10.2024 02:46:11</t>
        </is>
      </c>
      <c r="M191" s="21" t="inlineStr">
        <is>
          <t>1 hours</t>
        </is>
      </c>
      <c r="N191" s="21" t="inlineStr">
        <is>
          <t xml:space="preserve">        256K           824K             7K</t>
        </is>
      </c>
      <c r="O191" s="21" t="inlineStr">
        <is>
          <t>BfUfnLMCNwKYamhJXzaxgUmFjrGFHdkjRLAxeaxqpump</t>
        </is>
      </c>
      <c r="P191" s="21">
        <f>HYPERLINK("https://dexscreener.com/solana/BfUfnLMCNwKYamhJXzaxgUmFjrGFHdkjRLAxeaxqpump", "View")</f>
        <v/>
      </c>
    </row>
    <row r="192">
      <c r="A192" s="16" t="inlineStr">
        <is>
          <t>Suiman</t>
        </is>
      </c>
      <c r="B192" s="17" t="n">
        <v>514</v>
      </c>
      <c r="C192" s="17" t="n">
        <v>0</v>
      </c>
      <c r="D192" s="17" t="inlineStr">
        <is>
          <t>0.000600</t>
        </is>
      </c>
      <c r="E192" s="17" t="inlineStr">
        <is>
          <t>1.000 SOL</t>
        </is>
      </c>
      <c r="F192" s="17" t="inlineStr">
        <is>
          <t>0.000 SOL</t>
        </is>
      </c>
      <c r="G192" s="18" t="inlineStr">
        <is>
          <t>-1.001 SOL</t>
        </is>
      </c>
      <c r="H192" s="18" t="inlineStr">
        <is>
          <t>0.00%</t>
        </is>
      </c>
      <c r="I192" s="17" t="inlineStr">
        <is>
          <t>514</t>
        </is>
      </c>
      <c r="J192" s="17" t="n">
        <v>1</v>
      </c>
      <c r="K192" s="17" t="n">
        <v>0</v>
      </c>
      <c r="L192" s="17" t="inlineStr">
        <is>
          <t>19.10.2024 02:24:19</t>
        </is>
      </c>
      <c r="M192" s="19" t="inlineStr">
        <is>
          <t>0 sec</t>
        </is>
      </c>
      <c r="N192" s="17" t="inlineStr">
        <is>
          <t xml:space="preserve">        199M           199M             46</t>
        </is>
      </c>
      <c r="O192" s="17" t="inlineStr">
        <is>
          <t>AdNys9Un2czgmEpxJJSWnJxic7EXtzbxAxQ9ByBGpump</t>
        </is>
      </c>
      <c r="P192" s="17">
        <f>HYPERLINK("https://dexscreener.com/solana/AdNys9Un2czgmEpxJJSWnJxic7EXtzbxAxQ9ByBGpump", "View")</f>
        <v/>
      </c>
    </row>
    <row r="193">
      <c r="A193" s="20" t="inlineStr">
        <is>
          <t>AI</t>
        </is>
      </c>
      <c r="B193" s="21" t="n">
        <v>1235116</v>
      </c>
      <c r="C193" s="21" t="n">
        <v>1111604</v>
      </c>
      <c r="D193" s="21" t="inlineStr">
        <is>
          <t>0.001110</t>
        </is>
      </c>
      <c r="E193" s="21" t="inlineStr">
        <is>
          <t>1.000 SOL</t>
        </is>
      </c>
      <c r="F193" s="21" t="inlineStr">
        <is>
          <t>0.557 SOL</t>
        </is>
      </c>
      <c r="G193" s="25" t="inlineStr">
        <is>
          <t>-0.444 SOL</t>
        </is>
      </c>
      <c r="H193" s="25" t="inlineStr">
        <is>
          <t>-44.36%</t>
        </is>
      </c>
      <c r="I193" s="21" t="inlineStr">
        <is>
          <t>N/A</t>
        </is>
      </c>
      <c r="J193" s="21" t="n">
        <v>1</v>
      </c>
      <c r="K193" s="21" t="n">
        <v>1</v>
      </c>
      <c r="L193" s="21" t="inlineStr">
        <is>
          <t>19.10.2024 02:00:20</t>
        </is>
      </c>
      <c r="M193" s="21" t="inlineStr">
        <is>
          <t>24 min</t>
        </is>
      </c>
      <c r="N193" s="21" t="inlineStr">
        <is>
          <t xml:space="preserve">        142K            88K             8K</t>
        </is>
      </c>
      <c r="O193" s="21" t="inlineStr">
        <is>
          <t>9gxfYASoTq3RMejwrdpNBNzN1Af8Pn1jsWx9w7a4pump</t>
        </is>
      </c>
      <c r="P193" s="21">
        <f>HYPERLINK("https://dexscreener.com/solana/9gxfYASoTq3RMejwrdpNBNzN1Af8Pn1jsWx9w7a4pump", "View")</f>
        <v/>
      </c>
    </row>
    <row r="194">
      <c r="A194" s="16" t="inlineStr">
        <is>
          <t>AirheadFun</t>
        </is>
      </c>
      <c r="B194" s="17" t="n">
        <v>457589</v>
      </c>
      <c r="C194" s="17" t="n">
        <v>0</v>
      </c>
      <c r="D194" s="17" t="inlineStr">
        <is>
          <t>0.000600</t>
        </is>
      </c>
      <c r="E194" s="17" t="inlineStr">
        <is>
          <t>1.000 SOL</t>
        </is>
      </c>
      <c r="F194" s="17" t="inlineStr">
        <is>
          <t>0.000 SOL</t>
        </is>
      </c>
      <c r="G194" s="18" t="inlineStr">
        <is>
          <t>-1.001 SOL</t>
        </is>
      </c>
      <c r="H194" s="18" t="inlineStr">
        <is>
          <t>0.00%</t>
        </is>
      </c>
      <c r="I194" s="17" t="inlineStr">
        <is>
          <t>457,589</t>
        </is>
      </c>
      <c r="J194" s="17" t="n">
        <v>1</v>
      </c>
      <c r="K194" s="17" t="n">
        <v>0</v>
      </c>
      <c r="L194" s="17" t="inlineStr">
        <is>
          <t>19.10.2024 01:57:34</t>
        </is>
      </c>
      <c r="M194" s="19" t="inlineStr">
        <is>
          <t>0 sec</t>
        </is>
      </c>
      <c r="N194" s="17" t="inlineStr">
        <is>
          <t xml:space="preserve">        384K           384K             7K</t>
        </is>
      </c>
      <c r="O194" s="17" t="inlineStr">
        <is>
          <t>FCGDDio5DuhujHcRQCDbXHnrcSA4pUGg2haNt7S2pump</t>
        </is>
      </c>
      <c r="P194" s="17">
        <f>HYPERLINK("https://dexscreener.com/solana/FCGDDio5DuhujHcRQCDbXHnrcSA4pUGg2haNt7S2pump", "View")</f>
        <v/>
      </c>
    </row>
    <row r="195">
      <c r="A195" s="20" t="inlineStr">
        <is>
          <t>CLANKER</t>
        </is>
      </c>
      <c r="B195" s="21" t="n">
        <v>100102</v>
      </c>
      <c r="C195" s="21" t="n">
        <v>66567</v>
      </c>
      <c r="D195" s="21" t="inlineStr">
        <is>
          <t>0.001610</t>
        </is>
      </c>
      <c r="E195" s="21" t="inlineStr">
        <is>
          <t>1.000 SOL</t>
        </is>
      </c>
      <c r="F195" s="21" t="inlineStr">
        <is>
          <t>1.149 SOL</t>
        </is>
      </c>
      <c r="G195" s="22" t="inlineStr">
        <is>
          <t>0.148 SOL</t>
        </is>
      </c>
      <c r="H195" s="22" t="inlineStr">
        <is>
          <t>14.73%</t>
        </is>
      </c>
      <c r="I195" s="21" t="inlineStr">
        <is>
          <t>N/A</t>
        </is>
      </c>
      <c r="J195" s="21" t="n">
        <v>1</v>
      </c>
      <c r="K195" s="21" t="n">
        <v>2</v>
      </c>
      <c r="L195" s="21" t="inlineStr">
        <is>
          <t>19.10.2024 01:50:34</t>
        </is>
      </c>
      <c r="M195" s="21" t="inlineStr">
        <is>
          <t>2 days</t>
        </is>
      </c>
      <c r="N195" s="21" t="inlineStr">
        <is>
          <t xml:space="preserve">          2M             2M             3M</t>
        </is>
      </c>
      <c r="O195" s="21" t="inlineStr">
        <is>
          <t>3qq54YqAKG3TcrwNHXFSpMCWoL8gmMuPceJ4FG9npump</t>
        </is>
      </c>
      <c r="P195" s="21">
        <f>HYPERLINK("https://dexscreener.com/solana/3qq54YqAKG3TcrwNHXFSpMCWoL8gmMuPceJ4FG9npump", "View")</f>
        <v/>
      </c>
    </row>
    <row r="196">
      <c r="A196" s="16" t="inlineStr">
        <is>
          <t>BwO</t>
        </is>
      </c>
      <c r="B196" s="17" t="n">
        <v>511488</v>
      </c>
      <c r="C196" s="17" t="n">
        <v>460339</v>
      </c>
      <c r="D196" s="17" t="inlineStr">
        <is>
          <t>0.001110</t>
        </is>
      </c>
      <c r="E196" s="17" t="inlineStr">
        <is>
          <t>1.000 SOL</t>
        </is>
      </c>
      <c r="F196" s="17" t="inlineStr">
        <is>
          <t>0.274 SOL</t>
        </is>
      </c>
      <c r="G196" s="23" t="inlineStr">
        <is>
          <t>-0.727 SOL</t>
        </is>
      </c>
      <c r="H196" s="23" t="inlineStr">
        <is>
          <t>-72.63%</t>
        </is>
      </c>
      <c r="I196" s="17" t="inlineStr">
        <is>
          <t>N/A</t>
        </is>
      </c>
      <c r="J196" s="17" t="n">
        <v>1</v>
      </c>
      <c r="K196" s="17" t="n">
        <v>1</v>
      </c>
      <c r="L196" s="17" t="inlineStr">
        <is>
          <t>19.10.2024 01:17:10</t>
        </is>
      </c>
      <c r="M196" s="17" t="inlineStr">
        <is>
          <t>43 min</t>
        </is>
      </c>
      <c r="N196" s="17" t="inlineStr">
        <is>
          <t xml:space="preserve">        344K           105K             8K</t>
        </is>
      </c>
      <c r="O196" s="17" t="inlineStr">
        <is>
          <t>5SGt7iwPqxLYrsQiCcUpN3NASstzpsjwAutuPV2Tpump</t>
        </is>
      </c>
      <c r="P196" s="17">
        <f>HYPERLINK("https://dexscreener.com/solana/5SGt7iwPqxLYrsQiCcUpN3NASstzpsjwAutuPV2Tpump", "View")</f>
        <v/>
      </c>
    </row>
    <row r="197">
      <c r="A197" s="20" t="inlineStr">
        <is>
          <t>STAR</t>
        </is>
      </c>
      <c r="B197" s="21" t="n">
        <v>554726</v>
      </c>
      <c r="C197" s="21" t="n">
        <v>499253</v>
      </c>
      <c r="D197" s="21" t="inlineStr">
        <is>
          <t>0.001110</t>
        </is>
      </c>
      <c r="E197" s="21" t="inlineStr">
        <is>
          <t>1.000 SOL</t>
        </is>
      </c>
      <c r="F197" s="21" t="inlineStr">
        <is>
          <t>0.227 SOL</t>
        </is>
      </c>
      <c r="G197" s="23" t="inlineStr">
        <is>
          <t>-0.774 SOL</t>
        </is>
      </c>
      <c r="H197" s="23" t="inlineStr">
        <is>
          <t>-77.35%</t>
        </is>
      </c>
      <c r="I197" s="21" t="inlineStr">
        <is>
          <t>N/A</t>
        </is>
      </c>
      <c r="J197" s="21" t="n">
        <v>1</v>
      </c>
      <c r="K197" s="21" t="n">
        <v>1</v>
      </c>
      <c r="L197" s="21" t="inlineStr">
        <is>
          <t>19.10.2024 01:04:09</t>
        </is>
      </c>
      <c r="M197" s="21" t="inlineStr">
        <is>
          <t>3 hours</t>
        </is>
      </c>
      <c r="N197" s="21" t="inlineStr">
        <is>
          <t xml:space="preserve">        316K           316K             6K</t>
        </is>
      </c>
      <c r="O197" s="21" t="inlineStr">
        <is>
          <t>6cLLXCTW48EdneJKWhc7vzE4VB3XMcJVEjsocQRHpump</t>
        </is>
      </c>
      <c r="P197" s="21">
        <f>HYPERLINK("https://dexscreener.com/solana/6cLLXCTW48EdneJKWhc7vzE4VB3XMcJVEjsocQRHpump", "View")</f>
        <v/>
      </c>
    </row>
    <row r="198">
      <c r="A198" s="16" t="inlineStr">
        <is>
          <t>Taylor</t>
        </is>
      </c>
      <c r="B198" s="17" t="n">
        <v>1029907</v>
      </c>
      <c r="C198" s="17" t="n">
        <v>914324</v>
      </c>
      <c r="D198" s="17" t="inlineStr">
        <is>
          <t>0.002620</t>
        </is>
      </c>
      <c r="E198" s="17" t="inlineStr">
        <is>
          <t>1.000 SOL</t>
        </is>
      </c>
      <c r="F198" s="17" t="inlineStr">
        <is>
          <t>8.329 SOL</t>
        </is>
      </c>
      <c r="G198" s="24" t="inlineStr">
        <is>
          <t>7.326 SOL</t>
        </is>
      </c>
      <c r="H198" s="24" t="inlineStr">
        <is>
          <t>730.71%</t>
        </is>
      </c>
      <c r="I198" s="17" t="inlineStr">
        <is>
          <t>N/A</t>
        </is>
      </c>
      <c r="J198" s="17" t="n">
        <v>1</v>
      </c>
      <c r="K198" s="17" t="n">
        <v>4</v>
      </c>
      <c r="L198" s="17" t="inlineStr">
        <is>
          <t>19.10.2024 01:02:24</t>
        </is>
      </c>
      <c r="M198" s="17" t="inlineStr">
        <is>
          <t>2 days</t>
        </is>
      </c>
      <c r="N198" s="17" t="inlineStr">
        <is>
          <t xml:space="preserve">        170K           170K            52K</t>
        </is>
      </c>
      <c r="O198" s="17" t="inlineStr">
        <is>
          <t>umgcPr2uQHzmCerCu6kSPBiaUdMWZewRRQmQ54Apump</t>
        </is>
      </c>
      <c r="P198" s="17">
        <f>HYPERLINK("https://dexscreener.com/solana/umgcPr2uQHzmCerCu6kSPBiaUdMWZewRRQmQ54Apump", "View")</f>
        <v/>
      </c>
    </row>
    <row r="199">
      <c r="A199" s="20" t="inlineStr">
        <is>
          <t>AUTER</t>
        </is>
      </c>
      <c r="B199" s="21" t="n">
        <v>143791</v>
      </c>
      <c r="C199" s="21" t="n">
        <v>0</v>
      </c>
      <c r="D199" s="21" t="inlineStr">
        <is>
          <t>0.000600</t>
        </is>
      </c>
      <c r="E199" s="21" t="inlineStr">
        <is>
          <t>1.000 SOL</t>
        </is>
      </c>
      <c r="F199" s="21" t="inlineStr">
        <is>
          <t>0.000 SOL</t>
        </is>
      </c>
      <c r="G199" s="18" t="inlineStr">
        <is>
          <t>-1.001 SOL</t>
        </is>
      </c>
      <c r="H199" s="18" t="inlineStr">
        <is>
          <t>0.00%</t>
        </is>
      </c>
      <c r="I199" s="21" t="inlineStr">
        <is>
          <t>143,791</t>
        </is>
      </c>
      <c r="J199" s="21" t="n">
        <v>1</v>
      </c>
      <c r="K199" s="21" t="n">
        <v>0</v>
      </c>
      <c r="L199" s="21" t="inlineStr">
        <is>
          <t>19.10.2024 00:48:20</t>
        </is>
      </c>
      <c r="M199" s="19" t="inlineStr">
        <is>
          <t>0 sec</t>
        </is>
      </c>
      <c r="N199" s="21" t="inlineStr">
        <is>
          <t xml:space="preserve">          1M             1M            14K</t>
        </is>
      </c>
      <c r="O199" s="21" t="inlineStr">
        <is>
          <t>NmpfpJ7s7UBA4dLbrHVe8utkZqGjCEf2w552uZ5pump</t>
        </is>
      </c>
      <c r="P199" s="21">
        <f>HYPERLINK("https://dexscreener.com/solana/NmpfpJ7s7UBA4dLbrHVe8utkZqGjCEf2w552uZ5pump", "View")</f>
        <v/>
      </c>
    </row>
    <row r="200">
      <c r="A200" s="16" t="inlineStr">
        <is>
          <t>YOBBY</t>
        </is>
      </c>
      <c r="B200" s="17" t="n">
        <v>1522399</v>
      </c>
      <c r="C200" s="17" t="n">
        <v>1370158</v>
      </c>
      <c r="D200" s="17" t="inlineStr">
        <is>
          <t>0.001110</t>
        </is>
      </c>
      <c r="E200" s="17" t="inlineStr">
        <is>
          <t>1.000 SOL</t>
        </is>
      </c>
      <c r="F200" s="17" t="inlineStr">
        <is>
          <t>0.172 SOL</t>
        </is>
      </c>
      <c r="G200" s="23" t="inlineStr">
        <is>
          <t>-0.829 SOL</t>
        </is>
      </c>
      <c r="H200" s="23" t="inlineStr">
        <is>
          <t>-82.85%</t>
        </is>
      </c>
      <c r="I200" s="17" t="inlineStr">
        <is>
          <t>N/A</t>
        </is>
      </c>
      <c r="J200" s="17" t="n">
        <v>1</v>
      </c>
      <c r="K200" s="17" t="n">
        <v>1</v>
      </c>
      <c r="L200" s="17" t="inlineStr">
        <is>
          <t>19.10.2024 00:44:16</t>
        </is>
      </c>
      <c r="M200" s="17" t="inlineStr">
        <is>
          <t>1 hours</t>
        </is>
      </c>
      <c r="N200" s="17" t="inlineStr">
        <is>
          <t xml:space="preserve">        116K           116K             5K</t>
        </is>
      </c>
      <c r="O200" s="17" t="inlineStr">
        <is>
          <t>BEEDc4Stve62qB8zNad6kkEdEHFVB44xAEVQpvypump</t>
        </is>
      </c>
      <c r="P200" s="17">
        <f>HYPERLINK("https://dexscreener.com/solana/BEEDc4Stve62qB8zNad6kkEdEHFVB44xAEVQpvypump", "View")</f>
        <v/>
      </c>
    </row>
    <row r="201">
      <c r="A201" s="20" t="inlineStr">
        <is>
          <t>NEURAL</t>
        </is>
      </c>
      <c r="B201" s="21" t="n">
        <v>3043383</v>
      </c>
      <c r="C201" s="21" t="n">
        <v>2739044</v>
      </c>
      <c r="D201" s="21" t="inlineStr">
        <is>
          <t>0.001110</t>
        </is>
      </c>
      <c r="E201" s="21" t="inlineStr">
        <is>
          <t>1.000 SOL</t>
        </is>
      </c>
      <c r="F201" s="21" t="inlineStr">
        <is>
          <t>0.183 SOL</t>
        </is>
      </c>
      <c r="G201" s="23" t="inlineStr">
        <is>
          <t>-0.818 SOL</t>
        </is>
      </c>
      <c r="H201" s="23" t="inlineStr">
        <is>
          <t>-81.68%</t>
        </is>
      </c>
      <c r="I201" s="21" t="inlineStr">
        <is>
          <t>N/A</t>
        </is>
      </c>
      <c r="J201" s="21" t="n">
        <v>1</v>
      </c>
      <c r="K201" s="21" t="n">
        <v>1</v>
      </c>
      <c r="L201" s="21" t="inlineStr">
        <is>
          <t>18.10.2024 22:16:15</t>
        </is>
      </c>
      <c r="M201" s="21" t="inlineStr">
        <is>
          <t>33 min</t>
        </is>
      </c>
      <c r="N201" s="21" t="inlineStr">
        <is>
          <t xml:space="preserve">         58K            12K             4K</t>
        </is>
      </c>
      <c r="O201" s="21" t="inlineStr">
        <is>
          <t>ErRwWvxh6iEszet5ahmypjRTcQHyX4GDn7zGEukMpump</t>
        </is>
      </c>
      <c r="P201" s="21">
        <f>HYPERLINK("https://dexscreener.com/solana/ErRwWvxh6iEszet5ahmypjRTcQHyX4GDn7zGEukMpump", "View")</f>
        <v/>
      </c>
    </row>
    <row r="202">
      <c r="A202" s="16" t="inlineStr">
        <is>
          <t>SOS</t>
        </is>
      </c>
      <c r="B202" s="17" t="n">
        <v>380379</v>
      </c>
      <c r="C202" s="17" t="n">
        <v>342340</v>
      </c>
      <c r="D202" s="17" t="inlineStr">
        <is>
          <t>0.001110</t>
        </is>
      </c>
      <c r="E202" s="17" t="inlineStr">
        <is>
          <t>1.000 SOL</t>
        </is>
      </c>
      <c r="F202" s="17" t="inlineStr">
        <is>
          <t>0.010 SOL</t>
        </is>
      </c>
      <c r="G202" s="23" t="inlineStr">
        <is>
          <t>-0.992 SOL</t>
        </is>
      </c>
      <c r="H202" s="23" t="inlineStr">
        <is>
          <t>-99.04%</t>
        </is>
      </c>
      <c r="I202" s="17" t="inlineStr">
        <is>
          <t>N/A</t>
        </is>
      </c>
      <c r="J202" s="17" t="n">
        <v>1</v>
      </c>
      <c r="K202" s="17" t="n">
        <v>1</v>
      </c>
      <c r="L202" s="17" t="inlineStr">
        <is>
          <t>18.10.2024 22:05:12</t>
        </is>
      </c>
      <c r="M202" s="17" t="inlineStr">
        <is>
          <t>49 min</t>
        </is>
      </c>
      <c r="N202" s="17" t="inlineStr">
        <is>
          <t xml:space="preserve">        462K           462K             5K</t>
        </is>
      </c>
      <c r="O202" s="17" t="inlineStr">
        <is>
          <t>7J5rZx7BpMWmrVhUAMAHs28DBn7GxSYZZ6dMnLXjpump</t>
        </is>
      </c>
      <c r="P202" s="17">
        <f>HYPERLINK("https://dexscreener.com/solana/7J5rZx7BpMWmrVhUAMAHs28DBn7GxSYZZ6dMnLXjpump", "View")</f>
        <v/>
      </c>
    </row>
    <row r="203">
      <c r="A203" s="20" t="inlineStr">
        <is>
          <t>🤰</t>
        </is>
      </c>
      <c r="B203" s="21" t="n">
        <v>2492285</v>
      </c>
      <c r="C203" s="21" t="n">
        <v>0</v>
      </c>
      <c r="D203" s="21" t="inlineStr">
        <is>
          <t>0.000600</t>
        </is>
      </c>
      <c r="E203" s="21" t="inlineStr">
        <is>
          <t>1.000 SOL</t>
        </is>
      </c>
      <c r="F203" s="21" t="inlineStr">
        <is>
          <t>0.000 SOL</t>
        </is>
      </c>
      <c r="G203" s="18" t="inlineStr">
        <is>
          <t>-1.001 SOL</t>
        </is>
      </c>
      <c r="H203" s="18" t="inlineStr">
        <is>
          <t>0.00%</t>
        </is>
      </c>
      <c r="I203" s="21" t="inlineStr">
        <is>
          <t>2,492,285</t>
        </is>
      </c>
      <c r="J203" s="21" t="n">
        <v>1</v>
      </c>
      <c r="K203" s="21" t="n">
        <v>0</v>
      </c>
      <c r="L203" s="21" t="inlineStr">
        <is>
          <t>18.10.2024 21:54:36</t>
        </is>
      </c>
      <c r="M203" s="19" t="inlineStr">
        <is>
          <t>0 sec</t>
        </is>
      </c>
      <c r="N203" s="21" t="inlineStr">
        <is>
          <t xml:space="preserve">         70K            70K            14K</t>
        </is>
      </c>
      <c r="O203" s="21" t="inlineStr">
        <is>
          <t>BqudbvgHFdeTvPCv9Y1G9TGKwgrskP4izfkv5SFpump</t>
        </is>
      </c>
      <c r="P203" s="21">
        <f>HYPERLINK("https://dexscreener.com/solana/BqudbvgHFdeTvPCv9Y1G9TGKwgrskP4izfkv5SFpump", "View")</f>
        <v/>
      </c>
    </row>
    <row r="204">
      <c r="A204" s="16" t="inlineStr">
        <is>
          <t>ivy</t>
        </is>
      </c>
      <c r="B204" s="17" t="n">
        <v>1364899</v>
      </c>
      <c r="C204" s="17" t="n">
        <v>0</v>
      </c>
      <c r="D204" s="17" t="inlineStr">
        <is>
          <t>0.000600</t>
        </is>
      </c>
      <c r="E204" s="17" t="inlineStr">
        <is>
          <t>1.000 SOL</t>
        </is>
      </c>
      <c r="F204" s="17" t="inlineStr">
        <is>
          <t>0.000 SOL</t>
        </is>
      </c>
      <c r="G204" s="18" t="inlineStr">
        <is>
          <t>-1.001 SOL</t>
        </is>
      </c>
      <c r="H204" s="18" t="inlineStr">
        <is>
          <t>0.00%</t>
        </is>
      </c>
      <c r="I204" s="17" t="inlineStr">
        <is>
          <t>1,364,899</t>
        </is>
      </c>
      <c r="J204" s="17" t="n">
        <v>1</v>
      </c>
      <c r="K204" s="17" t="n">
        <v>0</v>
      </c>
      <c r="L204" s="17" t="inlineStr">
        <is>
          <t>18.10.2024 21:24:21</t>
        </is>
      </c>
      <c r="M204" s="19" t="inlineStr">
        <is>
          <t>0 sec</t>
        </is>
      </c>
      <c r="N204" s="17" t="inlineStr">
        <is>
          <t xml:space="preserve">        128K           128K             5K</t>
        </is>
      </c>
      <c r="O204" s="17" t="inlineStr">
        <is>
          <t>6URDrfkefQRVyNuvjA5R2Z24jQ8eE9MesKVZb73qpump</t>
        </is>
      </c>
      <c r="P204" s="17">
        <f>HYPERLINK("https://dexscreener.com/solana/6URDrfkefQRVyNuvjA5R2Z24jQ8eE9MesKVZb73qpump", "View")</f>
        <v/>
      </c>
    </row>
    <row r="205">
      <c r="A205" s="20" t="inlineStr">
        <is>
          <t>bees</t>
        </is>
      </c>
      <c r="B205" s="21" t="n">
        <v>377091</v>
      </c>
      <c r="C205" s="21" t="n">
        <v>339382</v>
      </c>
      <c r="D205" s="21" t="inlineStr">
        <is>
          <t>0.001110</t>
        </is>
      </c>
      <c r="E205" s="21" t="inlineStr">
        <is>
          <t>1.000 SOL</t>
        </is>
      </c>
      <c r="F205" s="21" t="inlineStr">
        <is>
          <t>0.246 SOL</t>
        </is>
      </c>
      <c r="G205" s="23" t="inlineStr">
        <is>
          <t>-0.756 SOL</t>
        </is>
      </c>
      <c r="H205" s="23" t="inlineStr">
        <is>
          <t>-75.47%</t>
        </is>
      </c>
      <c r="I205" s="21" t="inlineStr">
        <is>
          <t>N/A</t>
        </is>
      </c>
      <c r="J205" s="21" t="n">
        <v>1</v>
      </c>
      <c r="K205" s="21" t="n">
        <v>1</v>
      </c>
      <c r="L205" s="21" t="inlineStr">
        <is>
          <t>18.10.2024 19:13:16</t>
        </is>
      </c>
      <c r="M205" s="21" t="inlineStr">
        <is>
          <t>6 min</t>
        </is>
      </c>
      <c r="N205" s="21" t="inlineStr">
        <is>
          <t xml:space="preserve">        465K           465K            11K</t>
        </is>
      </c>
      <c r="O205" s="21" t="inlineStr">
        <is>
          <t>DCrPFBDZBVdVaiu98Jr9woaPRT5BUqZwSNr9Chdgpump</t>
        </is>
      </c>
      <c r="P205" s="21">
        <f>HYPERLINK("https://dexscreener.com/solana/DCrPFBDZBVdVaiu98Jr9woaPRT5BUqZwSNr9Chdgpump", "View")</f>
        <v/>
      </c>
    </row>
    <row r="206">
      <c r="A206" s="16" t="inlineStr">
        <is>
          <t>NORVID</t>
        </is>
      </c>
      <c r="B206" s="17" t="n">
        <v>2850548</v>
      </c>
      <c r="C206" s="17" t="n">
        <v>0</v>
      </c>
      <c r="D206" s="17" t="inlineStr">
        <is>
          <t>0.000600</t>
        </is>
      </c>
      <c r="E206" s="17" t="inlineStr">
        <is>
          <t>1.000 SOL</t>
        </is>
      </c>
      <c r="F206" s="17" t="inlineStr">
        <is>
          <t>0.000 SOL</t>
        </is>
      </c>
      <c r="G206" s="18" t="inlineStr">
        <is>
          <t>-1.001 SOL</t>
        </is>
      </c>
      <c r="H206" s="18" t="inlineStr">
        <is>
          <t>0.00%</t>
        </is>
      </c>
      <c r="I206" s="17" t="inlineStr">
        <is>
          <t>2,850,548</t>
        </is>
      </c>
      <c r="J206" s="17" t="n">
        <v>1</v>
      </c>
      <c r="K206" s="17" t="n">
        <v>0</v>
      </c>
      <c r="L206" s="17" t="inlineStr">
        <is>
          <t>18.10.2024 18:22:09</t>
        </is>
      </c>
      <c r="M206" s="19" t="inlineStr">
        <is>
          <t>0 sec</t>
        </is>
      </c>
      <c r="N206" s="17" t="inlineStr">
        <is>
          <t xml:space="preserve">         61K            61K             9K</t>
        </is>
      </c>
      <c r="O206" s="17" t="inlineStr">
        <is>
          <t>5bMiFxQUwqex6d4QEQB5LJfEK8B3fV1DVr7PADnupump</t>
        </is>
      </c>
      <c r="P206" s="17">
        <f>HYPERLINK("https://dexscreener.com/solana/5bMiFxQUwqex6d4QEQB5LJfEK8B3fV1DVr7PADnupump", "View")</f>
        <v/>
      </c>
    </row>
    <row r="207">
      <c r="A207" s="20" t="inlineStr">
        <is>
          <t>$Waifu</t>
        </is>
      </c>
      <c r="B207" s="21" t="n">
        <v>1239636</v>
      </c>
      <c r="C207" s="21" t="n">
        <v>1135816</v>
      </c>
      <c r="D207" s="21" t="inlineStr">
        <is>
          <t>0.007030</t>
        </is>
      </c>
      <c r="E207" s="21" t="inlineStr">
        <is>
          <t>0.998 SOL</t>
        </is>
      </c>
      <c r="F207" s="21" t="inlineStr">
        <is>
          <t>7.151 SOL</t>
        </is>
      </c>
      <c r="G207" s="24" t="inlineStr">
        <is>
          <t>6.146 SOL</t>
        </is>
      </c>
      <c r="H207" s="24" t="inlineStr">
        <is>
          <t>611.56%</t>
        </is>
      </c>
      <c r="I207" s="21" t="inlineStr">
        <is>
          <t>N/A</t>
        </is>
      </c>
      <c r="J207" s="21" t="n">
        <v>1</v>
      </c>
      <c r="K207" s="21" t="n">
        <v>4</v>
      </c>
      <c r="L207" s="21" t="inlineStr">
        <is>
          <t>18.10.2024 16:20:42</t>
        </is>
      </c>
      <c r="M207" s="21" t="inlineStr">
        <is>
          <t>3 days</t>
        </is>
      </c>
      <c r="N207" s="21" t="inlineStr">
        <is>
          <t xml:space="preserve">        142K           142K           109K</t>
        </is>
      </c>
      <c r="O207" s="21" t="inlineStr">
        <is>
          <t>3gqBzYggchmzxCBq5v4BGT4TfmZcm8agsaRqv8bkpump</t>
        </is>
      </c>
      <c r="P207" s="21">
        <f>HYPERLINK("https://dexscreener.com/solana/3gqBzYggchmzxCBq5v4BGT4TfmZcm8agsaRqv8bkpump", "View")</f>
        <v/>
      </c>
    </row>
    <row r="208">
      <c r="A208" s="16" t="inlineStr">
        <is>
          <t>BUNNY</t>
        </is>
      </c>
      <c r="B208" s="17" t="n">
        <v>50999</v>
      </c>
      <c r="C208" s="17" t="n">
        <v>45899</v>
      </c>
      <c r="D208" s="17" t="inlineStr">
        <is>
          <t>0.001110</t>
        </is>
      </c>
      <c r="E208" s="17" t="inlineStr">
        <is>
          <t>1.000 SOL</t>
        </is>
      </c>
      <c r="F208" s="17" t="inlineStr">
        <is>
          <t>0.182 SOL</t>
        </is>
      </c>
      <c r="G208" s="23" t="inlineStr">
        <is>
          <t>-0.819 SOL</t>
        </is>
      </c>
      <c r="H208" s="23" t="inlineStr">
        <is>
          <t>-81.80%</t>
        </is>
      </c>
      <c r="I208" s="17" t="inlineStr">
        <is>
          <t>N/A</t>
        </is>
      </c>
      <c r="J208" s="17" t="n">
        <v>1</v>
      </c>
      <c r="K208" s="17" t="n">
        <v>1</v>
      </c>
      <c r="L208" s="17" t="inlineStr">
        <is>
          <t>18.10.2024 15:58:25</t>
        </is>
      </c>
      <c r="M208" s="17" t="inlineStr">
        <is>
          <t>1 hours</t>
        </is>
      </c>
      <c r="N208" s="17" t="inlineStr">
        <is>
          <t xml:space="preserve">         34K            34K             2K</t>
        </is>
      </c>
      <c r="O208" s="17" t="inlineStr">
        <is>
          <t>6B5ukkLoUPqoXoz7UMD9jJUFazU7neSwgrkEK7LfvvGh</t>
        </is>
      </c>
      <c r="P208" s="17">
        <f>HYPERLINK("https://dexscreener.com/solana/6B5ukkLoUPqoXoz7UMD9jJUFazU7neSwgrkEK7LfvvGh", "View")</f>
        <v/>
      </c>
    </row>
    <row r="209">
      <c r="A209" s="20" t="inlineStr">
        <is>
          <t>exOS</t>
        </is>
      </c>
      <c r="B209" s="21" t="n">
        <v>3074153</v>
      </c>
      <c r="C209" s="21" t="n">
        <v>2766738</v>
      </c>
      <c r="D209" s="21" t="inlineStr">
        <is>
          <t>0.001110</t>
        </is>
      </c>
      <c r="E209" s="21" t="inlineStr">
        <is>
          <t>1.000 SOL</t>
        </is>
      </c>
      <c r="F209" s="21" t="inlineStr">
        <is>
          <t>0.197 SOL</t>
        </is>
      </c>
      <c r="G209" s="23" t="inlineStr">
        <is>
          <t>-0.804 SOL</t>
        </is>
      </c>
      <c r="H209" s="23" t="inlineStr">
        <is>
          <t>-80.32%</t>
        </is>
      </c>
      <c r="I209" s="21" t="inlineStr">
        <is>
          <t>N/A</t>
        </is>
      </c>
      <c r="J209" s="21" t="n">
        <v>1</v>
      </c>
      <c r="K209" s="21" t="n">
        <v>1</v>
      </c>
      <c r="L209" s="21" t="inlineStr">
        <is>
          <t>18.10.2024 14:04:24</t>
        </is>
      </c>
      <c r="M209" s="21" t="inlineStr">
        <is>
          <t>9 min</t>
        </is>
      </c>
      <c r="N209" s="21" t="inlineStr">
        <is>
          <t xml:space="preserve">         58K            12K             6K</t>
        </is>
      </c>
      <c r="O209" s="21" t="inlineStr">
        <is>
          <t>vG552RpYUsGyo5C8B1NewkTgnjQCTE2vSyFaLgkpump</t>
        </is>
      </c>
      <c r="P209" s="21">
        <f>HYPERLINK("https://dexscreener.com/solana/vG552RpYUsGyo5C8B1NewkTgnjQCTE2vSyFaLgkpump", "View")</f>
        <v/>
      </c>
    </row>
    <row r="210">
      <c r="A210" s="16" t="inlineStr">
        <is>
          <t>KABOSU</t>
        </is>
      </c>
      <c r="B210" s="17" t="n">
        <v>3676</v>
      </c>
      <c r="C210" s="17" t="n">
        <v>1212</v>
      </c>
      <c r="D210" s="17" t="inlineStr">
        <is>
          <t>0.001110</t>
        </is>
      </c>
      <c r="E210" s="17" t="inlineStr">
        <is>
          <t>1.000 SOL</t>
        </is>
      </c>
      <c r="F210" s="17" t="inlineStr">
        <is>
          <t>1.189 SOL</t>
        </is>
      </c>
      <c r="G210" s="22" t="inlineStr">
        <is>
          <t>0.188 SOL</t>
        </is>
      </c>
      <c r="H210" s="22" t="inlineStr">
        <is>
          <t>18.75%</t>
        </is>
      </c>
      <c r="I210" s="17" t="inlineStr">
        <is>
          <t>N/A</t>
        </is>
      </c>
      <c r="J210" s="17" t="n">
        <v>1</v>
      </c>
      <c r="K210" s="17" t="n">
        <v>1</v>
      </c>
      <c r="L210" s="17" t="inlineStr">
        <is>
          <t>18.10.2024 12:23:09</t>
        </is>
      </c>
      <c r="M210" s="17" t="inlineStr">
        <is>
          <t>15 hours</t>
        </is>
      </c>
      <c r="N210" s="17" t="inlineStr">
        <is>
          <t xml:space="preserve">        472K           472K            30K</t>
        </is>
      </c>
      <c r="O210" s="17" t="inlineStr">
        <is>
          <t>92EcDYWSA9YRhtmPWzUFqPyzDfkjF7AkF8AxVJt5LXYM</t>
        </is>
      </c>
      <c r="P210" s="17">
        <f>HYPERLINK("https://dexscreener.com/solana/92EcDYWSA9YRhtmPWzUFqPyzDfkjF7AkF8AxVJt5LXYM", "View")</f>
        <v/>
      </c>
    </row>
    <row r="211">
      <c r="A211" s="20" t="inlineStr">
        <is>
          <t>SYDNEY</t>
        </is>
      </c>
      <c r="B211" s="21" t="n">
        <v>77658</v>
      </c>
      <c r="C211" s="21" t="n">
        <v>42797</v>
      </c>
      <c r="D211" s="21" t="inlineStr">
        <is>
          <t>0.001610</t>
        </is>
      </c>
      <c r="E211" s="21" t="inlineStr">
        <is>
          <t>1.000 SOL</t>
        </is>
      </c>
      <c r="F211" s="21" t="inlineStr">
        <is>
          <t>2.597 SOL</t>
        </is>
      </c>
      <c r="G211" s="24" t="inlineStr">
        <is>
          <t>1.595 SOL</t>
        </is>
      </c>
      <c r="H211" s="24" t="inlineStr">
        <is>
          <t>159.29%</t>
        </is>
      </c>
      <c r="I211" s="21" t="inlineStr">
        <is>
          <t>N/A</t>
        </is>
      </c>
      <c r="J211" s="21" t="n">
        <v>1</v>
      </c>
      <c r="K211" s="21" t="n">
        <v>2</v>
      </c>
      <c r="L211" s="21" t="inlineStr">
        <is>
          <t>18.10.2024 12:20:19</t>
        </is>
      </c>
      <c r="M211" s="21" t="inlineStr">
        <is>
          <t>22 hours</t>
        </is>
      </c>
      <c r="N211" s="21" t="inlineStr">
        <is>
          <t xml:space="preserve">          2M             2M           290K</t>
        </is>
      </c>
      <c r="O211" s="21" t="inlineStr">
        <is>
          <t>CUzSRjBvqFFq45mg6j9oyQrDxyUTHEKM2xqKzDkZpump</t>
        </is>
      </c>
      <c r="P211" s="21">
        <f>HYPERLINK("https://dexscreener.com/solana/CUzSRjBvqFFq45mg6j9oyQrDxyUTHEKM2xqKzDkZpump", "View")</f>
        <v/>
      </c>
    </row>
    <row r="212">
      <c r="A212" s="16" t="inlineStr">
        <is>
          <t>TLOT</t>
        </is>
      </c>
      <c r="B212" s="17" t="n">
        <v>2060138</v>
      </c>
      <c r="C212" s="17" t="n">
        <v>1854124</v>
      </c>
      <c r="D212" s="17" t="inlineStr">
        <is>
          <t>0.001110</t>
        </is>
      </c>
      <c r="E212" s="17" t="inlineStr">
        <is>
          <t>1.000 SOL</t>
        </is>
      </c>
      <c r="F212" s="17" t="inlineStr">
        <is>
          <t>0.334 SOL</t>
        </is>
      </c>
      <c r="G212" s="23" t="inlineStr">
        <is>
          <t>-0.668 SOL</t>
        </is>
      </c>
      <c r="H212" s="23" t="inlineStr">
        <is>
          <t>-66.68%</t>
        </is>
      </c>
      <c r="I212" s="17" t="inlineStr">
        <is>
          <t>N/A</t>
        </is>
      </c>
      <c r="J212" s="17" t="n">
        <v>1</v>
      </c>
      <c r="K212" s="17" t="n">
        <v>1</v>
      </c>
      <c r="L212" s="17" t="inlineStr">
        <is>
          <t>18.10.2024 11:43:12</t>
        </is>
      </c>
      <c r="M212" s="17" t="inlineStr">
        <is>
          <t>33 min</t>
        </is>
      </c>
      <c r="N212" s="17" t="inlineStr">
        <is>
          <t xml:space="preserve">         86K            86K             5K</t>
        </is>
      </c>
      <c r="O212" s="17" t="inlineStr">
        <is>
          <t>9qd7AxTtsZSXi86j1BKENFhoA3fPFs8gU89Stu3ipump</t>
        </is>
      </c>
      <c r="P212" s="17">
        <f>HYPERLINK("https://dexscreener.com/solana/9qd7AxTtsZSXi86j1BKENFhoA3fPFs8gU89Stu3ipump", "View")</f>
        <v/>
      </c>
    </row>
    <row r="213">
      <c r="A213" s="20" t="inlineStr">
        <is>
          <t>Pierre</t>
        </is>
      </c>
      <c r="B213" s="21" t="n">
        <v>3453135</v>
      </c>
      <c r="C213" s="21" t="n">
        <v>0</v>
      </c>
      <c r="D213" s="21" t="inlineStr">
        <is>
          <t>0.000600</t>
        </is>
      </c>
      <c r="E213" s="21" t="inlineStr">
        <is>
          <t>1.000 SOL</t>
        </is>
      </c>
      <c r="F213" s="21" t="inlineStr">
        <is>
          <t>0.000 SOL</t>
        </is>
      </c>
      <c r="G213" s="18" t="inlineStr">
        <is>
          <t>-1.001 SOL</t>
        </is>
      </c>
      <c r="H213" s="18" t="inlineStr">
        <is>
          <t>0.00%</t>
        </is>
      </c>
      <c r="I213" s="21" t="inlineStr">
        <is>
          <t>3,453,135</t>
        </is>
      </c>
      <c r="J213" s="21" t="n">
        <v>1</v>
      </c>
      <c r="K213" s="21" t="n">
        <v>0</v>
      </c>
      <c r="L213" s="21" t="inlineStr">
        <is>
          <t>18.10.2024 11:12:23</t>
        </is>
      </c>
      <c r="M213" s="19" t="inlineStr">
        <is>
          <t>0 sec</t>
        </is>
      </c>
      <c r="N213" s="21" t="inlineStr">
        <is>
          <t xml:space="preserve">         51K            51K             5K</t>
        </is>
      </c>
      <c r="O213" s="21" t="inlineStr">
        <is>
          <t>Hmq5xGFTZsP7xpP4XseV7yy6xW7dJNzeaX1oBiZ9pump</t>
        </is>
      </c>
      <c r="P213" s="21">
        <f>HYPERLINK("https://dexscreener.com/solana/Hmq5xGFTZsP7xpP4XseV7yy6xW7dJNzeaX1oBiZ9pump", "View")</f>
        <v/>
      </c>
    </row>
    <row r="214">
      <c r="A214" s="16" t="inlineStr">
        <is>
          <t>cat</t>
        </is>
      </c>
      <c r="B214" s="17" t="n">
        <v>1066277</v>
      </c>
      <c r="C214" s="17" t="n">
        <v>0</v>
      </c>
      <c r="D214" s="17" t="inlineStr">
        <is>
          <t>0.000600</t>
        </is>
      </c>
      <c r="E214" s="17" t="inlineStr">
        <is>
          <t>1.000 SOL</t>
        </is>
      </c>
      <c r="F214" s="17" t="inlineStr">
        <is>
          <t>0.000 SOL</t>
        </is>
      </c>
      <c r="G214" s="18" t="inlineStr">
        <is>
          <t>-1.001 SOL</t>
        </is>
      </c>
      <c r="H214" s="18" t="inlineStr">
        <is>
          <t>0.00%</t>
        </is>
      </c>
      <c r="I214" s="17" t="inlineStr">
        <is>
          <t>1,066,277</t>
        </is>
      </c>
      <c r="J214" s="17" t="n">
        <v>1</v>
      </c>
      <c r="K214" s="17" t="n">
        <v>0</v>
      </c>
      <c r="L214" s="17" t="inlineStr">
        <is>
          <t>18.10.2024 09:33:23</t>
        </is>
      </c>
      <c r="M214" s="19" t="inlineStr">
        <is>
          <t>0 sec</t>
        </is>
      </c>
      <c r="N214" s="17" t="inlineStr">
        <is>
          <t xml:space="preserve">        165K           165K             6K</t>
        </is>
      </c>
      <c r="O214" s="17" t="inlineStr">
        <is>
          <t>Ft2DavuS1ctcUV3cBJWB1BvD6v1zjjXMJD16VRBEpump</t>
        </is>
      </c>
      <c r="P214" s="17">
        <f>HYPERLINK("https://dexscreener.com/solana/Ft2DavuS1ctcUV3cBJWB1BvD6v1zjjXMJD16VRBEpump", "View")</f>
        <v/>
      </c>
    </row>
    <row r="215">
      <c r="A215" s="20" t="inlineStr">
        <is>
          <t>Remilia</t>
        </is>
      </c>
      <c r="B215" s="21" t="n">
        <v>495139</v>
      </c>
      <c r="C215" s="21" t="n">
        <v>384004</v>
      </c>
      <c r="D215" s="21" t="inlineStr">
        <is>
          <t>0.002120</t>
        </is>
      </c>
      <c r="E215" s="21" t="inlineStr">
        <is>
          <t>1.000 SOL</t>
        </is>
      </c>
      <c r="F215" s="21" t="inlineStr">
        <is>
          <t>9.956 SOL</t>
        </is>
      </c>
      <c r="G215" s="24" t="inlineStr">
        <is>
          <t>8.954 SOL</t>
        </is>
      </c>
      <c r="H215" s="24" t="inlineStr">
        <is>
          <t>893.54%</t>
        </is>
      </c>
      <c r="I215" s="21" t="inlineStr">
        <is>
          <t>N/A</t>
        </is>
      </c>
      <c r="J215" s="21" t="n">
        <v>1</v>
      </c>
      <c r="K215" s="21" t="n">
        <v>3</v>
      </c>
      <c r="L215" s="21" t="inlineStr">
        <is>
          <t>18.10.2024 04:19:45</t>
        </is>
      </c>
      <c r="M215" s="21" t="inlineStr">
        <is>
          <t>1 days</t>
        </is>
      </c>
      <c r="N215" s="21" t="inlineStr">
        <is>
          <t xml:space="preserve">        355K           355K           618K</t>
        </is>
      </c>
      <c r="O215" s="21" t="inlineStr">
        <is>
          <t>8wZvGcGePvWEa8tKQUYctMXFSkqS39scozVU9xBVrUjY</t>
        </is>
      </c>
      <c r="P215" s="21">
        <f>HYPERLINK("https://dexscreener.com/solana/8wZvGcGePvWEa8tKQUYctMXFSkqS39scozVU9xBVrUjY", "View")</f>
        <v/>
      </c>
    </row>
    <row r="216">
      <c r="A216" s="16" t="inlineStr">
        <is>
          <t>WYAD</t>
        </is>
      </c>
      <c r="B216" s="17" t="n">
        <v>6751026</v>
      </c>
      <c r="C216" s="17" t="n">
        <v>0</v>
      </c>
      <c r="D216" s="17" t="inlineStr">
        <is>
          <t>0.000600</t>
        </is>
      </c>
      <c r="E216" s="17" t="inlineStr">
        <is>
          <t>1.000 SOL</t>
        </is>
      </c>
      <c r="F216" s="17" t="inlineStr">
        <is>
          <t>0.000 SOL</t>
        </is>
      </c>
      <c r="G216" s="18" t="inlineStr">
        <is>
          <t>-1.001 SOL</t>
        </is>
      </c>
      <c r="H216" s="18" t="inlineStr">
        <is>
          <t>0.00%</t>
        </is>
      </c>
      <c r="I216" s="17" t="inlineStr">
        <is>
          <t>6,751,026</t>
        </is>
      </c>
      <c r="J216" s="17" t="n">
        <v>1</v>
      </c>
      <c r="K216" s="17" t="n">
        <v>0</v>
      </c>
      <c r="L216" s="17" t="inlineStr">
        <is>
          <t>18.10.2024 02:39:23</t>
        </is>
      </c>
      <c r="M216" s="19" t="inlineStr">
        <is>
          <t>0 sec</t>
        </is>
      </c>
      <c r="N216" s="17" t="inlineStr">
        <is>
          <t xml:space="preserve">         26K            26K             5K</t>
        </is>
      </c>
      <c r="O216" s="17" t="inlineStr">
        <is>
          <t>bAD7tmAHY6Tv9BvDdyFEHWDNHGpHkoQ4zepno3Ypump</t>
        </is>
      </c>
      <c r="P216" s="17">
        <f>HYPERLINK("https://dexscreener.com/solana/bAD7tmAHY6Tv9BvDdyFEHWDNHGpHkoQ4zepno3Ypump", "View")</f>
        <v/>
      </c>
    </row>
    <row r="217">
      <c r="A217" s="20" t="inlineStr">
        <is>
          <t>XENO</t>
        </is>
      </c>
      <c r="B217" s="21" t="n">
        <v>2852948</v>
      </c>
      <c r="C217" s="21" t="n">
        <v>0</v>
      </c>
      <c r="D217" s="21" t="inlineStr">
        <is>
          <t>0.000600</t>
        </is>
      </c>
      <c r="E217" s="21" t="inlineStr">
        <is>
          <t>1.000 SOL</t>
        </is>
      </c>
      <c r="F217" s="21" t="inlineStr">
        <is>
          <t>0.000 SOL</t>
        </is>
      </c>
      <c r="G217" s="18" t="inlineStr">
        <is>
          <t>-1.001 SOL</t>
        </is>
      </c>
      <c r="H217" s="18" t="inlineStr">
        <is>
          <t>0.00%</t>
        </is>
      </c>
      <c r="I217" s="21" t="inlineStr">
        <is>
          <t>2,852,948</t>
        </is>
      </c>
      <c r="J217" s="21" t="n">
        <v>1</v>
      </c>
      <c r="K217" s="21" t="n">
        <v>0</v>
      </c>
      <c r="L217" s="21" t="inlineStr">
        <is>
          <t>17.10.2024 20:57:26</t>
        </is>
      </c>
      <c r="M217" s="19" t="inlineStr">
        <is>
          <t>0 sec</t>
        </is>
      </c>
      <c r="N217" s="21" t="inlineStr">
        <is>
          <t xml:space="preserve">         61K            61K             7K</t>
        </is>
      </c>
      <c r="O217" s="21" t="inlineStr">
        <is>
          <t>8Xx9WENxx63nnAYURytFEz7E1RSoccAgnX6dJPZrpump</t>
        </is>
      </c>
      <c r="P217" s="21">
        <f>HYPERLINK("https://dexscreener.com/solana/8Xx9WENxx63nnAYURytFEz7E1RSoccAgnX6dJPZrpump", "View")</f>
        <v/>
      </c>
    </row>
    <row r="218">
      <c r="A218" s="16" t="inlineStr">
        <is>
          <t>Tilly</t>
        </is>
      </c>
      <c r="B218" s="17" t="n">
        <v>1644255</v>
      </c>
      <c r="C218" s="17" t="n">
        <v>1233191</v>
      </c>
      <c r="D218" s="17" t="inlineStr">
        <is>
          <t>0.001210</t>
        </is>
      </c>
      <c r="E218" s="17" t="inlineStr">
        <is>
          <t>1.000 SOL</t>
        </is>
      </c>
      <c r="F218" s="17" t="inlineStr">
        <is>
          <t>13.059 SOL</t>
        </is>
      </c>
      <c r="G218" s="24" t="inlineStr">
        <is>
          <t>12.058 SOL</t>
        </is>
      </c>
      <c r="H218" s="24" t="inlineStr">
        <is>
          <t>1204.36%</t>
        </is>
      </c>
      <c r="I218" s="17" t="inlineStr">
        <is>
          <t>N/A</t>
        </is>
      </c>
      <c r="J218" s="17" t="n">
        <v>1</v>
      </c>
      <c r="K218" s="17" t="n">
        <v>2</v>
      </c>
      <c r="L218" s="17" t="inlineStr">
        <is>
          <t>17.10.2024 17:10:32</t>
        </is>
      </c>
      <c r="M218" s="17" t="inlineStr">
        <is>
          <t>1 days</t>
        </is>
      </c>
      <c r="N218" s="17" t="inlineStr">
        <is>
          <t xml:space="preserve">        107K           107K           198K</t>
        </is>
      </c>
      <c r="O218" s="17" t="inlineStr">
        <is>
          <t>HuiVprCHCucHUb5bX6EXFJd7wuwvdASFzzge4ahXpump</t>
        </is>
      </c>
      <c r="P218" s="17">
        <f>HYPERLINK("https://dexscreener.com/solana/HuiVprCHCucHUb5bX6EXFJd7wuwvdASFzzge4ahXpump", "View")</f>
        <v/>
      </c>
    </row>
    <row r="219">
      <c r="A219" s="20" t="inlineStr">
        <is>
          <t>ARLO</t>
        </is>
      </c>
      <c r="B219" s="21" t="n">
        <v>885585</v>
      </c>
      <c r="C219" s="21" t="n">
        <v>0</v>
      </c>
      <c r="D219" s="21" t="inlineStr">
        <is>
          <t>0.000600</t>
        </is>
      </c>
      <c r="E219" s="21" t="inlineStr">
        <is>
          <t>1.000 SOL</t>
        </is>
      </c>
      <c r="F219" s="21" t="inlineStr">
        <is>
          <t>0.000 SOL</t>
        </is>
      </c>
      <c r="G219" s="18" t="inlineStr">
        <is>
          <t>-1.001 SOL</t>
        </is>
      </c>
      <c r="H219" s="18" t="inlineStr">
        <is>
          <t>0.00%</t>
        </is>
      </c>
      <c r="I219" s="21" t="inlineStr">
        <is>
          <t>885,585</t>
        </is>
      </c>
      <c r="J219" s="21" t="n">
        <v>1</v>
      </c>
      <c r="K219" s="21" t="n">
        <v>0</v>
      </c>
      <c r="L219" s="21" t="inlineStr">
        <is>
          <t>17.10.2024 17:00:42</t>
        </is>
      </c>
      <c r="M219" s="19" t="inlineStr">
        <is>
          <t>0 sec</t>
        </is>
      </c>
      <c r="N219" s="21" t="inlineStr">
        <is>
          <t xml:space="preserve">        198K           198K             8K</t>
        </is>
      </c>
      <c r="O219" s="21" t="inlineStr">
        <is>
          <t>DB3M5ggNLurVeSezKKJb68wEZrnodcPN4jCCFoBdcKG7</t>
        </is>
      </c>
      <c r="P219" s="21">
        <f>HYPERLINK("https://dexscreener.com/solana/DB3M5ggNLurVeSezKKJb68wEZrnodcPN4jCCFoBdcKG7", "View")</f>
        <v/>
      </c>
    </row>
    <row r="220">
      <c r="A220" s="16" t="inlineStr">
        <is>
          <t>BELUGA</t>
        </is>
      </c>
      <c r="B220" s="17" t="n">
        <v>385563</v>
      </c>
      <c r="C220" s="17" t="n">
        <v>0</v>
      </c>
      <c r="D220" s="17" t="inlineStr">
        <is>
          <t>0.000600</t>
        </is>
      </c>
      <c r="E220" s="17" t="inlineStr">
        <is>
          <t>1.000 SOL</t>
        </is>
      </c>
      <c r="F220" s="17" t="inlineStr">
        <is>
          <t>0.000 SOL</t>
        </is>
      </c>
      <c r="G220" s="18" t="inlineStr">
        <is>
          <t>-1.001 SOL</t>
        </is>
      </c>
      <c r="H220" s="18" t="inlineStr">
        <is>
          <t>0.00%</t>
        </is>
      </c>
      <c r="I220" s="17" t="inlineStr">
        <is>
          <t>385,563</t>
        </is>
      </c>
      <c r="J220" s="17" t="n">
        <v>1</v>
      </c>
      <c r="K220" s="17" t="n">
        <v>0</v>
      </c>
      <c r="L220" s="17" t="inlineStr">
        <is>
          <t>17.10.2024 16:24:24</t>
        </is>
      </c>
      <c r="M220" s="19" t="inlineStr">
        <is>
          <t>0 sec</t>
        </is>
      </c>
      <c r="N220" s="17" t="inlineStr">
        <is>
          <t xml:space="preserve">        409K           409K             8K</t>
        </is>
      </c>
      <c r="O220" s="17" t="inlineStr">
        <is>
          <t>EcLwiJG3tvraFRG798JaUADgHcCn5zSVreHqxssUPCHd</t>
        </is>
      </c>
      <c r="P220" s="17">
        <f>HYPERLINK("https://dexscreener.com/solana/EcLwiJG3tvraFRG798JaUADgHcCn5zSVreHqxssUPCHd", "View")</f>
        <v/>
      </c>
    </row>
    <row r="221">
      <c r="A221" s="20" t="inlineStr">
        <is>
          <t>PWENG</t>
        </is>
      </c>
      <c r="B221" s="21" t="n">
        <v>458445</v>
      </c>
      <c r="C221" s="21" t="n">
        <v>0</v>
      </c>
      <c r="D221" s="21" t="inlineStr">
        <is>
          <t>0.000600</t>
        </is>
      </c>
      <c r="E221" s="21" t="inlineStr">
        <is>
          <t>1.000 SOL</t>
        </is>
      </c>
      <c r="F221" s="21" t="inlineStr">
        <is>
          <t>0.000 SOL</t>
        </is>
      </c>
      <c r="G221" s="18" t="inlineStr">
        <is>
          <t>-1.001 SOL</t>
        </is>
      </c>
      <c r="H221" s="18" t="inlineStr">
        <is>
          <t>0.00%</t>
        </is>
      </c>
      <c r="I221" s="21" t="inlineStr">
        <is>
          <t>458,445</t>
        </is>
      </c>
      <c r="J221" s="21" t="n">
        <v>1</v>
      </c>
      <c r="K221" s="21" t="n">
        <v>0</v>
      </c>
      <c r="L221" s="21" t="inlineStr">
        <is>
          <t>17.10.2024 14:12:36</t>
        </is>
      </c>
      <c r="M221" s="19" t="inlineStr">
        <is>
          <t>0 sec</t>
        </is>
      </c>
      <c r="N221" s="21" t="inlineStr">
        <is>
          <t xml:space="preserve">        382K           382K            29K</t>
        </is>
      </c>
      <c r="O221" s="21" t="inlineStr">
        <is>
          <t>BwFLAzM1syXYCN7AjgAcHWvtsUzKjsyFGm7osxgXpump</t>
        </is>
      </c>
      <c r="P221" s="21">
        <f>HYPERLINK("https://dexscreener.com/solana/BwFLAzM1syXYCN7AjgAcHWvtsUzKjsyFGm7osxgXpump", "View")</f>
        <v/>
      </c>
    </row>
    <row r="222">
      <c r="A222" s="16" t="inlineStr">
        <is>
          <t>visionary</t>
        </is>
      </c>
      <c r="B222" s="17" t="n">
        <v>2578729</v>
      </c>
      <c r="C222" s="17" t="n">
        <v>0</v>
      </c>
      <c r="D222" s="17" t="inlineStr">
        <is>
          <t>0.000600</t>
        </is>
      </c>
      <c r="E222" s="17" t="inlineStr">
        <is>
          <t>1.000 SOL</t>
        </is>
      </c>
      <c r="F222" s="17" t="inlineStr">
        <is>
          <t>0.000 SOL</t>
        </is>
      </c>
      <c r="G222" s="18" t="inlineStr">
        <is>
          <t>-1.001 SOL</t>
        </is>
      </c>
      <c r="H222" s="18" t="inlineStr">
        <is>
          <t>0.00%</t>
        </is>
      </c>
      <c r="I222" s="17" t="inlineStr">
        <is>
          <t>2,578,729</t>
        </is>
      </c>
      <c r="J222" s="17" t="n">
        <v>1</v>
      </c>
      <c r="K222" s="17" t="n">
        <v>0</v>
      </c>
      <c r="L222" s="17" t="inlineStr">
        <is>
          <t>17.10.2024 13:06:22</t>
        </is>
      </c>
      <c r="M222" s="19" t="inlineStr">
        <is>
          <t>0 sec</t>
        </is>
      </c>
      <c r="N222" s="17" t="inlineStr">
        <is>
          <t xml:space="preserve">         68K            68K             5K</t>
        </is>
      </c>
      <c r="O222" s="17" t="inlineStr">
        <is>
          <t>HpHBvmVd9kaH1Pbowdtd2NvV22YrLHN4gdaXsWcrpump</t>
        </is>
      </c>
      <c r="P222" s="17">
        <f>HYPERLINK("https://dexscreener.com/solana/HpHBvmVd9kaH1Pbowdtd2NvV22YrLHN4gdaXsWcrpump", "View")</f>
        <v/>
      </c>
    </row>
    <row r="223">
      <c r="A223" s="20" t="inlineStr">
        <is>
          <t>DOGEAI</t>
        </is>
      </c>
      <c r="B223" s="21" t="n">
        <v>10259516</v>
      </c>
      <c r="C223" s="21" t="n">
        <v>0</v>
      </c>
      <c r="D223" s="21" t="inlineStr">
        <is>
          <t>0.000600</t>
        </is>
      </c>
      <c r="E223" s="21" t="inlineStr">
        <is>
          <t>1.000 SOL</t>
        </is>
      </c>
      <c r="F223" s="21" t="inlineStr">
        <is>
          <t>0.000 SOL</t>
        </is>
      </c>
      <c r="G223" s="18" t="inlineStr">
        <is>
          <t>-1.001 SOL</t>
        </is>
      </c>
      <c r="H223" s="18" t="inlineStr">
        <is>
          <t>0.00%</t>
        </is>
      </c>
      <c r="I223" s="21" t="inlineStr">
        <is>
          <t>10,259,516</t>
        </is>
      </c>
      <c r="J223" s="21" t="n">
        <v>1</v>
      </c>
      <c r="K223" s="21" t="n">
        <v>0</v>
      </c>
      <c r="L223" s="21" t="inlineStr">
        <is>
          <t>17.10.2024 09:15:31</t>
        </is>
      </c>
      <c r="M223" s="19" t="inlineStr">
        <is>
          <t>0 sec</t>
        </is>
      </c>
      <c r="N223" s="21" t="inlineStr">
        <is>
          <t xml:space="preserve">         18K            18K             2K</t>
        </is>
      </c>
      <c r="O223" s="21" t="inlineStr">
        <is>
          <t>2q6rHzSoFjX5vaSVZZpwF6my5kRqKzuS4Fq6KepsVw5X</t>
        </is>
      </c>
      <c r="P223" s="21">
        <f>HYPERLINK("https://dexscreener.com/solana/2q6rHzSoFjX5vaSVZZpwF6my5kRqKzuS4Fq6KepsVw5X", "View")</f>
        <v/>
      </c>
    </row>
    <row r="224">
      <c r="A224" s="16" t="inlineStr">
        <is>
          <t>PRIMATE</t>
        </is>
      </c>
      <c r="B224" s="17" t="n">
        <v>346213</v>
      </c>
      <c r="C224" s="17" t="n">
        <v>0</v>
      </c>
      <c r="D224" s="17" t="inlineStr">
        <is>
          <t>0.000600</t>
        </is>
      </c>
      <c r="E224" s="17" t="inlineStr">
        <is>
          <t>1.000 SOL</t>
        </is>
      </c>
      <c r="F224" s="17" t="inlineStr">
        <is>
          <t>0.000 SOL</t>
        </is>
      </c>
      <c r="G224" s="18" t="inlineStr">
        <is>
          <t>-1.001 SOL</t>
        </is>
      </c>
      <c r="H224" s="18" t="inlineStr">
        <is>
          <t>0.00%</t>
        </is>
      </c>
      <c r="I224" s="17" t="inlineStr">
        <is>
          <t>346,213</t>
        </is>
      </c>
      <c r="J224" s="17" t="n">
        <v>1</v>
      </c>
      <c r="K224" s="17" t="n">
        <v>0</v>
      </c>
      <c r="L224" s="17" t="inlineStr">
        <is>
          <t>17.10.2024 05:57:23</t>
        </is>
      </c>
      <c r="M224" s="19" t="inlineStr">
        <is>
          <t>0 sec</t>
        </is>
      </c>
      <c r="N224" s="17" t="inlineStr">
        <is>
          <t xml:space="preserve">        508K           508K            21K</t>
        </is>
      </c>
      <c r="O224" s="17" t="inlineStr">
        <is>
          <t>AoXEBwwGfwHxjQmBKKTADYLQXRPm8MRBKbaSEyzppump</t>
        </is>
      </c>
      <c r="P224" s="17">
        <f>HYPERLINK("https://dexscreener.com/solana/AoXEBwwGfwHxjQmBKKTADYLQXRPm8MRBKbaSEyzppump", "View")</f>
        <v/>
      </c>
    </row>
    <row r="225">
      <c r="A225" s="20" t="inlineStr">
        <is>
          <t>FOREST</t>
        </is>
      </c>
      <c r="B225" s="21" t="n">
        <v>2939764</v>
      </c>
      <c r="C225" s="21" t="n">
        <v>0</v>
      </c>
      <c r="D225" s="21" t="inlineStr">
        <is>
          <t>0.000600</t>
        </is>
      </c>
      <c r="E225" s="21" t="inlineStr">
        <is>
          <t>1.000 SOL</t>
        </is>
      </c>
      <c r="F225" s="21" t="inlineStr">
        <is>
          <t>0.000 SOL</t>
        </is>
      </c>
      <c r="G225" s="18" t="inlineStr">
        <is>
          <t>-1.001 SOL</t>
        </is>
      </c>
      <c r="H225" s="18" t="inlineStr">
        <is>
          <t>0.00%</t>
        </is>
      </c>
      <c r="I225" s="21" t="inlineStr">
        <is>
          <t>2,939,764</t>
        </is>
      </c>
      <c r="J225" s="21" t="n">
        <v>1</v>
      </c>
      <c r="K225" s="21" t="n">
        <v>0</v>
      </c>
      <c r="L225" s="21" t="inlineStr">
        <is>
          <t>17.10.2024 02:09:21</t>
        </is>
      </c>
      <c r="M225" s="19" t="inlineStr">
        <is>
          <t>0 sec</t>
        </is>
      </c>
      <c r="N225" s="21" t="inlineStr">
        <is>
          <t xml:space="preserve">         60K            60K             6K</t>
        </is>
      </c>
      <c r="O225" s="21" t="inlineStr">
        <is>
          <t>3EGgCWdws6XBbR5Xd4wwsm9V4Xe4Zbmgf2uBG4rnpump</t>
        </is>
      </c>
      <c r="P225" s="21">
        <f>HYPERLINK("https://dexscreener.com/solana/3EGgCWdws6XBbR5Xd4wwsm9V4Xe4Zbmgf2uBG4rnpump", "View")</f>
        <v/>
      </c>
    </row>
    <row r="226">
      <c r="A226" s="16" t="inlineStr">
        <is>
          <t>luna</t>
        </is>
      </c>
      <c r="B226" s="17" t="n">
        <v>1242459</v>
      </c>
      <c r="C226" s="17" t="n">
        <v>621229</v>
      </c>
      <c r="D226" s="17" t="inlineStr">
        <is>
          <t>0.001110</t>
        </is>
      </c>
      <c r="E226" s="17" t="inlineStr">
        <is>
          <t>1.000 SOL</t>
        </is>
      </c>
      <c r="F226" s="17" t="inlineStr">
        <is>
          <t>0.801 SOL</t>
        </is>
      </c>
      <c r="G226" s="25" t="inlineStr">
        <is>
          <t>-0.200 SOL</t>
        </is>
      </c>
      <c r="H226" s="25" t="inlineStr">
        <is>
          <t>-20.01%</t>
        </is>
      </c>
      <c r="I226" s="17" t="inlineStr">
        <is>
          <t>N/A</t>
        </is>
      </c>
      <c r="J226" s="17" t="n">
        <v>1</v>
      </c>
      <c r="K226" s="17" t="n">
        <v>1</v>
      </c>
      <c r="L226" s="17" t="inlineStr">
        <is>
          <t>17.10.2024 01:32:33</t>
        </is>
      </c>
      <c r="M226" s="17" t="inlineStr">
        <is>
          <t>1 days</t>
        </is>
      </c>
      <c r="N226" s="17" t="inlineStr">
        <is>
          <t xml:space="preserve">        140K           140K            14K</t>
        </is>
      </c>
      <c r="O226" s="17" t="inlineStr">
        <is>
          <t>5cvA4oDAWVErN7cV2hen6We5pZ2hWEAzuLw9TSKbpump</t>
        </is>
      </c>
      <c r="P226" s="17">
        <f>HYPERLINK("https://dexscreener.com/solana/5cvA4oDAWVErN7cV2hen6We5pZ2hWEAzuLw9TSKbpump", "View")</f>
        <v/>
      </c>
    </row>
    <row r="227">
      <c r="A227" s="20" t="inlineStr">
        <is>
          <t>CLIMP</t>
        </is>
      </c>
      <c r="B227" s="21" t="n">
        <v>1117661</v>
      </c>
      <c r="C227" s="21" t="n">
        <v>838245</v>
      </c>
      <c r="D227" s="21" t="inlineStr">
        <is>
          <t>0.001610</t>
        </is>
      </c>
      <c r="E227" s="21" t="inlineStr">
        <is>
          <t>1.000 SOL</t>
        </is>
      </c>
      <c r="F227" s="21" t="inlineStr">
        <is>
          <t>4.492 SOL</t>
        </is>
      </c>
      <c r="G227" s="24" t="inlineStr">
        <is>
          <t>3.490 SOL</t>
        </is>
      </c>
      <c r="H227" s="24" t="inlineStr">
        <is>
          <t>348.44%</t>
        </is>
      </c>
      <c r="I227" s="21" t="inlineStr">
        <is>
          <t>N/A</t>
        </is>
      </c>
      <c r="J227" s="21" t="n">
        <v>1</v>
      </c>
      <c r="K227" s="21" t="n">
        <v>2</v>
      </c>
      <c r="L227" s="21" t="inlineStr">
        <is>
          <t>17.10.2024 01:32:22</t>
        </is>
      </c>
      <c r="M227" s="21" t="inlineStr">
        <is>
          <t>17 hours</t>
        </is>
      </c>
      <c r="N227" s="21" t="inlineStr">
        <is>
          <t xml:space="preserve">        156K           156K            86K</t>
        </is>
      </c>
      <c r="O227" s="21" t="inlineStr">
        <is>
          <t>GQaDVLoi9xe2eQcKqC5c11vRxJWu5askVty1dmzmoy8k</t>
        </is>
      </c>
      <c r="P227" s="21">
        <f>HYPERLINK("https://dexscreener.com/solana/GQaDVLoi9xe2eQcKqC5c11vRxJWu5askVty1dmzmoy8k", "View")</f>
        <v/>
      </c>
    </row>
    <row r="228">
      <c r="A228" s="16" t="inlineStr">
        <is>
          <t>isaac</t>
        </is>
      </c>
      <c r="B228" s="17" t="n">
        <v>1966420</v>
      </c>
      <c r="C228" s="17" t="n">
        <v>983210</v>
      </c>
      <c r="D228" s="17" t="inlineStr">
        <is>
          <t>0.001110</t>
        </is>
      </c>
      <c r="E228" s="17" t="inlineStr">
        <is>
          <t>1.000 SOL</t>
        </is>
      </c>
      <c r="F228" s="17" t="inlineStr">
        <is>
          <t>0.994 SOL</t>
        </is>
      </c>
      <c r="G228" s="25" t="inlineStr">
        <is>
          <t>-0.007 SOL</t>
        </is>
      </c>
      <c r="H228" s="25" t="inlineStr">
        <is>
          <t>-0.68%</t>
        </is>
      </c>
      <c r="I228" s="17" t="inlineStr">
        <is>
          <t>N/A</t>
        </is>
      </c>
      <c r="J228" s="17" t="n">
        <v>1</v>
      </c>
      <c r="K228" s="17" t="n">
        <v>1</v>
      </c>
      <c r="L228" s="17" t="inlineStr">
        <is>
          <t>17.10.2024 01:29:54</t>
        </is>
      </c>
      <c r="M228" s="17" t="inlineStr">
        <is>
          <t>5 hours</t>
        </is>
      </c>
      <c r="N228" s="17" t="inlineStr">
        <is>
          <t xml:space="preserve">         90K            90K            10K</t>
        </is>
      </c>
      <c r="O228" s="17" t="inlineStr">
        <is>
          <t>GTiMaW6FNPLrWNVLYk5KkLApxiHvCwbGr9KdueGypump</t>
        </is>
      </c>
      <c r="P228" s="17">
        <f>HYPERLINK("https://dexscreener.com/solana/GTiMaW6FNPLrWNVLYk5KkLApxiHvCwbGr9KdueGypump", "View")</f>
        <v/>
      </c>
    </row>
    <row r="229">
      <c r="A229" s="20" t="inlineStr">
        <is>
          <t>SOLTARD</t>
        </is>
      </c>
      <c r="B229" s="21" t="n">
        <v>154006</v>
      </c>
      <c r="C229" s="21" t="n">
        <v>0</v>
      </c>
      <c r="D229" s="21" t="inlineStr">
        <is>
          <t>0.000600</t>
        </is>
      </c>
      <c r="E229" s="21" t="inlineStr">
        <is>
          <t>1.000 SOL</t>
        </is>
      </c>
      <c r="F229" s="21" t="inlineStr">
        <is>
          <t>0.000 SOL</t>
        </is>
      </c>
      <c r="G229" s="18" t="inlineStr">
        <is>
          <t>-1.001 SOL</t>
        </is>
      </c>
      <c r="H229" s="18" t="inlineStr">
        <is>
          <t>0.00%</t>
        </is>
      </c>
      <c r="I229" s="21" t="inlineStr">
        <is>
          <t>154,006</t>
        </is>
      </c>
      <c r="J229" s="21" t="n">
        <v>1</v>
      </c>
      <c r="K229" s="21" t="n">
        <v>0</v>
      </c>
      <c r="L229" s="21" t="inlineStr">
        <is>
          <t>17.10.2024 00:03:23</t>
        </is>
      </c>
      <c r="M229" s="19" t="inlineStr">
        <is>
          <t>0 sec</t>
        </is>
      </c>
      <c r="N229" s="21" t="inlineStr">
        <is>
          <t xml:space="preserve">        114K           114K             2K</t>
        </is>
      </c>
      <c r="O229" s="21" t="inlineStr">
        <is>
          <t>67BmfpqPw8Z26FKgiGqVvBi7s2DpHuM5qQjE5RQMzUxW</t>
        </is>
      </c>
      <c r="P229" s="21">
        <f>HYPERLINK("https://dexscreener.com/solana/67BmfpqPw8Z26FKgiGqVvBi7s2DpHuM5qQjE5RQMzUxW", "View")</f>
        <v/>
      </c>
    </row>
    <row r="230">
      <c r="A230" s="16" t="inlineStr">
        <is>
          <t>PUPTOBER</t>
        </is>
      </c>
      <c r="B230" s="17" t="n">
        <v>821693</v>
      </c>
      <c r="C230" s="17" t="n">
        <v>0</v>
      </c>
      <c r="D230" s="17" t="inlineStr">
        <is>
          <t>0.000600</t>
        </is>
      </c>
      <c r="E230" s="17" t="inlineStr">
        <is>
          <t>1.000 SOL</t>
        </is>
      </c>
      <c r="F230" s="17" t="inlineStr">
        <is>
          <t>0.000 SOL</t>
        </is>
      </c>
      <c r="G230" s="18" t="inlineStr">
        <is>
          <t>-1.001 SOL</t>
        </is>
      </c>
      <c r="H230" s="18" t="inlineStr">
        <is>
          <t>0.00%</t>
        </is>
      </c>
      <c r="I230" s="17" t="inlineStr">
        <is>
          <t>821,693</t>
        </is>
      </c>
      <c r="J230" s="17" t="n">
        <v>1</v>
      </c>
      <c r="K230" s="17" t="n">
        <v>0</v>
      </c>
      <c r="L230" s="17" t="inlineStr">
        <is>
          <t>16.10.2024 23:36:29</t>
        </is>
      </c>
      <c r="M230" s="19" t="inlineStr">
        <is>
          <t>0 sec</t>
        </is>
      </c>
      <c r="N230" s="17" t="inlineStr">
        <is>
          <t xml:space="preserve">        214K           214K             4K</t>
        </is>
      </c>
      <c r="O230" s="17" t="inlineStr">
        <is>
          <t>XrD13DAb5gYfgUMcHXbXqZqtFQo5XgNRj8jwzeLpump</t>
        </is>
      </c>
      <c r="P230" s="17">
        <f>HYPERLINK("https://dexscreener.com/solana/XrD13DAb5gYfgUMcHXbXqZqtFQo5XgNRj8jwzeLpump", "View")</f>
        <v/>
      </c>
    </row>
    <row r="231">
      <c r="A231" s="20" t="inlineStr">
        <is>
          <t>Payne</t>
        </is>
      </c>
      <c r="B231" s="21" t="n">
        <v>1034449</v>
      </c>
      <c r="C231" s="21" t="n">
        <v>0</v>
      </c>
      <c r="D231" s="21" t="inlineStr">
        <is>
          <t>0.000600</t>
        </is>
      </c>
      <c r="E231" s="21" t="inlineStr">
        <is>
          <t>1.000 SOL</t>
        </is>
      </c>
      <c r="F231" s="21" t="inlineStr">
        <is>
          <t>0.000 SOL</t>
        </is>
      </c>
      <c r="G231" s="18" t="inlineStr">
        <is>
          <t>-1.001 SOL</t>
        </is>
      </c>
      <c r="H231" s="18" t="inlineStr">
        <is>
          <t>0.00%</t>
        </is>
      </c>
      <c r="I231" s="21" t="inlineStr">
        <is>
          <t>1,034,449</t>
        </is>
      </c>
      <c r="J231" s="21" t="n">
        <v>1</v>
      </c>
      <c r="K231" s="21" t="n">
        <v>0</v>
      </c>
      <c r="L231" s="21" t="inlineStr">
        <is>
          <t>16.10.2024 22:45:27</t>
        </is>
      </c>
      <c r="M231" s="19" t="inlineStr">
        <is>
          <t>0 sec</t>
        </is>
      </c>
      <c r="N231" s="21" t="inlineStr">
        <is>
          <t xml:space="preserve">        170K           170K             5K</t>
        </is>
      </c>
      <c r="O231" s="21" t="inlineStr">
        <is>
          <t>HmzD3xcEcc7X8QWXYTyPK6aZnYxAb93tDRdzQEPYY7Hi</t>
        </is>
      </c>
      <c r="P231" s="21">
        <f>HYPERLINK("https://dexscreener.com/solana/HmzD3xcEcc7X8QWXYTyPK6aZnYxAb93tDRdzQEPYY7Hi", "View")</f>
        <v/>
      </c>
    </row>
    <row r="232">
      <c r="A232" s="16" t="inlineStr">
        <is>
          <t>HORSEBIZ</t>
        </is>
      </c>
      <c r="B232" s="17" t="n">
        <v>869618</v>
      </c>
      <c r="C232" s="17" t="n">
        <v>0</v>
      </c>
      <c r="D232" s="17" t="inlineStr">
        <is>
          <t>0.000600</t>
        </is>
      </c>
      <c r="E232" s="17" t="inlineStr">
        <is>
          <t>1.000 SOL</t>
        </is>
      </c>
      <c r="F232" s="17" t="inlineStr">
        <is>
          <t>0.000 SOL</t>
        </is>
      </c>
      <c r="G232" s="18" t="inlineStr">
        <is>
          <t>-1.001 SOL</t>
        </is>
      </c>
      <c r="H232" s="18" t="inlineStr">
        <is>
          <t>0.00%</t>
        </is>
      </c>
      <c r="I232" s="17" t="inlineStr">
        <is>
          <t>869,618</t>
        </is>
      </c>
      <c r="J232" s="17" t="n">
        <v>1</v>
      </c>
      <c r="K232" s="17" t="n">
        <v>0</v>
      </c>
      <c r="L232" s="17" t="inlineStr">
        <is>
          <t>16.10.2024 21:15:32</t>
        </is>
      </c>
      <c r="M232" s="19" t="inlineStr">
        <is>
          <t>0 sec</t>
        </is>
      </c>
      <c r="N232" s="17" t="inlineStr">
        <is>
          <t xml:space="preserve">        200K           200K            36K</t>
        </is>
      </c>
      <c r="O232" s="17" t="inlineStr">
        <is>
          <t>5Pbbcu14NJ1QVnVoyUPLeZQFvXunavL4AACFaXLpw47B</t>
        </is>
      </c>
      <c r="P232" s="17">
        <f>HYPERLINK("https://dexscreener.com/solana/5Pbbcu14NJ1QVnVoyUPLeZQFvXunavL4AACFaXLpw47B", "View")</f>
        <v/>
      </c>
    </row>
    <row r="233">
      <c r="A233" s="20" t="inlineStr">
        <is>
          <t>TAIL</t>
        </is>
      </c>
      <c r="B233" s="21" t="n">
        <v>5879</v>
      </c>
      <c r="C233" s="21" t="n">
        <v>0</v>
      </c>
      <c r="D233" s="21" t="inlineStr">
        <is>
          <t>0.000600</t>
        </is>
      </c>
      <c r="E233" s="21" t="inlineStr">
        <is>
          <t>1.000 SOL</t>
        </is>
      </c>
      <c r="F233" s="21" t="inlineStr">
        <is>
          <t>0.000 SOL</t>
        </is>
      </c>
      <c r="G233" s="18" t="inlineStr">
        <is>
          <t>-1.001 SOL</t>
        </is>
      </c>
      <c r="H233" s="18" t="inlineStr">
        <is>
          <t>0.00%</t>
        </is>
      </c>
      <c r="I233" s="21" t="inlineStr">
        <is>
          <t>5,879</t>
        </is>
      </c>
      <c r="J233" s="21" t="n">
        <v>1</v>
      </c>
      <c r="K233" s="21" t="n">
        <v>0</v>
      </c>
      <c r="L233" s="21" t="inlineStr">
        <is>
          <t>16.10.2024 20:57:21</t>
        </is>
      </c>
      <c r="M233" s="19" t="inlineStr">
        <is>
          <t>0 sec</t>
        </is>
      </c>
      <c r="N233" s="21" t="inlineStr">
        <is>
          <t xml:space="preserve">         23M            23M             55</t>
        </is>
      </c>
      <c r="O233" s="21" t="inlineStr">
        <is>
          <t>66hSCYqzkKmRzA1NLXbyLQwcWWgkTi4cT8riSgvPCyV6</t>
        </is>
      </c>
      <c r="P233" s="21">
        <f>HYPERLINK("https://dexscreener.com/solana/66hSCYqzkKmRzA1NLXbyLQwcWWgkTi4cT8riSgvPCyV6", "View")</f>
        <v/>
      </c>
    </row>
    <row r="234">
      <c r="A234" s="16" t="inlineStr">
        <is>
          <t>MSGA</t>
        </is>
      </c>
      <c r="B234" s="17" t="n">
        <v>866530</v>
      </c>
      <c r="C234" s="17" t="n">
        <v>0</v>
      </c>
      <c r="D234" s="17" t="inlineStr">
        <is>
          <t>0.000600</t>
        </is>
      </c>
      <c r="E234" s="17" t="inlineStr">
        <is>
          <t>1.000 SOL</t>
        </is>
      </c>
      <c r="F234" s="17" t="inlineStr">
        <is>
          <t>0.000 SOL</t>
        </is>
      </c>
      <c r="G234" s="18" t="inlineStr">
        <is>
          <t>-1.001 SOL</t>
        </is>
      </c>
      <c r="H234" s="18" t="inlineStr">
        <is>
          <t>0.00%</t>
        </is>
      </c>
      <c r="I234" s="17" t="inlineStr">
        <is>
          <t>866,530</t>
        </is>
      </c>
      <c r="J234" s="17" t="n">
        <v>1</v>
      </c>
      <c r="K234" s="17" t="n">
        <v>0</v>
      </c>
      <c r="L234" s="17" t="inlineStr">
        <is>
          <t>16.10.2024 20:27:30</t>
        </is>
      </c>
      <c r="M234" s="19" t="inlineStr">
        <is>
          <t>0 sec</t>
        </is>
      </c>
      <c r="N234" s="17" t="inlineStr">
        <is>
          <t xml:space="preserve">        202K           202K             3K</t>
        </is>
      </c>
      <c r="O234" s="17" t="inlineStr">
        <is>
          <t>MsgauVazmaYiCa8MLxUoG6owtUCNBgPk5Ntozd6Qawa</t>
        </is>
      </c>
      <c r="P234" s="17">
        <f>HYPERLINK("https://dexscreener.com/solana/MsgauVazmaYiCa8MLxUoG6owtUCNBgPk5Ntozd6Qawa", "View")</f>
        <v/>
      </c>
    </row>
    <row r="235">
      <c r="A235" s="20" t="inlineStr">
        <is>
          <t>CDS</t>
        </is>
      </c>
      <c r="B235" s="21" t="n">
        <v>442164</v>
      </c>
      <c r="C235" s="21" t="n">
        <v>0</v>
      </c>
      <c r="D235" s="21" t="inlineStr">
        <is>
          <t>0.000600</t>
        </is>
      </c>
      <c r="E235" s="21" t="inlineStr">
        <is>
          <t>1.000 SOL</t>
        </is>
      </c>
      <c r="F235" s="21" t="inlineStr">
        <is>
          <t>0.000 SOL</t>
        </is>
      </c>
      <c r="G235" s="18" t="inlineStr">
        <is>
          <t>-1.001 SOL</t>
        </is>
      </c>
      <c r="H235" s="18" t="inlineStr">
        <is>
          <t>0.00%</t>
        </is>
      </c>
      <c r="I235" s="21" t="inlineStr">
        <is>
          <t>442,164</t>
        </is>
      </c>
      <c r="J235" s="21" t="n">
        <v>1</v>
      </c>
      <c r="K235" s="21" t="n">
        <v>0</v>
      </c>
      <c r="L235" s="21" t="inlineStr">
        <is>
          <t>16.10.2024 19:12:23</t>
        </is>
      </c>
      <c r="M235" s="19" t="inlineStr">
        <is>
          <t>0 sec</t>
        </is>
      </c>
      <c r="N235" s="21" t="inlineStr">
        <is>
          <t xml:space="preserve">        397K           397K             6K</t>
        </is>
      </c>
      <c r="O235" s="21" t="inlineStr">
        <is>
          <t>HNZwnNQqoTvnS452UF8BPmRHetu3xvySuQCAEP7npump</t>
        </is>
      </c>
      <c r="P235" s="21">
        <f>HYPERLINK("https://dexscreener.com/solana/HNZwnNQqoTvnS452UF8BPmRHetu3xvySuQCAEP7npump", "View")</f>
        <v/>
      </c>
    </row>
    <row r="236">
      <c r="A236" s="16" t="inlineStr">
        <is>
          <t>CLANKA</t>
        </is>
      </c>
      <c r="B236" s="17" t="n">
        <v>4110509</v>
      </c>
      <c r="C236" s="17" t="n">
        <v>0</v>
      </c>
      <c r="D236" s="17" t="inlineStr">
        <is>
          <t>0.000600</t>
        </is>
      </c>
      <c r="E236" s="17" t="inlineStr">
        <is>
          <t>1.000 SOL</t>
        </is>
      </c>
      <c r="F236" s="17" t="inlineStr">
        <is>
          <t>0.000 SOL</t>
        </is>
      </c>
      <c r="G236" s="18" t="inlineStr">
        <is>
          <t>-1.001 SOL</t>
        </is>
      </c>
      <c r="H236" s="18" t="inlineStr">
        <is>
          <t>0.00%</t>
        </is>
      </c>
      <c r="I236" s="17" t="inlineStr">
        <is>
          <t>4,110,509</t>
        </is>
      </c>
      <c r="J236" s="17" t="n">
        <v>1</v>
      </c>
      <c r="K236" s="17" t="n">
        <v>0</v>
      </c>
      <c r="L236" s="17" t="inlineStr">
        <is>
          <t>16.10.2024 19:03:25</t>
        </is>
      </c>
      <c r="M236" s="19" t="inlineStr">
        <is>
          <t>0 sec</t>
        </is>
      </c>
      <c r="N236" s="17" t="inlineStr">
        <is>
          <t xml:space="preserve">         42K            42K            17K</t>
        </is>
      </c>
      <c r="O236" s="17" t="inlineStr">
        <is>
          <t>E4zf5YrNZJzd5U8L57wqTnCR7ftCasFyGKUMpCTdpump</t>
        </is>
      </c>
      <c r="P236" s="17">
        <f>HYPERLINK("https://dexscreener.com/solana/E4zf5YrNZJzd5U8L57wqTnCR7ftCasFyGKUMpCTdpump", "View")</f>
        <v/>
      </c>
    </row>
    <row r="237">
      <c r="A237" s="20" t="inlineStr">
        <is>
          <t>stinkgen</t>
        </is>
      </c>
      <c r="B237" s="21" t="n">
        <v>994351</v>
      </c>
      <c r="C237" s="21" t="n">
        <v>745762</v>
      </c>
      <c r="D237" s="21" t="inlineStr">
        <is>
          <t>0.001610</t>
        </is>
      </c>
      <c r="E237" s="21" t="inlineStr">
        <is>
          <t>1.000 SOL</t>
        </is>
      </c>
      <c r="F237" s="21" t="inlineStr">
        <is>
          <t>5.803 SOL</t>
        </is>
      </c>
      <c r="G237" s="24" t="inlineStr">
        <is>
          <t>4.801 SOL</t>
        </is>
      </c>
      <c r="H237" s="24" t="inlineStr">
        <is>
          <t>479.37%</t>
        </is>
      </c>
      <c r="I237" s="21" t="inlineStr">
        <is>
          <t>N/A</t>
        </is>
      </c>
      <c r="J237" s="21" t="n">
        <v>1</v>
      </c>
      <c r="K237" s="21" t="n">
        <v>2</v>
      </c>
      <c r="L237" s="21" t="inlineStr">
        <is>
          <t>16.10.2024 18:20:44</t>
        </is>
      </c>
      <c r="M237" s="21" t="inlineStr">
        <is>
          <t>12 hours</t>
        </is>
      </c>
      <c r="N237" s="21" t="inlineStr">
        <is>
          <t xml:space="preserve">        177K           177K            18K</t>
        </is>
      </c>
      <c r="O237" s="21" t="inlineStr">
        <is>
          <t>5PHGgTLR82QS66HGbRrJDr6GxbgNFHLJ4fwJD3rdpump</t>
        </is>
      </c>
      <c r="P237" s="21">
        <f>HYPERLINK("https://dexscreener.com/solana/5PHGgTLR82QS66HGbRrJDr6GxbgNFHLJ4fwJD3rdpump", "View")</f>
        <v/>
      </c>
    </row>
    <row r="238">
      <c r="A238" s="16" t="inlineStr">
        <is>
          <t>$MOBY</t>
        </is>
      </c>
      <c r="B238" s="17" t="n">
        <v>17242</v>
      </c>
      <c r="C238" s="17" t="n">
        <v>0</v>
      </c>
      <c r="D238" s="17" t="inlineStr">
        <is>
          <t>0.000600</t>
        </is>
      </c>
      <c r="E238" s="17" t="inlineStr">
        <is>
          <t>1.000 SOL</t>
        </is>
      </c>
      <c r="F238" s="17" t="inlineStr">
        <is>
          <t>0.000 SOL</t>
        </is>
      </c>
      <c r="G238" s="18" t="inlineStr">
        <is>
          <t>-1.001 SOL</t>
        </is>
      </c>
      <c r="H238" s="18" t="inlineStr">
        <is>
          <t>0.00%</t>
        </is>
      </c>
      <c r="I238" s="17" t="inlineStr">
        <is>
          <t>17,242</t>
        </is>
      </c>
      <c r="J238" s="17" t="n">
        <v>1</v>
      </c>
      <c r="K238" s="17" t="n">
        <v>0</v>
      </c>
      <c r="L238" s="17" t="inlineStr">
        <is>
          <t>16.10.2024 18:03:22</t>
        </is>
      </c>
      <c r="M238" s="19" t="inlineStr">
        <is>
          <t>0 sec</t>
        </is>
      </c>
      <c r="N238" s="17" t="inlineStr">
        <is>
          <t xml:space="preserve">        N/A           N/A           N/A</t>
        </is>
      </c>
      <c r="O238" s="17" t="inlineStr">
        <is>
          <t>D24McsHsXN14EfPKEzFvDm65ujwVYWk5PNWVuJNWzLHe</t>
        </is>
      </c>
      <c r="P238" s="17">
        <f>HYPERLINK("https://dexscreener.com/solana/D24McsHsXN14EfPKEzFvDm65ujwVYWk5PNWVuJNWzLHe", "View")</f>
        <v/>
      </c>
    </row>
    <row r="239">
      <c r="A239" s="20" t="inlineStr">
        <is>
          <t>CHIRPY</t>
        </is>
      </c>
      <c r="B239" s="21" t="n">
        <v>5829</v>
      </c>
      <c r="C239" s="21" t="n">
        <v>0</v>
      </c>
      <c r="D239" s="21" t="inlineStr">
        <is>
          <t>0.000600</t>
        </is>
      </c>
      <c r="E239" s="21" t="inlineStr">
        <is>
          <t>1.000 SOL</t>
        </is>
      </c>
      <c r="F239" s="21" t="inlineStr">
        <is>
          <t>0.000 SOL</t>
        </is>
      </c>
      <c r="G239" s="18" t="inlineStr">
        <is>
          <t>-1.001 SOL</t>
        </is>
      </c>
      <c r="H239" s="18" t="inlineStr">
        <is>
          <t>0.00%</t>
        </is>
      </c>
      <c r="I239" s="21" t="inlineStr">
        <is>
          <t>5,829</t>
        </is>
      </c>
      <c r="J239" s="21" t="n">
        <v>1</v>
      </c>
      <c r="K239" s="21" t="n">
        <v>0</v>
      </c>
      <c r="L239" s="21" t="inlineStr">
        <is>
          <t>16.10.2024 17:46:13</t>
        </is>
      </c>
      <c r="M239" s="19" t="inlineStr">
        <is>
          <t>0 sec</t>
        </is>
      </c>
      <c r="N239" s="21" t="inlineStr">
        <is>
          <t xml:space="preserve">        N/A           N/A           N/A</t>
        </is>
      </c>
      <c r="O239" s="21" t="inlineStr">
        <is>
          <t>EaYfc2165CGCdX73xibTu7xGYhjKJCbs9todS5EtejtH</t>
        </is>
      </c>
      <c r="P239" s="21">
        <f>HYPERLINK("https://dexscreener.com/solana/EaYfc2165CGCdX73xibTu7xGYhjKJCbs9todS5EtejtH", "View")</f>
        <v/>
      </c>
    </row>
    <row r="240">
      <c r="A240" s="16" t="inlineStr">
        <is>
          <t>MVP</t>
        </is>
      </c>
      <c r="B240" s="17" t="n">
        <v>3963828</v>
      </c>
      <c r="C240" s="17" t="n">
        <v>0</v>
      </c>
      <c r="D240" s="17" t="inlineStr">
        <is>
          <t>0.000600</t>
        </is>
      </c>
      <c r="E240" s="17" t="inlineStr">
        <is>
          <t>1.000 SOL</t>
        </is>
      </c>
      <c r="F240" s="17" t="inlineStr">
        <is>
          <t>0.000 SOL</t>
        </is>
      </c>
      <c r="G240" s="18" t="inlineStr">
        <is>
          <t>-1.001 SOL</t>
        </is>
      </c>
      <c r="H240" s="18" t="inlineStr">
        <is>
          <t>0.00%</t>
        </is>
      </c>
      <c r="I240" s="17" t="inlineStr">
        <is>
          <t>3,963,828</t>
        </is>
      </c>
      <c r="J240" s="17" t="n">
        <v>1</v>
      </c>
      <c r="K240" s="17" t="n">
        <v>0</v>
      </c>
      <c r="L240" s="17" t="inlineStr">
        <is>
          <t>16.10.2024 16:45:34</t>
        </is>
      </c>
      <c r="M240" s="19" t="inlineStr">
        <is>
          <t>0 sec</t>
        </is>
      </c>
      <c r="N240" s="17" t="inlineStr">
        <is>
          <t xml:space="preserve">         44K            44K             4K</t>
        </is>
      </c>
      <c r="O240" s="17" t="inlineStr">
        <is>
          <t>FkFj73tdxwR5qVrp2WxaYmEkesEV2sf7KVs4HQjEpump</t>
        </is>
      </c>
      <c r="P240" s="17">
        <f>HYPERLINK("https://dexscreener.com/solana/FkFj73tdxwR5qVrp2WxaYmEkesEV2sf7KVs4HQjEpump", "View")</f>
        <v/>
      </c>
    </row>
    <row r="241">
      <c r="A241" s="20" t="inlineStr">
        <is>
          <t>OI</t>
        </is>
      </c>
      <c r="B241" s="21" t="n">
        <v>2796314</v>
      </c>
      <c r="C241" s="21" t="n">
        <v>0</v>
      </c>
      <c r="D241" s="21" t="inlineStr">
        <is>
          <t>0.000600</t>
        </is>
      </c>
      <c r="E241" s="21" t="inlineStr">
        <is>
          <t>1.000 SOL</t>
        </is>
      </c>
      <c r="F241" s="21" t="inlineStr">
        <is>
          <t>0.000 SOL</t>
        </is>
      </c>
      <c r="G241" s="18" t="inlineStr">
        <is>
          <t>-1.001 SOL</t>
        </is>
      </c>
      <c r="H241" s="18" t="inlineStr">
        <is>
          <t>0.00%</t>
        </is>
      </c>
      <c r="I241" s="21" t="inlineStr">
        <is>
          <t>2,796,314</t>
        </is>
      </c>
      <c r="J241" s="21" t="n">
        <v>1</v>
      </c>
      <c r="K241" s="21" t="n">
        <v>0</v>
      </c>
      <c r="L241" s="21" t="inlineStr">
        <is>
          <t>16.10.2024 15:48:25</t>
        </is>
      </c>
      <c r="M241" s="19" t="inlineStr">
        <is>
          <t>0 sec</t>
        </is>
      </c>
      <c r="N241" s="21" t="inlineStr">
        <is>
          <t xml:space="preserve">         63K            63K             5K</t>
        </is>
      </c>
      <c r="O241" s="21" t="inlineStr">
        <is>
          <t>9jXM5YVmVu6D8DVNo7J2cLFWK1MCCWdS3GpGb2HSpump</t>
        </is>
      </c>
      <c r="P241" s="21">
        <f>HYPERLINK("https://dexscreener.com/solana/9jXM5YVmVu6D8DVNo7J2cLFWK1MCCWdS3GpGb2HSpump", "View")</f>
        <v/>
      </c>
    </row>
    <row r="242">
      <c r="A242" s="16" t="inlineStr">
        <is>
          <t>PEPEAI</t>
        </is>
      </c>
      <c r="B242" s="17" t="n">
        <v>667125</v>
      </c>
      <c r="C242" s="17" t="n">
        <v>0</v>
      </c>
      <c r="D242" s="17" t="inlineStr">
        <is>
          <t>0.000600</t>
        </is>
      </c>
      <c r="E242" s="17" t="inlineStr">
        <is>
          <t>1.000 SOL</t>
        </is>
      </c>
      <c r="F242" s="17" t="inlineStr">
        <is>
          <t>0.000 SOL</t>
        </is>
      </c>
      <c r="G242" s="18" t="inlineStr">
        <is>
          <t>-1.001 SOL</t>
        </is>
      </c>
      <c r="H242" s="18" t="inlineStr">
        <is>
          <t>0.00%</t>
        </is>
      </c>
      <c r="I242" s="17" t="inlineStr">
        <is>
          <t>667,125</t>
        </is>
      </c>
      <c r="J242" s="17" t="n">
        <v>1</v>
      </c>
      <c r="K242" s="17" t="n">
        <v>0</v>
      </c>
      <c r="L242" s="17" t="inlineStr">
        <is>
          <t>16.10.2024 13:48:24</t>
        </is>
      </c>
      <c r="M242" s="19" t="inlineStr">
        <is>
          <t>0 sec</t>
        </is>
      </c>
      <c r="N242" s="17" t="inlineStr">
        <is>
          <t xml:space="preserve">        261K           261K             5K</t>
        </is>
      </c>
      <c r="O242" s="17" t="inlineStr">
        <is>
          <t>qWk29vM8KGYKBnBfgXCjThfzzXf6ry6X874bARRpump</t>
        </is>
      </c>
      <c r="P242" s="17">
        <f>HYPERLINK("https://dexscreener.com/solana/qWk29vM8KGYKBnBfgXCjThfzzXf6ry6X874bARRpump", "View")</f>
        <v/>
      </c>
    </row>
    <row r="243">
      <c r="A243" s="20" t="inlineStr">
        <is>
          <t>PETE</t>
        </is>
      </c>
      <c r="B243" s="21" t="n">
        <v>5131409</v>
      </c>
      <c r="C243" s="21" t="n">
        <v>0</v>
      </c>
      <c r="D243" s="21" t="inlineStr">
        <is>
          <t>0.000600</t>
        </is>
      </c>
      <c r="E243" s="21" t="inlineStr">
        <is>
          <t>1.000 SOL</t>
        </is>
      </c>
      <c r="F243" s="21" t="inlineStr">
        <is>
          <t>0.000 SOL</t>
        </is>
      </c>
      <c r="G243" s="18" t="inlineStr">
        <is>
          <t>-1.001 SOL</t>
        </is>
      </c>
      <c r="H243" s="18" t="inlineStr">
        <is>
          <t>0.00%</t>
        </is>
      </c>
      <c r="I243" s="21" t="inlineStr">
        <is>
          <t>5,131,409</t>
        </is>
      </c>
      <c r="J243" s="21" t="n">
        <v>1</v>
      </c>
      <c r="K243" s="21" t="n">
        <v>0</v>
      </c>
      <c r="L243" s="21" t="inlineStr">
        <is>
          <t>16.10.2024 12:51:22</t>
        </is>
      </c>
      <c r="M243" s="19" t="inlineStr">
        <is>
          <t>0 sec</t>
        </is>
      </c>
      <c r="N243" s="21" t="inlineStr">
        <is>
          <t xml:space="preserve">         33K            33K            10K</t>
        </is>
      </c>
      <c r="O243" s="21" t="inlineStr">
        <is>
          <t>2iHPMyLKDwFjYQP4B9nLNQKjX4bPYCMGy2KuRZMmpump</t>
        </is>
      </c>
      <c r="P243" s="21">
        <f>HYPERLINK("https://dexscreener.com/solana/2iHPMyLKDwFjYQP4B9nLNQKjX4bPYCMGy2KuRZMmpump", "View")</f>
        <v/>
      </c>
    </row>
    <row r="244">
      <c r="A244" s="16" t="inlineStr">
        <is>
          <t>TAYLUR</t>
        </is>
      </c>
      <c r="B244" s="17" t="n">
        <v>3598076</v>
      </c>
      <c r="C244" s="17" t="n">
        <v>0</v>
      </c>
      <c r="D244" s="17" t="inlineStr">
        <is>
          <t>0.000600</t>
        </is>
      </c>
      <c r="E244" s="17" t="inlineStr">
        <is>
          <t>1.000 SOL</t>
        </is>
      </c>
      <c r="F244" s="17" t="inlineStr">
        <is>
          <t>0.000 SOL</t>
        </is>
      </c>
      <c r="G244" s="18" t="inlineStr">
        <is>
          <t>-1.001 SOL</t>
        </is>
      </c>
      <c r="H244" s="18" t="inlineStr">
        <is>
          <t>0.00%</t>
        </is>
      </c>
      <c r="I244" s="17" t="inlineStr">
        <is>
          <t>3,598,076</t>
        </is>
      </c>
      <c r="J244" s="17" t="n">
        <v>1</v>
      </c>
      <c r="K244" s="17" t="n">
        <v>0</v>
      </c>
      <c r="L244" s="17" t="inlineStr">
        <is>
          <t>16.10.2024 10:18:22</t>
        </is>
      </c>
      <c r="M244" s="19" t="inlineStr">
        <is>
          <t>0 sec</t>
        </is>
      </c>
      <c r="N244" s="17" t="inlineStr">
        <is>
          <t xml:space="preserve">         49K            49K             5K</t>
        </is>
      </c>
      <c r="O244" s="17" t="inlineStr">
        <is>
          <t>Dtn3jm4mRQdqEMA6Ub96L7agyniJUMTUdEYgVViBpump</t>
        </is>
      </c>
      <c r="P244" s="17">
        <f>HYPERLINK("https://dexscreener.com/solana/Dtn3jm4mRQdqEMA6Ub96L7agyniJUMTUdEYgVViBpump", "View")</f>
        <v/>
      </c>
    </row>
    <row r="245">
      <c r="A245" s="20" t="inlineStr">
        <is>
          <t>CATAI</t>
        </is>
      </c>
      <c r="B245" s="21" t="n">
        <v>443255</v>
      </c>
      <c r="C245" s="21" t="n">
        <v>0</v>
      </c>
      <c r="D245" s="21" t="inlineStr">
        <is>
          <t>0.000600</t>
        </is>
      </c>
      <c r="E245" s="21" t="inlineStr">
        <is>
          <t>1.000 SOL</t>
        </is>
      </c>
      <c r="F245" s="21" t="inlineStr">
        <is>
          <t>0.000 SOL</t>
        </is>
      </c>
      <c r="G245" s="18" t="inlineStr">
        <is>
          <t>-1.001 SOL</t>
        </is>
      </c>
      <c r="H245" s="18" t="inlineStr">
        <is>
          <t>0.00%</t>
        </is>
      </c>
      <c r="I245" s="21" t="inlineStr">
        <is>
          <t>443,255</t>
        </is>
      </c>
      <c r="J245" s="21" t="n">
        <v>1</v>
      </c>
      <c r="K245" s="21" t="n">
        <v>0</v>
      </c>
      <c r="L245" s="21" t="inlineStr">
        <is>
          <t>16.10.2024 10:06:25</t>
        </is>
      </c>
      <c r="M245" s="19" t="inlineStr">
        <is>
          <t>0 sec</t>
        </is>
      </c>
      <c r="N245" s="21" t="inlineStr">
        <is>
          <t xml:space="preserve">        397K           397K            16K</t>
        </is>
      </c>
      <c r="O245" s="21" t="inlineStr">
        <is>
          <t>2T7TigEJc6pAzy4q7GkDZbhLoigmWUS3dJApg6Ropump</t>
        </is>
      </c>
      <c r="P245" s="21">
        <f>HYPERLINK("https://dexscreener.com/solana/2T7TigEJc6pAzy4q7GkDZbhLoigmWUS3dJApg6Ropump", "View")</f>
        <v/>
      </c>
    </row>
    <row r="246">
      <c r="A246" s="16" t="inlineStr">
        <is>
          <t>SULLIVAN</t>
        </is>
      </c>
      <c r="B246" s="17" t="n">
        <v>3755349</v>
      </c>
      <c r="C246" s="17" t="n">
        <v>0</v>
      </c>
      <c r="D246" s="17" t="inlineStr">
        <is>
          <t>0.000600</t>
        </is>
      </c>
      <c r="E246" s="17" t="inlineStr">
        <is>
          <t>1.000 SOL</t>
        </is>
      </c>
      <c r="F246" s="17" t="inlineStr">
        <is>
          <t>0.000 SOL</t>
        </is>
      </c>
      <c r="G246" s="18" t="inlineStr">
        <is>
          <t>-1.001 SOL</t>
        </is>
      </c>
      <c r="H246" s="18" t="inlineStr">
        <is>
          <t>0.00%</t>
        </is>
      </c>
      <c r="I246" s="17" t="inlineStr">
        <is>
          <t>3,755,349</t>
        </is>
      </c>
      <c r="J246" s="17" t="n">
        <v>1</v>
      </c>
      <c r="K246" s="17" t="n">
        <v>0</v>
      </c>
      <c r="L246" s="17" t="inlineStr">
        <is>
          <t>16.10.2024 09:57:17</t>
        </is>
      </c>
      <c r="M246" s="19" t="inlineStr">
        <is>
          <t>0 sec</t>
        </is>
      </c>
      <c r="N246" s="17" t="inlineStr">
        <is>
          <t xml:space="preserve">         47K            47K             6K</t>
        </is>
      </c>
      <c r="O246" s="17" t="inlineStr">
        <is>
          <t>GbKNJGm5pYLX8Kc3qYmh9cozMNK6wWZwjDiBCaqcpump</t>
        </is>
      </c>
      <c r="P246" s="17">
        <f>HYPERLINK("https://dexscreener.com/solana/GbKNJGm5pYLX8Kc3qYmh9cozMNK6wWZwjDiBCaqcpump", "View")</f>
        <v/>
      </c>
    </row>
    <row r="247">
      <c r="A247" s="20" t="inlineStr">
        <is>
          <t>Taylor</t>
        </is>
      </c>
      <c r="B247" s="21" t="n">
        <v>258355</v>
      </c>
      <c r="C247" s="21" t="n">
        <v>0</v>
      </c>
      <c r="D247" s="21" t="inlineStr">
        <is>
          <t>0.000600</t>
        </is>
      </c>
      <c r="E247" s="21" t="inlineStr">
        <is>
          <t>1.000 SOL</t>
        </is>
      </c>
      <c r="F247" s="21" t="inlineStr">
        <is>
          <t>0.000 SOL</t>
        </is>
      </c>
      <c r="G247" s="18" t="inlineStr">
        <is>
          <t>-1.001 SOL</t>
        </is>
      </c>
      <c r="H247" s="18" t="inlineStr">
        <is>
          <t>0.00%</t>
        </is>
      </c>
      <c r="I247" s="21" t="inlineStr">
        <is>
          <t>258,355</t>
        </is>
      </c>
      <c r="J247" s="21" t="n">
        <v>1</v>
      </c>
      <c r="K247" s="21" t="n">
        <v>0</v>
      </c>
      <c r="L247" s="21" t="inlineStr">
        <is>
          <t>16.10.2024 09:42:28</t>
        </is>
      </c>
      <c r="M247" s="19" t="inlineStr">
        <is>
          <t>0 sec</t>
        </is>
      </c>
      <c r="N247" s="21" t="inlineStr">
        <is>
          <t xml:space="preserve">        N/A           N/A           N/A</t>
        </is>
      </c>
      <c r="O247" s="21" t="inlineStr">
        <is>
          <t>73LsT1ay85UgSvbUB3p9ZDxknB7UaWwATGXcg9rMpump</t>
        </is>
      </c>
      <c r="P247" s="21">
        <f>HYPERLINK("https://dexscreener.com/solana/73LsT1ay85UgSvbUB3p9ZDxknB7UaWwATGXcg9rMpump", "View")</f>
        <v/>
      </c>
    </row>
    <row r="248">
      <c r="A248" s="16" t="inlineStr">
        <is>
          <t>GOAT2</t>
        </is>
      </c>
      <c r="B248" s="17" t="n">
        <v>711469</v>
      </c>
      <c r="C248" s="17" t="n">
        <v>0</v>
      </c>
      <c r="D248" s="17" t="inlineStr">
        <is>
          <t>0.000600</t>
        </is>
      </c>
      <c r="E248" s="17" t="inlineStr">
        <is>
          <t>1.000 SOL</t>
        </is>
      </c>
      <c r="F248" s="17" t="inlineStr">
        <is>
          <t>0.000 SOL</t>
        </is>
      </c>
      <c r="G248" s="18" t="inlineStr">
        <is>
          <t>-1.001 SOL</t>
        </is>
      </c>
      <c r="H248" s="18" t="inlineStr">
        <is>
          <t>0.00%</t>
        </is>
      </c>
      <c r="I248" s="17" t="inlineStr">
        <is>
          <t>711,469</t>
        </is>
      </c>
      <c r="J248" s="17" t="n">
        <v>1</v>
      </c>
      <c r="K248" s="17" t="n">
        <v>0</v>
      </c>
      <c r="L248" s="17" t="inlineStr">
        <is>
          <t>16.10.2024 08:03:32</t>
        </is>
      </c>
      <c r="M248" s="19" t="inlineStr">
        <is>
          <t>0 sec</t>
        </is>
      </c>
      <c r="N248" s="17" t="inlineStr">
        <is>
          <t xml:space="preserve">        248K           248K             8K</t>
        </is>
      </c>
      <c r="O248" s="17" t="inlineStr">
        <is>
          <t>EWKCSAyuWFCTKHXnomA3V81drupcj2fKP9yvsdbdpump</t>
        </is>
      </c>
      <c r="P248" s="17">
        <f>HYPERLINK("https://dexscreener.com/solana/EWKCSAyuWFCTKHXnomA3V81drupcj2fKP9yvsdbdpump", "View")</f>
        <v/>
      </c>
    </row>
    <row r="249">
      <c r="A249" s="20" t="inlineStr">
        <is>
          <t>QUACK</t>
        </is>
      </c>
      <c r="B249" s="21" t="n">
        <v>514</v>
      </c>
      <c r="C249" s="21" t="n">
        <v>0</v>
      </c>
      <c r="D249" s="21" t="inlineStr">
        <is>
          <t>0.000600</t>
        </is>
      </c>
      <c r="E249" s="21" t="inlineStr">
        <is>
          <t>1.000 SOL</t>
        </is>
      </c>
      <c r="F249" s="21" t="inlineStr">
        <is>
          <t>0.000 SOL</t>
        </is>
      </c>
      <c r="G249" s="18" t="inlineStr">
        <is>
          <t>-1.001 SOL</t>
        </is>
      </c>
      <c r="H249" s="18" t="inlineStr">
        <is>
          <t>0.00%</t>
        </is>
      </c>
      <c r="I249" s="21" t="inlineStr">
        <is>
          <t>514</t>
        </is>
      </c>
      <c r="J249" s="21" t="n">
        <v>1</v>
      </c>
      <c r="K249" s="21" t="n">
        <v>0</v>
      </c>
      <c r="L249" s="21" t="inlineStr">
        <is>
          <t>16.10.2024 06:33:22</t>
        </is>
      </c>
      <c r="M249" s="19" t="inlineStr">
        <is>
          <t>0 sec</t>
        </is>
      </c>
      <c r="N249" s="21" t="inlineStr">
        <is>
          <t xml:space="preserve">        N/A           N/A           N/A</t>
        </is>
      </c>
      <c r="O249" s="21" t="inlineStr">
        <is>
          <t>EhuPypJBb9ocHn8APiCWEmQjhqBmDkWDGVX7H9p1pump</t>
        </is>
      </c>
      <c r="P249" s="21">
        <f>HYPERLINK("https://dexscreener.com/solana/EhuPypJBb9ocHn8APiCWEmQjhqBmDkWDGVX7H9p1pump", "View")</f>
        <v/>
      </c>
    </row>
    <row r="250">
      <c r="A250" s="16" t="inlineStr">
        <is>
          <t>MOW</t>
        </is>
      </c>
      <c r="B250" s="17" t="n">
        <v>533</v>
      </c>
      <c r="C250" s="17" t="n">
        <v>0</v>
      </c>
      <c r="D250" s="17" t="inlineStr">
        <is>
          <t>0.000600</t>
        </is>
      </c>
      <c r="E250" s="17" t="inlineStr">
        <is>
          <t>1.000 SOL</t>
        </is>
      </c>
      <c r="F250" s="17" t="inlineStr">
        <is>
          <t>0.000 SOL</t>
        </is>
      </c>
      <c r="G250" s="18" t="inlineStr">
        <is>
          <t>-1.001 SOL</t>
        </is>
      </c>
      <c r="H250" s="18" t="inlineStr">
        <is>
          <t>0.00%</t>
        </is>
      </c>
      <c r="I250" s="17" t="inlineStr">
        <is>
          <t>533</t>
        </is>
      </c>
      <c r="J250" s="17" t="n">
        <v>1</v>
      </c>
      <c r="K250" s="17" t="n">
        <v>0</v>
      </c>
      <c r="L250" s="17" t="inlineStr">
        <is>
          <t>16.10.2024 05:15:30</t>
        </is>
      </c>
      <c r="M250" s="19" t="inlineStr">
        <is>
          <t>0 sec</t>
        </is>
      </c>
      <c r="N250" s="17" t="inlineStr">
        <is>
          <t xml:space="preserve">        N/A           N/A           N/A</t>
        </is>
      </c>
      <c r="O250" s="17" t="inlineStr">
        <is>
          <t>4RXz1roYHfv7UMeuKhCCbr8c519ntktkFiArCXCCpump</t>
        </is>
      </c>
      <c r="P250" s="17">
        <f>HYPERLINK("https://dexscreener.com/solana/4RXz1roYHfv7UMeuKhCCbr8c519ntktkFiArCXCCpump", "View")</f>
        <v/>
      </c>
    </row>
    <row r="251">
      <c r="A251" s="20" t="inlineStr">
        <is>
          <t>Gayi</t>
        </is>
      </c>
      <c r="B251" s="21" t="n">
        <v>1894573</v>
      </c>
      <c r="C251" s="21" t="n">
        <v>0</v>
      </c>
      <c r="D251" s="21" t="inlineStr">
        <is>
          <t>0.000600</t>
        </is>
      </c>
      <c r="E251" s="21" t="inlineStr">
        <is>
          <t>1.000 SOL</t>
        </is>
      </c>
      <c r="F251" s="21" t="inlineStr">
        <is>
          <t>0.000 SOL</t>
        </is>
      </c>
      <c r="G251" s="18" t="inlineStr">
        <is>
          <t>-1.001 SOL</t>
        </is>
      </c>
      <c r="H251" s="18" t="inlineStr">
        <is>
          <t>0.00%</t>
        </is>
      </c>
      <c r="I251" s="21" t="inlineStr">
        <is>
          <t>1,894,573</t>
        </is>
      </c>
      <c r="J251" s="21" t="n">
        <v>1</v>
      </c>
      <c r="K251" s="21" t="n">
        <v>0</v>
      </c>
      <c r="L251" s="21" t="inlineStr">
        <is>
          <t>16.10.2024 05:09:20</t>
        </is>
      </c>
      <c r="M251" s="19" t="inlineStr">
        <is>
          <t>0 sec</t>
        </is>
      </c>
      <c r="N251" s="21" t="inlineStr">
        <is>
          <t xml:space="preserve">         93K            93K             4K</t>
        </is>
      </c>
      <c r="O251" s="21" t="inlineStr">
        <is>
          <t>5LDKU2JpdgxUmzQq3aQL3tYCWxKf5iXtEXpkGTdHpump</t>
        </is>
      </c>
      <c r="P251" s="21">
        <f>HYPERLINK("https://dexscreener.com/solana/5LDKU2JpdgxUmzQq3aQL3tYCWxKf5iXtEXpkGTdHpump", "View")</f>
        <v/>
      </c>
    </row>
    <row r="252">
      <c r="A252" s="16" t="inlineStr">
        <is>
          <t>$MONKAS</t>
        </is>
      </c>
      <c r="B252" s="17" t="n">
        <v>2737</v>
      </c>
      <c r="C252" s="17" t="n">
        <v>0</v>
      </c>
      <c r="D252" s="17" t="inlineStr">
        <is>
          <t>0.000600</t>
        </is>
      </c>
      <c r="E252" s="17" t="inlineStr">
        <is>
          <t>1.000 SOL</t>
        </is>
      </c>
      <c r="F252" s="17" t="inlineStr">
        <is>
          <t>0.000 SOL</t>
        </is>
      </c>
      <c r="G252" s="18" t="inlineStr">
        <is>
          <t>-1.001 SOL</t>
        </is>
      </c>
      <c r="H252" s="18" t="inlineStr">
        <is>
          <t>0.00%</t>
        </is>
      </c>
      <c r="I252" s="17" t="inlineStr">
        <is>
          <t>2,737</t>
        </is>
      </c>
      <c r="J252" s="17" t="n">
        <v>1</v>
      </c>
      <c r="K252" s="17" t="n">
        <v>0</v>
      </c>
      <c r="L252" s="17" t="inlineStr">
        <is>
          <t>16.10.2024 04:03:18</t>
        </is>
      </c>
      <c r="M252" s="19" t="inlineStr">
        <is>
          <t>0 sec</t>
        </is>
      </c>
      <c r="N252" s="17" t="inlineStr">
        <is>
          <t xml:space="preserve">        N/A           N/A           N/A</t>
        </is>
      </c>
      <c r="O252" s="17" t="inlineStr">
        <is>
          <t>BQedNRMwBsgMh6wWupC8bFfaS3dLBSNrWF3sFoYKpump</t>
        </is>
      </c>
      <c r="P252" s="17">
        <f>HYPERLINK("https://dexscreener.com/solana/BQedNRMwBsgMh6wWupC8bFfaS3dLBSNrWF3sFoYKpump", "View")</f>
        <v/>
      </c>
    </row>
    <row r="253">
      <c r="A253" s="20" t="inlineStr">
        <is>
          <t>Tamagotchi</t>
        </is>
      </c>
      <c r="B253" s="21" t="n">
        <v>869730</v>
      </c>
      <c r="C253" s="21" t="n">
        <v>0</v>
      </c>
      <c r="D253" s="21" t="inlineStr">
        <is>
          <t>0.000600</t>
        </is>
      </c>
      <c r="E253" s="21" t="inlineStr">
        <is>
          <t>1.000 SOL</t>
        </is>
      </c>
      <c r="F253" s="21" t="inlineStr">
        <is>
          <t>0.000 SOL</t>
        </is>
      </c>
      <c r="G253" s="18" t="inlineStr">
        <is>
          <t>-1.001 SOL</t>
        </is>
      </c>
      <c r="H253" s="18" t="inlineStr">
        <is>
          <t>0.00%</t>
        </is>
      </c>
      <c r="I253" s="21" t="inlineStr">
        <is>
          <t>869,730</t>
        </is>
      </c>
      <c r="J253" s="21" t="n">
        <v>1</v>
      </c>
      <c r="K253" s="21" t="n">
        <v>0</v>
      </c>
      <c r="L253" s="21" t="inlineStr">
        <is>
          <t>16.10.2024 03:27:26</t>
        </is>
      </c>
      <c r="M253" s="19" t="inlineStr">
        <is>
          <t>0 sec</t>
        </is>
      </c>
      <c r="N253" s="21" t="inlineStr">
        <is>
          <t xml:space="preserve">        202K           202K             6K</t>
        </is>
      </c>
      <c r="O253" s="21" t="inlineStr">
        <is>
          <t>ExAmXuCUGSJArR9cFYHTRr3TiA7Jn9cfFZgJcL4Kpump</t>
        </is>
      </c>
      <c r="P253" s="21">
        <f>HYPERLINK("https://dexscreener.com/solana/ExAmXuCUGSJArR9cFYHTRr3TiA7Jn9cfFZgJcL4Kpump", "View")</f>
        <v/>
      </c>
    </row>
    <row r="254">
      <c r="A254" s="16" t="inlineStr">
        <is>
          <t>FDLZ</t>
        </is>
      </c>
      <c r="B254" s="17" t="n">
        <v>647226</v>
      </c>
      <c r="C254" s="17" t="n">
        <v>0</v>
      </c>
      <c r="D254" s="17" t="inlineStr">
        <is>
          <t>0.000600</t>
        </is>
      </c>
      <c r="E254" s="17" t="inlineStr">
        <is>
          <t>1.000 SOL</t>
        </is>
      </c>
      <c r="F254" s="17" t="inlineStr">
        <is>
          <t>0.000 SOL</t>
        </is>
      </c>
      <c r="G254" s="18" t="inlineStr">
        <is>
          <t>-1.001 SOL</t>
        </is>
      </c>
      <c r="H254" s="18" t="inlineStr">
        <is>
          <t>0.00%</t>
        </is>
      </c>
      <c r="I254" s="17" t="inlineStr">
        <is>
          <t>647,226</t>
        </is>
      </c>
      <c r="J254" s="17" t="n">
        <v>1</v>
      </c>
      <c r="K254" s="17" t="n">
        <v>0</v>
      </c>
      <c r="L254" s="17" t="inlineStr">
        <is>
          <t>16.10.2024 03:00:35</t>
        </is>
      </c>
      <c r="M254" s="19" t="inlineStr">
        <is>
          <t>0 sec</t>
        </is>
      </c>
      <c r="N254" s="17" t="inlineStr">
        <is>
          <t xml:space="preserve">        272K           272K            49K</t>
        </is>
      </c>
      <c r="O254" s="17" t="inlineStr">
        <is>
          <t>FGSheu4NuiGqf8zjP9Na5BtdQTmd1SzfcdYZAHHNpump</t>
        </is>
      </c>
      <c r="P254" s="17">
        <f>HYPERLINK("https://dexscreener.com/solana/FGSheu4NuiGqf8zjP9Na5BtdQTmd1SzfcdYZAHHNpump", "View")</f>
        <v/>
      </c>
    </row>
    <row r="255">
      <c r="A255" s="20" t="inlineStr">
        <is>
          <t>PARKSAI</t>
        </is>
      </c>
      <c r="B255" s="21" t="n">
        <v>1205736</v>
      </c>
      <c r="C255" s="21" t="n">
        <v>0</v>
      </c>
      <c r="D255" s="21" t="inlineStr">
        <is>
          <t>0.000600</t>
        </is>
      </c>
      <c r="E255" s="21" t="inlineStr">
        <is>
          <t>1.000 SOL</t>
        </is>
      </c>
      <c r="F255" s="21" t="inlineStr">
        <is>
          <t>0.000 SOL</t>
        </is>
      </c>
      <c r="G255" s="18" t="inlineStr">
        <is>
          <t>-1.001 SOL</t>
        </is>
      </c>
      <c r="H255" s="18" t="inlineStr">
        <is>
          <t>0.00%</t>
        </is>
      </c>
      <c r="I255" s="21" t="inlineStr">
        <is>
          <t>1,205,736</t>
        </is>
      </c>
      <c r="J255" s="21" t="n">
        <v>1</v>
      </c>
      <c r="K255" s="21" t="n">
        <v>0</v>
      </c>
      <c r="L255" s="21" t="inlineStr">
        <is>
          <t>16.10.2024 02:06:30</t>
        </is>
      </c>
      <c r="M255" s="19" t="inlineStr">
        <is>
          <t>0 sec</t>
        </is>
      </c>
      <c r="N255" s="21" t="inlineStr">
        <is>
          <t xml:space="preserve">        146K           146K            10K</t>
        </is>
      </c>
      <c r="O255" s="21" t="inlineStr">
        <is>
          <t>3P975i1iZF5oYrvzpbmdE41CpuHAEbdvGYe5DdTZpump</t>
        </is>
      </c>
      <c r="P255" s="21">
        <f>HYPERLINK("https://dexscreener.com/solana/3P975i1iZF5oYrvzpbmdE41CpuHAEbdvGYe5DdTZpump", "View")</f>
        <v/>
      </c>
    </row>
    <row r="256">
      <c r="A256" s="16" t="inlineStr">
        <is>
          <t>NNN</t>
        </is>
      </c>
      <c r="B256" s="17" t="n">
        <v>10192901</v>
      </c>
      <c r="C256" s="17" t="n">
        <v>0</v>
      </c>
      <c r="D256" s="17" t="inlineStr">
        <is>
          <t>0.000600</t>
        </is>
      </c>
      <c r="E256" s="17" t="inlineStr">
        <is>
          <t>1.000 SOL</t>
        </is>
      </c>
      <c r="F256" s="17" t="inlineStr">
        <is>
          <t>0.000 SOL</t>
        </is>
      </c>
      <c r="G256" s="18" t="inlineStr">
        <is>
          <t>-1.001 SOL</t>
        </is>
      </c>
      <c r="H256" s="18" t="inlineStr">
        <is>
          <t>0.00%</t>
        </is>
      </c>
      <c r="I256" s="17" t="inlineStr">
        <is>
          <t>10,192,901</t>
        </is>
      </c>
      <c r="J256" s="17" t="n">
        <v>1</v>
      </c>
      <c r="K256" s="17" t="n">
        <v>0</v>
      </c>
      <c r="L256" s="17" t="inlineStr">
        <is>
          <t>16.10.2024 01:03:22</t>
        </is>
      </c>
      <c r="M256" s="19" t="inlineStr">
        <is>
          <t>0 sec</t>
        </is>
      </c>
      <c r="N256" s="17" t="inlineStr">
        <is>
          <t xml:space="preserve">         18K            18K             9K</t>
        </is>
      </c>
      <c r="O256" s="17" t="inlineStr">
        <is>
          <t>vwkxnY1gUFMYZpHx4pBvpDAdwbZPQfSc8zLkFczpump</t>
        </is>
      </c>
      <c r="P256" s="17">
        <f>HYPERLINK("https://dexscreener.com/solana/vwkxnY1gUFMYZpHx4pBvpDAdwbZPQfSc8zLkFczpump", "View")</f>
        <v/>
      </c>
    </row>
    <row r="257">
      <c r="A257" s="20" t="inlineStr">
        <is>
          <t>programmed</t>
        </is>
      </c>
      <c r="B257" s="21" t="n">
        <v>781338</v>
      </c>
      <c r="C257" s="21" t="n">
        <v>0</v>
      </c>
      <c r="D257" s="21" t="inlineStr">
        <is>
          <t>0.000600</t>
        </is>
      </c>
      <c r="E257" s="21" t="inlineStr">
        <is>
          <t>1.000 SOL</t>
        </is>
      </c>
      <c r="F257" s="21" t="inlineStr">
        <is>
          <t>0.000 SOL</t>
        </is>
      </c>
      <c r="G257" s="18" t="inlineStr">
        <is>
          <t>-1.001 SOL</t>
        </is>
      </c>
      <c r="H257" s="18" t="inlineStr">
        <is>
          <t>0.00%</t>
        </is>
      </c>
      <c r="I257" s="21" t="inlineStr">
        <is>
          <t>781,338</t>
        </is>
      </c>
      <c r="J257" s="21" t="n">
        <v>1</v>
      </c>
      <c r="K257" s="21" t="n">
        <v>0</v>
      </c>
      <c r="L257" s="21" t="inlineStr">
        <is>
          <t>16.10.2024 00:57:21</t>
        </is>
      </c>
      <c r="M257" s="19" t="inlineStr">
        <is>
          <t>0 sec</t>
        </is>
      </c>
      <c r="N257" s="21" t="inlineStr">
        <is>
          <t xml:space="preserve">        225K           225K             7K</t>
        </is>
      </c>
      <c r="O257" s="21" t="inlineStr">
        <is>
          <t>3AQeACYHAMCA6JLYg7j4VBfHEtMAE5nVq47YSVuRpump</t>
        </is>
      </c>
      <c r="P257" s="21">
        <f>HYPERLINK("https://dexscreener.com/solana/3AQeACYHAMCA6JLYg7j4VBfHEtMAE5nVq47YSVuRpump", "View")</f>
        <v/>
      </c>
    </row>
    <row r="258">
      <c r="A258" s="16" t="inlineStr">
        <is>
          <t>SOUNWIRE</t>
        </is>
      </c>
      <c r="B258" s="17" t="n">
        <v>1988541</v>
      </c>
      <c r="C258" s="17" t="n">
        <v>0</v>
      </c>
      <c r="D258" s="17" t="inlineStr">
        <is>
          <t>0.000600</t>
        </is>
      </c>
      <c r="E258" s="17" t="inlineStr">
        <is>
          <t>1.000 SOL</t>
        </is>
      </c>
      <c r="F258" s="17" t="inlineStr">
        <is>
          <t>0.000 SOL</t>
        </is>
      </c>
      <c r="G258" s="18" t="inlineStr">
        <is>
          <t>-1.001 SOL</t>
        </is>
      </c>
      <c r="H258" s="18" t="inlineStr">
        <is>
          <t>0.00%</t>
        </is>
      </c>
      <c r="I258" s="17" t="inlineStr">
        <is>
          <t>1,988,541</t>
        </is>
      </c>
      <c r="J258" s="17" t="n">
        <v>1</v>
      </c>
      <c r="K258" s="17" t="n">
        <v>0</v>
      </c>
      <c r="L258" s="17" t="inlineStr">
        <is>
          <t>16.10.2024 00:45:28</t>
        </is>
      </c>
      <c r="M258" s="19" t="inlineStr">
        <is>
          <t>0 sec</t>
        </is>
      </c>
      <c r="N258" s="17" t="inlineStr">
        <is>
          <t xml:space="preserve">         88K            88K            11K</t>
        </is>
      </c>
      <c r="O258" s="17" t="inlineStr">
        <is>
          <t>BbakUCxXyqgR5PtuyLHcweDpPSUw8WwysEkL2cUCpump</t>
        </is>
      </c>
      <c r="P258" s="17">
        <f>HYPERLINK("https://dexscreener.com/solana/BbakUCxXyqgR5PtuyLHcweDpPSUw8WwysEkL2cUCpump", "View")</f>
        <v/>
      </c>
    </row>
    <row r="259">
      <c r="A259" s="20" t="inlineStr">
        <is>
          <t>truthcat</t>
        </is>
      </c>
      <c r="B259" s="21" t="n">
        <v>2322493</v>
      </c>
      <c r="C259" s="21" t="n">
        <v>0</v>
      </c>
      <c r="D259" s="21" t="inlineStr">
        <is>
          <t>0.000600</t>
        </is>
      </c>
      <c r="E259" s="21" t="inlineStr">
        <is>
          <t>1.000 SOL</t>
        </is>
      </c>
      <c r="F259" s="21" t="inlineStr">
        <is>
          <t>0.000 SOL</t>
        </is>
      </c>
      <c r="G259" s="18" t="inlineStr">
        <is>
          <t>-1.001 SOL</t>
        </is>
      </c>
      <c r="H259" s="18" t="inlineStr">
        <is>
          <t>0.00%</t>
        </is>
      </c>
      <c r="I259" s="21" t="inlineStr">
        <is>
          <t>2,322,493</t>
        </is>
      </c>
      <c r="J259" s="21" t="n">
        <v>1</v>
      </c>
      <c r="K259" s="21" t="n">
        <v>0</v>
      </c>
      <c r="L259" s="21" t="inlineStr">
        <is>
          <t>15.10.2024 23:57:20</t>
        </is>
      </c>
      <c r="M259" s="19" t="inlineStr">
        <is>
          <t>0 sec</t>
        </is>
      </c>
      <c r="N259" s="21" t="inlineStr">
        <is>
          <t xml:space="preserve">         76K            76K             5K</t>
        </is>
      </c>
      <c r="O259" s="21" t="inlineStr">
        <is>
          <t>5nrA5WTQNHpEjYpyBv8cSM97rM4tWVzSBzuCSdknpump</t>
        </is>
      </c>
      <c r="P259" s="21">
        <f>HYPERLINK("https://dexscreener.com/solana/5nrA5WTQNHpEjYpyBv8cSM97rM4tWVzSBzuCSdknpump", "View")</f>
        <v/>
      </c>
    </row>
    <row r="260">
      <c r="A260" s="16" t="inlineStr">
        <is>
          <t>dogintosh</t>
        </is>
      </c>
      <c r="B260" s="17" t="n">
        <v>7546266</v>
      </c>
      <c r="C260" s="17" t="n">
        <v>0</v>
      </c>
      <c r="D260" s="17" t="inlineStr">
        <is>
          <t>0.000600</t>
        </is>
      </c>
      <c r="E260" s="17" t="inlineStr">
        <is>
          <t>1.000 SOL</t>
        </is>
      </c>
      <c r="F260" s="17" t="inlineStr">
        <is>
          <t>0.000 SOL</t>
        </is>
      </c>
      <c r="G260" s="18" t="inlineStr">
        <is>
          <t>-1.001 SOL</t>
        </is>
      </c>
      <c r="H260" s="18" t="inlineStr">
        <is>
          <t>0.00%</t>
        </is>
      </c>
      <c r="I260" s="17" t="inlineStr">
        <is>
          <t>7,546,266</t>
        </is>
      </c>
      <c r="J260" s="17" t="n">
        <v>1</v>
      </c>
      <c r="K260" s="17" t="n">
        <v>0</v>
      </c>
      <c r="L260" s="17" t="inlineStr">
        <is>
          <t>15.10.2024 21:57:23</t>
        </is>
      </c>
      <c r="M260" s="19" t="inlineStr">
        <is>
          <t>0 sec</t>
        </is>
      </c>
      <c r="N260" s="17" t="inlineStr">
        <is>
          <t xml:space="preserve">         23K            23K             3K</t>
        </is>
      </c>
      <c r="O260" s="17" t="inlineStr">
        <is>
          <t>8YDtbWhnb2qVAaXHkoioPoiB8DmcAQf7BQTqEUSGpump</t>
        </is>
      </c>
      <c r="P260" s="17">
        <f>HYPERLINK("https://dexscreener.com/solana/8YDtbWhnb2qVAaXHkoioPoiB8DmcAQf7BQTqEUSGpump", "View")</f>
        <v/>
      </c>
    </row>
    <row r="261">
      <c r="A261" s="20" t="inlineStr">
        <is>
          <t>pikel</t>
        </is>
      </c>
      <c r="B261" s="21" t="n">
        <v>2626096</v>
      </c>
      <c r="C261" s="21" t="n">
        <v>0</v>
      </c>
      <c r="D261" s="21" t="inlineStr">
        <is>
          <t>0.000600</t>
        </is>
      </c>
      <c r="E261" s="21" t="inlineStr">
        <is>
          <t>1.000 SOL</t>
        </is>
      </c>
      <c r="F261" s="21" t="inlineStr">
        <is>
          <t>0.000 SOL</t>
        </is>
      </c>
      <c r="G261" s="18" t="inlineStr">
        <is>
          <t>-1.001 SOL</t>
        </is>
      </c>
      <c r="H261" s="18" t="inlineStr">
        <is>
          <t>0.00%</t>
        </is>
      </c>
      <c r="I261" s="21" t="inlineStr">
        <is>
          <t>2,626,096</t>
        </is>
      </c>
      <c r="J261" s="21" t="n">
        <v>1</v>
      </c>
      <c r="K261" s="21" t="n">
        <v>0</v>
      </c>
      <c r="L261" s="21" t="inlineStr">
        <is>
          <t>15.10.2024 21:30:35</t>
        </is>
      </c>
      <c r="M261" s="19" t="inlineStr">
        <is>
          <t>0 sec</t>
        </is>
      </c>
      <c r="N261" s="21" t="inlineStr">
        <is>
          <t xml:space="preserve">         67K            67K             8K</t>
        </is>
      </c>
      <c r="O261" s="21" t="inlineStr">
        <is>
          <t>HodgC15hoJtDykKCxfjdz7YntYsoVAUXVyDvSbGYpump</t>
        </is>
      </c>
      <c r="P261" s="21">
        <f>HYPERLINK("https://dexscreener.com/solana/HodgC15hoJtDykKCxfjdz7YntYsoVAUXVyDvSbGYpump", "View")</f>
        <v/>
      </c>
    </row>
    <row r="262">
      <c r="A262" s="16" t="inlineStr">
        <is>
          <t>BWULL</t>
        </is>
      </c>
      <c r="B262" s="17" t="n">
        <v>942863</v>
      </c>
      <c r="C262" s="17" t="n">
        <v>0</v>
      </c>
      <c r="D262" s="17" t="inlineStr">
        <is>
          <t>0.000600</t>
        </is>
      </c>
      <c r="E262" s="17" t="inlineStr">
        <is>
          <t>1.000 SOL</t>
        </is>
      </c>
      <c r="F262" s="17" t="inlineStr">
        <is>
          <t>0.000 SOL</t>
        </is>
      </c>
      <c r="G262" s="18" t="inlineStr">
        <is>
          <t>-1.001 SOL</t>
        </is>
      </c>
      <c r="H262" s="18" t="inlineStr">
        <is>
          <t>0.00%</t>
        </is>
      </c>
      <c r="I262" s="17" t="inlineStr">
        <is>
          <t>942,863</t>
        </is>
      </c>
      <c r="J262" s="17" t="n">
        <v>1</v>
      </c>
      <c r="K262" s="17" t="n">
        <v>0</v>
      </c>
      <c r="L262" s="17" t="inlineStr">
        <is>
          <t>15.10.2024 20:54:33</t>
        </is>
      </c>
      <c r="M262" s="19" t="inlineStr">
        <is>
          <t>0 sec</t>
        </is>
      </c>
      <c r="N262" s="17" t="inlineStr">
        <is>
          <t xml:space="preserve">        186K           186K             4K</t>
        </is>
      </c>
      <c r="O262" s="17" t="inlineStr">
        <is>
          <t>7oKUJj6RVpPdpyDVtqm9L2P5SbzxDeKmQjr2rqeqpump</t>
        </is>
      </c>
      <c r="P262" s="17">
        <f>HYPERLINK("https://dexscreener.com/solana/7oKUJj6RVpPdpyDVtqm9L2P5SbzxDeKmQjr2rqeqpump", "View")</f>
        <v/>
      </c>
    </row>
    <row r="263">
      <c r="A263" s="20" t="inlineStr">
        <is>
          <t>MCAP</t>
        </is>
      </c>
      <c r="B263" s="21" t="n">
        <v>478631</v>
      </c>
      <c r="C263" s="21" t="n">
        <v>0</v>
      </c>
      <c r="D263" s="21" t="inlineStr">
        <is>
          <t>0.000600</t>
        </is>
      </c>
      <c r="E263" s="21" t="inlineStr">
        <is>
          <t>1.000 SOL</t>
        </is>
      </c>
      <c r="F263" s="21" t="inlineStr">
        <is>
          <t>0.000 SOL</t>
        </is>
      </c>
      <c r="G263" s="18" t="inlineStr">
        <is>
          <t>-1.001 SOL</t>
        </is>
      </c>
      <c r="H263" s="18" t="inlineStr">
        <is>
          <t>0.00%</t>
        </is>
      </c>
      <c r="I263" s="21" t="inlineStr">
        <is>
          <t>478,631</t>
        </is>
      </c>
      <c r="J263" s="21" t="n">
        <v>1</v>
      </c>
      <c r="K263" s="21" t="n">
        <v>0</v>
      </c>
      <c r="L263" s="21" t="inlineStr">
        <is>
          <t>15.10.2024 14:12:22</t>
        </is>
      </c>
      <c r="M263" s="19" t="inlineStr">
        <is>
          <t>0 sec</t>
        </is>
      </c>
      <c r="N263" s="21" t="inlineStr">
        <is>
          <t xml:space="preserve">        367K           367K             5K</t>
        </is>
      </c>
      <c r="O263" s="21" t="inlineStr">
        <is>
          <t>D2WgVsM5YycKd9w8oxf7zCDvwYCcYCvhmuj29SWgpump</t>
        </is>
      </c>
      <c r="P263" s="21">
        <f>HYPERLINK("https://dexscreener.com/solana/D2WgVsM5YycKd9w8oxf7zCDvwYCcYCvhmuj29SWgpump", "View")</f>
        <v/>
      </c>
    </row>
    <row r="264">
      <c r="A264" s="16" t="inlineStr">
        <is>
          <t>FEIN</t>
        </is>
      </c>
      <c r="B264" s="17" t="n">
        <v>1652578</v>
      </c>
      <c r="C264" s="17" t="n">
        <v>0</v>
      </c>
      <c r="D264" s="17" t="inlineStr">
        <is>
          <t>0.000600</t>
        </is>
      </c>
      <c r="E264" s="17" t="inlineStr">
        <is>
          <t>1.000 SOL</t>
        </is>
      </c>
      <c r="F264" s="17" t="inlineStr">
        <is>
          <t>0.000 SOL</t>
        </is>
      </c>
      <c r="G264" s="18" t="inlineStr">
        <is>
          <t>-1.001 SOL</t>
        </is>
      </c>
      <c r="H264" s="18" t="inlineStr">
        <is>
          <t>0.00%</t>
        </is>
      </c>
      <c r="I264" s="17" t="inlineStr">
        <is>
          <t>1,652,578</t>
        </is>
      </c>
      <c r="J264" s="17" t="n">
        <v>1</v>
      </c>
      <c r="K264" s="17" t="n">
        <v>0</v>
      </c>
      <c r="L264" s="17" t="inlineStr">
        <is>
          <t>15.10.2024 11:57:29</t>
        </is>
      </c>
      <c r="M264" s="19" t="inlineStr">
        <is>
          <t>0 sec</t>
        </is>
      </c>
      <c r="N264" s="17" t="inlineStr">
        <is>
          <t xml:space="preserve">        107K           107K            19K</t>
        </is>
      </c>
      <c r="O264" s="17" t="inlineStr">
        <is>
          <t>8Y9TgC6vbgDGgsqFBY621Xg7BmdTZfYhqyg397hopump</t>
        </is>
      </c>
      <c r="P264" s="17">
        <f>HYPERLINK("https://dexscreener.com/solana/8Y9TgC6vbgDGgsqFBY621Xg7BmdTZfYhqyg397hopump", "View")</f>
        <v/>
      </c>
    </row>
    <row r="265">
      <c r="A265" s="20" t="inlineStr">
        <is>
          <t>LOL</t>
        </is>
      </c>
      <c r="B265" s="21" t="n">
        <v>2079343</v>
      </c>
      <c r="C265" s="21" t="n">
        <v>0</v>
      </c>
      <c r="D265" s="21" t="inlineStr">
        <is>
          <t>0.000600</t>
        </is>
      </c>
      <c r="E265" s="21" t="inlineStr">
        <is>
          <t>1.000 SOL</t>
        </is>
      </c>
      <c r="F265" s="21" t="inlineStr">
        <is>
          <t>0.000 SOL</t>
        </is>
      </c>
      <c r="G265" s="18" t="inlineStr">
        <is>
          <t>-1.001 SOL</t>
        </is>
      </c>
      <c r="H265" s="18" t="inlineStr">
        <is>
          <t>0.00%</t>
        </is>
      </c>
      <c r="I265" s="21" t="inlineStr">
        <is>
          <t>2,079,343</t>
        </is>
      </c>
      <c r="J265" s="21" t="n">
        <v>1</v>
      </c>
      <c r="K265" s="21" t="n">
        <v>0</v>
      </c>
      <c r="L265" s="21" t="inlineStr">
        <is>
          <t>15.10.2024 10:51:23</t>
        </is>
      </c>
      <c r="M265" s="19" t="inlineStr">
        <is>
          <t>0 sec</t>
        </is>
      </c>
      <c r="N265" s="21" t="inlineStr">
        <is>
          <t xml:space="preserve">         84K            84K             6K</t>
        </is>
      </c>
      <c r="O265" s="21" t="inlineStr">
        <is>
          <t>62vioY8kNCSYsZuhjLhkMNoDcvm2BPDkQ6xqxjG9pump</t>
        </is>
      </c>
      <c r="P265" s="21">
        <f>HYPERLINK("https://dexscreener.com/solana/62vioY8kNCSYsZuhjLhkMNoDcvm2BPDkQ6xqxjG9pump", "View")</f>
        <v/>
      </c>
    </row>
    <row r="266">
      <c r="A266" s="16" t="inlineStr">
        <is>
          <t>Lu</t>
        </is>
      </c>
      <c r="B266" s="17" t="n">
        <v>7286390</v>
      </c>
      <c r="C266" s="17" t="n">
        <v>0</v>
      </c>
      <c r="D266" s="17" t="inlineStr">
        <is>
          <t>0.000600</t>
        </is>
      </c>
      <c r="E266" s="17" t="inlineStr">
        <is>
          <t>1.000 SOL</t>
        </is>
      </c>
      <c r="F266" s="17" t="inlineStr">
        <is>
          <t>0.000 SOL</t>
        </is>
      </c>
      <c r="G266" s="18" t="inlineStr">
        <is>
          <t>-1.001 SOL</t>
        </is>
      </c>
      <c r="H266" s="18" t="inlineStr">
        <is>
          <t>0.00%</t>
        </is>
      </c>
      <c r="I266" s="17" t="inlineStr">
        <is>
          <t>7,286,390</t>
        </is>
      </c>
      <c r="J266" s="17" t="n">
        <v>1</v>
      </c>
      <c r="K266" s="17" t="n">
        <v>0</v>
      </c>
      <c r="L266" s="17" t="inlineStr">
        <is>
          <t>15.10.2024 09:12:24</t>
        </is>
      </c>
      <c r="M266" s="19" t="inlineStr">
        <is>
          <t>0 sec</t>
        </is>
      </c>
      <c r="N266" s="17" t="inlineStr">
        <is>
          <t xml:space="preserve">         25K            25K            11K</t>
        </is>
      </c>
      <c r="O266" s="17" t="inlineStr">
        <is>
          <t>H7jz5tmUxhGzeQZviiuZZXsvH3EBUM83G2PghABNpump</t>
        </is>
      </c>
      <c r="P266" s="17">
        <f>HYPERLINK("https://dexscreener.com/solana/H7jz5tmUxhGzeQZviiuZZXsvH3EBUM83G2PghABNpump", "View")</f>
        <v/>
      </c>
    </row>
    <row r="267">
      <c r="A267" s="20" t="inlineStr">
        <is>
          <t>Faust</t>
        </is>
      </c>
      <c r="B267" s="21" t="n">
        <v>486760</v>
      </c>
      <c r="C267" s="21" t="n">
        <v>0</v>
      </c>
      <c r="D267" s="21" t="inlineStr">
        <is>
          <t>0.000600</t>
        </is>
      </c>
      <c r="E267" s="21" t="inlineStr">
        <is>
          <t>1.000 SOL</t>
        </is>
      </c>
      <c r="F267" s="21" t="inlineStr">
        <is>
          <t>0.000 SOL</t>
        </is>
      </c>
      <c r="G267" s="18" t="inlineStr">
        <is>
          <t>-1.001 SOL</t>
        </is>
      </c>
      <c r="H267" s="18" t="inlineStr">
        <is>
          <t>0.00%</t>
        </is>
      </c>
      <c r="I267" s="21" t="inlineStr">
        <is>
          <t>486,760</t>
        </is>
      </c>
      <c r="J267" s="21" t="n">
        <v>1</v>
      </c>
      <c r="K267" s="21" t="n">
        <v>0</v>
      </c>
      <c r="L267" s="21" t="inlineStr">
        <is>
          <t>15.10.2024 08:27:22</t>
        </is>
      </c>
      <c r="M267" s="19" t="inlineStr">
        <is>
          <t>0 sec</t>
        </is>
      </c>
      <c r="N267" s="21" t="inlineStr">
        <is>
          <t xml:space="preserve">        360K           360K            11K</t>
        </is>
      </c>
      <c r="O267" s="21" t="inlineStr">
        <is>
          <t>A8LoZLyrQ1kdL3iCXrHw39R8PfWBRaMaPSdDpr2rpump</t>
        </is>
      </c>
      <c r="P267" s="21">
        <f>HYPERLINK("https://dexscreener.com/solana/A8LoZLyrQ1kdL3iCXrHw39R8PfWBRaMaPSdDpr2rpump", "View")</f>
        <v/>
      </c>
    </row>
    <row r="268">
      <c r="A268" s="16" t="inlineStr">
        <is>
          <t>SARAH</t>
        </is>
      </c>
      <c r="B268" s="17" t="n">
        <v>2965666</v>
      </c>
      <c r="C268" s="17" t="n">
        <v>0</v>
      </c>
      <c r="D268" s="17" t="inlineStr">
        <is>
          <t>0.000600</t>
        </is>
      </c>
      <c r="E268" s="17" t="inlineStr">
        <is>
          <t>1.000 SOL</t>
        </is>
      </c>
      <c r="F268" s="17" t="inlineStr">
        <is>
          <t>0.000 SOL</t>
        </is>
      </c>
      <c r="G268" s="18" t="inlineStr">
        <is>
          <t>-1.001 SOL</t>
        </is>
      </c>
      <c r="H268" s="18" t="inlineStr">
        <is>
          <t>0.00%</t>
        </is>
      </c>
      <c r="I268" s="17" t="inlineStr">
        <is>
          <t>2,965,666</t>
        </is>
      </c>
      <c r="J268" s="17" t="n">
        <v>1</v>
      </c>
      <c r="K268" s="17" t="n">
        <v>0</v>
      </c>
      <c r="L268" s="17" t="inlineStr">
        <is>
          <t>15.10.2024 08:15:23</t>
        </is>
      </c>
      <c r="M268" s="19" t="inlineStr">
        <is>
          <t>0 sec</t>
        </is>
      </c>
      <c r="N268" s="17" t="inlineStr">
        <is>
          <t xml:space="preserve">         60K            60K             4K</t>
        </is>
      </c>
      <c r="O268" s="17" t="inlineStr">
        <is>
          <t>GaqX4csCa1G22jWbpgVsHHKf5qDM81JLnaE8qCEkpump</t>
        </is>
      </c>
      <c r="P268" s="17">
        <f>HYPERLINK("https://dexscreener.com/solana/GaqX4csCa1G22jWbpgVsHHKf5qDM81JLnaE8qCEkpump", "View")</f>
        <v/>
      </c>
    </row>
    <row r="269">
      <c r="A269" s="20" t="inlineStr">
        <is>
          <t>$DOLAN</t>
        </is>
      </c>
      <c r="B269" s="21" t="n">
        <v>1109</v>
      </c>
      <c r="C269" s="21" t="n">
        <v>0</v>
      </c>
      <c r="D269" s="21" t="inlineStr">
        <is>
          <t>0.000600</t>
        </is>
      </c>
      <c r="E269" s="21" t="inlineStr">
        <is>
          <t>1.000 SOL</t>
        </is>
      </c>
      <c r="F269" s="21" t="inlineStr">
        <is>
          <t>0.000 SOL</t>
        </is>
      </c>
      <c r="G269" s="18" t="inlineStr">
        <is>
          <t>-1.001 SOL</t>
        </is>
      </c>
      <c r="H269" s="18" t="inlineStr">
        <is>
          <t>0.00%</t>
        </is>
      </c>
      <c r="I269" s="21" t="inlineStr">
        <is>
          <t>1,109</t>
        </is>
      </c>
      <c r="J269" s="21" t="n">
        <v>1</v>
      </c>
      <c r="K269" s="21" t="n">
        <v>0</v>
      </c>
      <c r="L269" s="21" t="inlineStr">
        <is>
          <t>15.10.2024 06:12:18</t>
        </is>
      </c>
      <c r="M269" s="19" t="inlineStr">
        <is>
          <t>0 sec</t>
        </is>
      </c>
      <c r="N269" s="21" t="inlineStr">
        <is>
          <t xml:space="preserve">        N/A           N/A           N/A</t>
        </is>
      </c>
      <c r="O269" s="21" t="inlineStr">
        <is>
          <t>r6UMK79ckAJhU5vysdPqwVDFRPBzdRB48orQtmapump</t>
        </is>
      </c>
      <c r="P269" s="21">
        <f>HYPERLINK("https://dexscreener.com/solana/r6UMK79ckAJhU5vysdPqwVDFRPBzdRB48orQtmapump", "View")</f>
        <v/>
      </c>
    </row>
    <row r="270">
      <c r="A270" s="16" t="inlineStr">
        <is>
          <t>IOLY</t>
        </is>
      </c>
      <c r="B270" s="17" t="n">
        <v>500405</v>
      </c>
      <c r="C270" s="17" t="n">
        <v>0</v>
      </c>
      <c r="D270" s="17" t="inlineStr">
        <is>
          <t>0.000600</t>
        </is>
      </c>
      <c r="E270" s="17" t="inlineStr">
        <is>
          <t>1.000 SOL</t>
        </is>
      </c>
      <c r="F270" s="17" t="inlineStr">
        <is>
          <t>0.000 SOL</t>
        </is>
      </c>
      <c r="G270" s="18" t="inlineStr">
        <is>
          <t>-1.001 SOL</t>
        </is>
      </c>
      <c r="H270" s="18" t="inlineStr">
        <is>
          <t>0.00%</t>
        </is>
      </c>
      <c r="I270" s="17" t="inlineStr">
        <is>
          <t>500,405</t>
        </is>
      </c>
      <c r="J270" s="17" t="n">
        <v>1</v>
      </c>
      <c r="K270" s="17" t="n">
        <v>0</v>
      </c>
      <c r="L270" s="17" t="inlineStr">
        <is>
          <t>15.10.2024 06:09:20</t>
        </is>
      </c>
      <c r="M270" s="19" t="inlineStr">
        <is>
          <t>0 sec</t>
        </is>
      </c>
      <c r="N270" s="17" t="inlineStr">
        <is>
          <t xml:space="preserve">        351K           351K            52K</t>
        </is>
      </c>
      <c r="O270" s="17" t="inlineStr">
        <is>
          <t>DPEPsFbcwLhNQP9RWZDCaQUnDtdRjRCAom5gLWa5pump</t>
        </is>
      </c>
      <c r="P270" s="17">
        <f>HYPERLINK("https://dexscreener.com/solana/DPEPsFbcwLhNQP9RWZDCaQUnDtdRjRCAom5gLWa5pump", "View")</f>
        <v/>
      </c>
    </row>
    <row r="271">
      <c r="A271" s="20" t="inlineStr">
        <is>
          <t>Ω</t>
        </is>
      </c>
      <c r="B271" s="21" t="n">
        <v>1827537</v>
      </c>
      <c r="C271" s="21" t="n">
        <v>0</v>
      </c>
      <c r="D271" s="21" t="inlineStr">
        <is>
          <t>0.000600</t>
        </is>
      </c>
      <c r="E271" s="21" t="inlineStr">
        <is>
          <t>1.000 SOL</t>
        </is>
      </c>
      <c r="F271" s="21" t="inlineStr">
        <is>
          <t>0.000 SOL</t>
        </is>
      </c>
      <c r="G271" s="18" t="inlineStr">
        <is>
          <t>-1.001 SOL</t>
        </is>
      </c>
      <c r="H271" s="18" t="inlineStr">
        <is>
          <t>0.00%</t>
        </is>
      </c>
      <c r="I271" s="21" t="inlineStr">
        <is>
          <t>1,827,537</t>
        </is>
      </c>
      <c r="J271" s="21" t="n">
        <v>1</v>
      </c>
      <c r="K271" s="21" t="n">
        <v>0</v>
      </c>
      <c r="L271" s="21" t="inlineStr">
        <is>
          <t>15.10.2024 05:24:23</t>
        </is>
      </c>
      <c r="M271" s="19" t="inlineStr">
        <is>
          <t>0 sec</t>
        </is>
      </c>
      <c r="N271" s="21" t="inlineStr">
        <is>
          <t xml:space="preserve">         97K            97K            32K</t>
        </is>
      </c>
      <c r="O271" s="21" t="inlineStr">
        <is>
          <t>6zkouG5zqG4PF46owybDUF3QhMKtnzEiwA1D2BNtpump</t>
        </is>
      </c>
      <c r="P271" s="21">
        <f>HYPERLINK("https://dexscreener.com/solana/6zkouG5zqG4PF46owybDUF3QhMKtnzEiwA1D2BNtpump", "View")</f>
        <v/>
      </c>
    </row>
    <row r="272">
      <c r="A272" s="16" t="inlineStr">
        <is>
          <t>PAC</t>
        </is>
      </c>
      <c r="B272" s="17" t="n">
        <v>361193</v>
      </c>
      <c r="C272" s="17" t="n">
        <v>270894</v>
      </c>
      <c r="D272" s="17" t="inlineStr">
        <is>
          <t>0.001620</t>
        </is>
      </c>
      <c r="E272" s="17" t="inlineStr">
        <is>
          <t>1.000 SOL</t>
        </is>
      </c>
      <c r="F272" s="17" t="inlineStr">
        <is>
          <t>5.679 SOL</t>
        </is>
      </c>
      <c r="G272" s="24" t="inlineStr">
        <is>
          <t>4.677 SOL</t>
        </is>
      </c>
      <c r="H272" s="24" t="inlineStr">
        <is>
          <t>466.98%</t>
        </is>
      </c>
      <c r="I272" s="17" t="inlineStr">
        <is>
          <t>N/A</t>
        </is>
      </c>
      <c r="J272" s="17" t="n">
        <v>1</v>
      </c>
      <c r="K272" s="17" t="n">
        <v>2</v>
      </c>
      <c r="L272" s="17" t="inlineStr">
        <is>
          <t>09.10.2024 14:55:31</t>
        </is>
      </c>
      <c r="M272" s="17" t="inlineStr">
        <is>
          <t>5 hours</t>
        </is>
      </c>
      <c r="N272" s="17" t="inlineStr">
        <is>
          <t xml:space="preserve">        487K             4M             5K</t>
        </is>
      </c>
      <c r="O272" s="17" t="inlineStr">
        <is>
          <t>DeTUi1JbC2q31jfR9Qc1zoJjaNFmw1hgWBXxGQKvpump</t>
        </is>
      </c>
      <c r="P272" s="17">
        <f>HYPERLINK("https://dexscreener.com/solana/DeTUi1JbC2q31jfR9Qc1zoJjaNFmw1hgWBXxGQKvpump", "View")</f>
        <v/>
      </c>
    </row>
    <row r="273">
      <c r="A273" s="20" t="inlineStr">
        <is>
          <t>KPOP</t>
        </is>
      </c>
      <c r="B273" s="21" t="n">
        <v>1129090</v>
      </c>
      <c r="C273" s="21" t="n">
        <v>900689</v>
      </c>
      <c r="D273" s="21" t="inlineStr">
        <is>
          <t>0.010110</t>
        </is>
      </c>
      <c r="E273" s="21" t="inlineStr">
        <is>
          <t>0.988 SOL</t>
        </is>
      </c>
      <c r="F273" s="21" t="inlineStr">
        <is>
          <t>4.235 SOL</t>
        </is>
      </c>
      <c r="G273" s="24" t="inlineStr">
        <is>
          <t>3.237 SOL</t>
        </is>
      </c>
      <c r="H273" s="24" t="inlineStr">
        <is>
          <t>324.32%</t>
        </is>
      </c>
      <c r="I273" s="21" t="inlineStr">
        <is>
          <t>N/A</t>
        </is>
      </c>
      <c r="J273" s="21" t="n">
        <v>1</v>
      </c>
      <c r="K273" s="21" t="n">
        <v>2</v>
      </c>
      <c r="L273" s="21" t="inlineStr">
        <is>
          <t>09.10.2024 11:30:50</t>
        </is>
      </c>
      <c r="M273" s="21" t="inlineStr">
        <is>
          <t>1 days</t>
        </is>
      </c>
      <c r="N273" s="21" t="inlineStr">
        <is>
          <t xml:space="preserve">        130K           696K           103K</t>
        </is>
      </c>
      <c r="O273" s="21" t="inlineStr">
        <is>
          <t>FfCht1iLfyWC8hcQDG4oZ8wp9uKshRJkzjWxn2kKocnH</t>
        </is>
      </c>
      <c r="P273" s="21">
        <f>HYPERLINK("https://dexscreener.com/solana/FfCht1iLfyWC8hcQDG4oZ8wp9uKshRJkzjWxn2kKocnH", "View")</f>
        <v/>
      </c>
    </row>
    <row r="274">
      <c r="A274" s="16" t="inlineStr">
        <is>
          <t>TOOTSIE</t>
        </is>
      </c>
      <c r="B274" s="17" t="n">
        <v>984812</v>
      </c>
      <c r="C274" s="17" t="n">
        <v>0</v>
      </c>
      <c r="D274" s="17" t="inlineStr">
        <is>
          <t>0.000600</t>
        </is>
      </c>
      <c r="E274" s="17" t="inlineStr">
        <is>
          <t>1.000 SOL</t>
        </is>
      </c>
      <c r="F274" s="17" t="inlineStr">
        <is>
          <t>0.000 SOL</t>
        </is>
      </c>
      <c r="G274" s="18" t="inlineStr">
        <is>
          <t>-1.001 SOL</t>
        </is>
      </c>
      <c r="H274" s="18" t="inlineStr">
        <is>
          <t>0.00%</t>
        </is>
      </c>
      <c r="I274" s="17" t="inlineStr">
        <is>
          <t>984,812</t>
        </is>
      </c>
      <c r="J274" s="17" t="n">
        <v>1</v>
      </c>
      <c r="K274" s="17" t="n">
        <v>0</v>
      </c>
      <c r="L274" s="17" t="inlineStr">
        <is>
          <t>09.10.2024 10:03:20</t>
        </is>
      </c>
      <c r="M274" s="19" t="inlineStr">
        <is>
          <t>0 sec</t>
        </is>
      </c>
      <c r="N274" s="17" t="inlineStr">
        <is>
          <t xml:space="preserve">        179K           179K             4K</t>
        </is>
      </c>
      <c r="O274" s="17" t="inlineStr">
        <is>
          <t>J4Xqse53y3shAo4sm7HZV9jP5mNsHXnHmdoUnTr5pump</t>
        </is>
      </c>
      <c r="P274" s="17">
        <f>HYPERLINK("https://dexscreener.com/solana/J4Xqse53y3shAo4sm7HZV9jP5mNsHXnHmdoUnTr5pump", "View")</f>
        <v/>
      </c>
    </row>
    <row r="275">
      <c r="A275" s="20" t="inlineStr">
        <is>
          <t>SUIFY</t>
        </is>
      </c>
      <c r="B275" s="21" t="n">
        <v>1254</v>
      </c>
      <c r="C275" s="21" t="n">
        <v>0</v>
      </c>
      <c r="D275" s="21" t="inlineStr">
        <is>
          <t>0.000600</t>
        </is>
      </c>
      <c r="E275" s="21" t="inlineStr">
        <is>
          <t>1.000 SOL</t>
        </is>
      </c>
      <c r="F275" s="21" t="inlineStr">
        <is>
          <t>0.000 SOL</t>
        </is>
      </c>
      <c r="G275" s="18" t="inlineStr">
        <is>
          <t>-1.001 SOL</t>
        </is>
      </c>
      <c r="H275" s="18" t="inlineStr">
        <is>
          <t>0.00%</t>
        </is>
      </c>
      <c r="I275" s="21" t="inlineStr">
        <is>
          <t>1,254</t>
        </is>
      </c>
      <c r="J275" s="21" t="n">
        <v>1</v>
      </c>
      <c r="K275" s="21" t="n">
        <v>0</v>
      </c>
      <c r="L275" s="21" t="inlineStr">
        <is>
          <t>09.10.2024 08:12:17</t>
        </is>
      </c>
      <c r="M275" s="19" t="inlineStr">
        <is>
          <t>0 sec</t>
        </is>
      </c>
      <c r="N275" s="21" t="inlineStr">
        <is>
          <t xml:space="preserve">        N/A           N/A           N/A</t>
        </is>
      </c>
      <c r="O275" s="21" t="inlineStr">
        <is>
          <t>51FH2uTnsHRiZC2CjfaARCt2qXR9gmufqGWLYU84pump</t>
        </is>
      </c>
      <c r="P275" s="21">
        <f>HYPERLINK("https://dexscreener.com/solana/51FH2uTnsHRiZC2CjfaARCt2qXR9gmufqGWLYU84pump", "View")</f>
        <v/>
      </c>
    </row>
    <row r="276">
      <c r="A276" s="16" t="inlineStr">
        <is>
          <t>Hacker</t>
        </is>
      </c>
      <c r="B276" s="17" t="n">
        <v>5195332</v>
      </c>
      <c r="C276" s="17" t="n">
        <v>0</v>
      </c>
      <c r="D276" s="17" t="inlineStr">
        <is>
          <t>0.000600</t>
        </is>
      </c>
      <c r="E276" s="17" t="inlineStr">
        <is>
          <t>1.000 SOL</t>
        </is>
      </c>
      <c r="F276" s="17" t="inlineStr">
        <is>
          <t>0.000 SOL</t>
        </is>
      </c>
      <c r="G276" s="18" t="inlineStr">
        <is>
          <t>-1.001 SOL</t>
        </is>
      </c>
      <c r="H276" s="18" t="inlineStr">
        <is>
          <t>0.00%</t>
        </is>
      </c>
      <c r="I276" s="17" t="inlineStr">
        <is>
          <t>5,195,332</t>
        </is>
      </c>
      <c r="J276" s="17" t="n">
        <v>1</v>
      </c>
      <c r="K276" s="17" t="n">
        <v>0</v>
      </c>
      <c r="L276" s="17" t="inlineStr">
        <is>
          <t>09.10.2024 04:03:21</t>
        </is>
      </c>
      <c r="M276" s="19" t="inlineStr">
        <is>
          <t>0 sec</t>
        </is>
      </c>
      <c r="N276" s="17" t="inlineStr">
        <is>
          <t xml:space="preserve">         33K            33K             4K</t>
        </is>
      </c>
      <c r="O276" s="17" t="inlineStr">
        <is>
          <t>FKGAW8KfDwKTUUyVCmorA7qrrQMCdLa2VVSJDYEnpump</t>
        </is>
      </c>
      <c r="P276" s="17">
        <f>HYPERLINK("https://dexscreener.com/solana/FKGAW8KfDwKTUUyVCmorA7qrrQMCdLa2VVSJDYEnpump", "View")</f>
        <v/>
      </c>
    </row>
    <row r="277">
      <c r="A277" s="20" t="inlineStr">
        <is>
          <t>Moxi</t>
        </is>
      </c>
      <c r="B277" s="21" t="n">
        <v>2365191</v>
      </c>
      <c r="C277" s="21" t="n">
        <v>0</v>
      </c>
      <c r="D277" s="21" t="inlineStr">
        <is>
          <t>0.000600</t>
        </is>
      </c>
      <c r="E277" s="21" t="inlineStr">
        <is>
          <t>1.000 SOL</t>
        </is>
      </c>
      <c r="F277" s="21" t="inlineStr">
        <is>
          <t>0.000 SOL</t>
        </is>
      </c>
      <c r="G277" s="18" t="inlineStr">
        <is>
          <t>-1.001 SOL</t>
        </is>
      </c>
      <c r="H277" s="18" t="inlineStr">
        <is>
          <t>0.00%</t>
        </is>
      </c>
      <c r="I277" s="21" t="inlineStr">
        <is>
          <t>2,365,191</t>
        </is>
      </c>
      <c r="J277" s="21" t="n">
        <v>1</v>
      </c>
      <c r="K277" s="21" t="n">
        <v>0</v>
      </c>
      <c r="L277" s="21" t="inlineStr">
        <is>
          <t>09.10.2024 03:45:27</t>
        </is>
      </c>
      <c r="M277" s="19" t="inlineStr">
        <is>
          <t>0 sec</t>
        </is>
      </c>
      <c r="N277" s="21" t="inlineStr">
        <is>
          <t xml:space="preserve">         74K            74K             3K</t>
        </is>
      </c>
      <c r="O277" s="21" t="inlineStr">
        <is>
          <t>9GMDH5YTK29ZjR6WCGJnjwKYcrB8prarRW66CsGgpump</t>
        </is>
      </c>
      <c r="P277" s="21">
        <f>HYPERLINK("https://dexscreener.com/solana/9GMDH5YTK29ZjR6WCGJnjwKYcrB8prarRW66CsGgpump", "View")</f>
        <v/>
      </c>
    </row>
    <row r="278">
      <c r="A278" s="16" t="inlineStr">
        <is>
          <t>via</t>
        </is>
      </c>
      <c r="B278" s="17" t="n">
        <v>1391088</v>
      </c>
      <c r="C278" s="17" t="n">
        <v>388802</v>
      </c>
      <c r="D278" s="17" t="inlineStr">
        <is>
          <t>0.001110</t>
        </is>
      </c>
      <c r="E278" s="17" t="inlineStr">
        <is>
          <t>1.000 SOL</t>
        </is>
      </c>
      <c r="F278" s="17" t="inlineStr">
        <is>
          <t>0.796 SOL</t>
        </is>
      </c>
      <c r="G278" s="25" t="inlineStr">
        <is>
          <t>-0.205 SOL</t>
        </is>
      </c>
      <c r="H278" s="25" t="inlineStr">
        <is>
          <t>-20.45%</t>
        </is>
      </c>
      <c r="I278" s="17" t="inlineStr">
        <is>
          <t>N/A</t>
        </is>
      </c>
      <c r="J278" s="17" t="n">
        <v>1</v>
      </c>
      <c r="K278" s="17" t="n">
        <v>1</v>
      </c>
      <c r="L278" s="17" t="inlineStr">
        <is>
          <t>09.10.2024 02:12:21</t>
        </is>
      </c>
      <c r="M278" s="17" t="inlineStr">
        <is>
          <t>3 min</t>
        </is>
      </c>
      <c r="N278" s="17" t="inlineStr">
        <is>
          <t xml:space="preserve">        126K           360K             4K</t>
        </is>
      </c>
      <c r="O278" s="17" t="inlineStr">
        <is>
          <t>7h46Jd4i93rRaFWYwUc8wyB9HVqrcT4YESeUeuXYpump</t>
        </is>
      </c>
      <c r="P278" s="17">
        <f>HYPERLINK("https://dexscreener.com/solana/7h46Jd4i93rRaFWYwUc8wyB9HVqrcT4YESeUeuXYpump", "View")</f>
        <v/>
      </c>
    </row>
    <row r="279">
      <c r="A279" s="20" t="inlineStr">
        <is>
          <t>MOM</t>
        </is>
      </c>
      <c r="B279" s="21" t="n">
        <v>3701201</v>
      </c>
      <c r="C279" s="21" t="n">
        <v>0</v>
      </c>
      <c r="D279" s="21" t="inlineStr">
        <is>
          <t>0.000600</t>
        </is>
      </c>
      <c r="E279" s="21" t="inlineStr">
        <is>
          <t>1.000 SOL</t>
        </is>
      </c>
      <c r="F279" s="21" t="inlineStr">
        <is>
          <t>0.000 SOL</t>
        </is>
      </c>
      <c r="G279" s="18" t="inlineStr">
        <is>
          <t>-1.001 SOL</t>
        </is>
      </c>
      <c r="H279" s="18" t="inlineStr">
        <is>
          <t>0.00%</t>
        </is>
      </c>
      <c r="I279" s="21" t="inlineStr">
        <is>
          <t>3,701,201</t>
        </is>
      </c>
      <c r="J279" s="21" t="n">
        <v>1</v>
      </c>
      <c r="K279" s="21" t="n">
        <v>0</v>
      </c>
      <c r="L279" s="21" t="inlineStr">
        <is>
          <t>09.10.2024 01:51:22</t>
        </is>
      </c>
      <c r="M279" s="19" t="inlineStr">
        <is>
          <t>0 sec</t>
        </is>
      </c>
      <c r="N279" s="21" t="inlineStr">
        <is>
          <t xml:space="preserve">         47K            47K             4K</t>
        </is>
      </c>
      <c r="O279" s="21" t="inlineStr">
        <is>
          <t>547g8dPbZEhry9CLyxTTxafaq6H8QJYjdZsyJnnex79P</t>
        </is>
      </c>
      <c r="P279" s="21">
        <f>HYPERLINK("https://dexscreener.com/solana/547g8dPbZEhry9CLyxTTxafaq6H8QJYjdZsyJnnex79P", "View")</f>
        <v/>
      </c>
    </row>
    <row r="280">
      <c r="A280" s="16" t="inlineStr">
        <is>
          <t>BURNS</t>
        </is>
      </c>
      <c r="B280" s="17" t="n">
        <v>3314655</v>
      </c>
      <c r="C280" s="17" t="n">
        <v>0</v>
      </c>
      <c r="D280" s="17" t="inlineStr">
        <is>
          <t>0.000600</t>
        </is>
      </c>
      <c r="E280" s="17" t="inlineStr">
        <is>
          <t>1.000 SOL</t>
        </is>
      </c>
      <c r="F280" s="17" t="inlineStr">
        <is>
          <t>0.000 SOL</t>
        </is>
      </c>
      <c r="G280" s="18" t="inlineStr">
        <is>
          <t>-1.001 SOL</t>
        </is>
      </c>
      <c r="H280" s="18" t="inlineStr">
        <is>
          <t>0.00%</t>
        </is>
      </c>
      <c r="I280" s="17" t="inlineStr">
        <is>
          <t>3,314,655</t>
        </is>
      </c>
      <c r="J280" s="17" t="n">
        <v>1</v>
      </c>
      <c r="K280" s="17" t="n">
        <v>0</v>
      </c>
      <c r="L280" s="17" t="inlineStr">
        <is>
          <t>09.10.2024 00:33:16</t>
        </is>
      </c>
      <c r="M280" s="19" t="inlineStr">
        <is>
          <t>0 sec</t>
        </is>
      </c>
      <c r="N280" s="17" t="inlineStr">
        <is>
          <t xml:space="preserve">         53K            53K             3K</t>
        </is>
      </c>
      <c r="O280" s="17" t="inlineStr">
        <is>
          <t>7kPbpfqRd4Zony7utXNTsT1gW8NVT2YWz9448A84HPfq</t>
        </is>
      </c>
      <c r="P280" s="17">
        <f>HYPERLINK("https://dexscreener.com/solana/7kPbpfqRd4Zony7utXNTsT1gW8NVT2YWz9448A84HPfq", "View")</f>
        <v/>
      </c>
    </row>
    <row r="281">
      <c r="A281" s="20" t="inlineStr">
        <is>
          <t>WAAS</t>
        </is>
      </c>
      <c r="B281" s="21" t="n">
        <v>731005</v>
      </c>
      <c r="C281" s="21" t="n">
        <v>365502</v>
      </c>
      <c r="D281" s="21" t="inlineStr">
        <is>
          <t>0.001110</t>
        </is>
      </c>
      <c r="E281" s="21" t="inlineStr">
        <is>
          <t>1.000 SOL</t>
        </is>
      </c>
      <c r="F281" s="21" t="inlineStr">
        <is>
          <t>2.686 SOL</t>
        </is>
      </c>
      <c r="G281" s="24" t="inlineStr">
        <is>
          <t>1.685 SOL</t>
        </is>
      </c>
      <c r="H281" s="24" t="inlineStr">
        <is>
          <t>168.34%</t>
        </is>
      </c>
      <c r="I281" s="21" t="inlineStr">
        <is>
          <t>N/A</t>
        </is>
      </c>
      <c r="J281" s="21" t="n">
        <v>1</v>
      </c>
      <c r="K281" s="21" t="n">
        <v>1</v>
      </c>
      <c r="L281" s="21" t="inlineStr">
        <is>
          <t>08.10.2024 23:10:30</t>
        </is>
      </c>
      <c r="M281" s="21" t="inlineStr">
        <is>
          <t>1 days</t>
        </is>
      </c>
      <c r="N281" s="21" t="inlineStr">
        <is>
          <t xml:space="preserve">        241K             1M            19K</t>
        </is>
      </c>
      <c r="O281" s="21" t="inlineStr">
        <is>
          <t>6R3cyLUa8PmYo3Xk29bRXxGeVHSYF8RYrAsikeSwpump</t>
        </is>
      </c>
      <c r="P281" s="21">
        <f>HYPERLINK("https://dexscreener.com/solana/6R3cyLUa8PmYo3Xk29bRXxGeVHSYF8RYrAsikeSwpump", "View")</f>
        <v/>
      </c>
    </row>
    <row r="282">
      <c r="A282" s="16" t="inlineStr">
        <is>
          <t>PeterTodd</t>
        </is>
      </c>
      <c r="B282" s="17" t="n">
        <v>33320</v>
      </c>
      <c r="C282" s="17" t="n">
        <v>0</v>
      </c>
      <c r="D282" s="17" t="inlineStr">
        <is>
          <t>0.000600</t>
        </is>
      </c>
      <c r="E282" s="17" t="inlineStr">
        <is>
          <t>1.000 SOL</t>
        </is>
      </c>
      <c r="F282" s="17" t="inlineStr">
        <is>
          <t>0.000 SOL</t>
        </is>
      </c>
      <c r="G282" s="18" t="inlineStr">
        <is>
          <t>-1.001 SOL</t>
        </is>
      </c>
      <c r="H282" s="18" t="inlineStr">
        <is>
          <t>0.00%</t>
        </is>
      </c>
      <c r="I282" s="17" t="inlineStr">
        <is>
          <t>33,320</t>
        </is>
      </c>
      <c r="J282" s="17" t="n">
        <v>1</v>
      </c>
      <c r="K282" s="17" t="n">
        <v>0</v>
      </c>
      <c r="L282" s="17" t="inlineStr">
        <is>
          <t>08.10.2024 22:39:25</t>
        </is>
      </c>
      <c r="M282" s="19" t="inlineStr">
        <is>
          <t>0 sec</t>
        </is>
      </c>
      <c r="N282" s="17" t="inlineStr">
        <is>
          <t xml:space="preserve">          5M             5M            26K</t>
        </is>
      </c>
      <c r="O282" s="17" t="inlineStr">
        <is>
          <t>8oAiUkC1gpr4Tuz3ZA7YUntWE47sop1fYmGWo4Zrpump</t>
        </is>
      </c>
      <c r="P282" s="17">
        <f>HYPERLINK("https://dexscreener.com/solana/8oAiUkC1gpr4Tuz3ZA7YUntWE47sop1fYmGWo4Zrpump", "View")</f>
        <v/>
      </c>
    </row>
    <row r="283">
      <c r="A283" s="20" t="inlineStr">
        <is>
          <t>DAWG</t>
        </is>
      </c>
      <c r="B283" s="21" t="n">
        <v>939382</v>
      </c>
      <c r="C283" s="21" t="n">
        <v>0</v>
      </c>
      <c r="D283" s="21" t="inlineStr">
        <is>
          <t>0.000600</t>
        </is>
      </c>
      <c r="E283" s="21" t="inlineStr">
        <is>
          <t>1.000 SOL</t>
        </is>
      </c>
      <c r="F283" s="21" t="inlineStr">
        <is>
          <t>0.000 SOL</t>
        </is>
      </c>
      <c r="G283" s="18" t="inlineStr">
        <is>
          <t>-1.001 SOL</t>
        </is>
      </c>
      <c r="H283" s="18" t="inlineStr">
        <is>
          <t>0.00%</t>
        </is>
      </c>
      <c r="I283" s="21" t="inlineStr">
        <is>
          <t>939,382</t>
        </is>
      </c>
      <c r="J283" s="21" t="n">
        <v>1</v>
      </c>
      <c r="K283" s="21" t="n">
        <v>0</v>
      </c>
      <c r="L283" s="21" t="inlineStr">
        <is>
          <t>08.10.2024 22:36:15</t>
        </is>
      </c>
      <c r="M283" s="19" t="inlineStr">
        <is>
          <t>0 sec</t>
        </is>
      </c>
      <c r="N283" s="21" t="inlineStr">
        <is>
          <t xml:space="preserve">        N/A           N/A           N/A</t>
        </is>
      </c>
      <c r="O283" s="21" t="inlineStr">
        <is>
          <t>HK418jcNTPpdenup4krTspiSA56QwgjRXMf6h2Wwpump</t>
        </is>
      </c>
      <c r="P283" s="21">
        <f>HYPERLINK("https://dexscreener.com/solana/HK418jcNTPpdenup4krTspiSA56QwgjRXMf6h2Wwpump", "View")</f>
        <v/>
      </c>
    </row>
    <row r="284">
      <c r="A284" s="16" t="inlineStr">
        <is>
          <t>SD</t>
        </is>
      </c>
      <c r="B284" s="17" t="n">
        <v>1163019</v>
      </c>
      <c r="C284" s="17" t="n">
        <v>0</v>
      </c>
      <c r="D284" s="17" t="inlineStr">
        <is>
          <t>0.000600</t>
        </is>
      </c>
      <c r="E284" s="17" t="inlineStr">
        <is>
          <t>1.000 SOL</t>
        </is>
      </c>
      <c r="F284" s="17" t="inlineStr">
        <is>
          <t>0.000 SOL</t>
        </is>
      </c>
      <c r="G284" s="18" t="inlineStr">
        <is>
          <t>-1.001 SOL</t>
        </is>
      </c>
      <c r="H284" s="18" t="inlineStr">
        <is>
          <t>0.00%</t>
        </is>
      </c>
      <c r="I284" s="17" t="inlineStr">
        <is>
          <t>1,163,019</t>
        </is>
      </c>
      <c r="J284" s="17" t="n">
        <v>1</v>
      </c>
      <c r="K284" s="17" t="n">
        <v>0</v>
      </c>
      <c r="L284" s="17" t="inlineStr">
        <is>
          <t>08.10.2024 21:27:17</t>
        </is>
      </c>
      <c r="M284" s="19" t="inlineStr">
        <is>
          <t>0 sec</t>
        </is>
      </c>
      <c r="N284" s="17" t="inlineStr">
        <is>
          <t xml:space="preserve">        151K           151K             4K</t>
        </is>
      </c>
      <c r="O284" s="17" t="inlineStr">
        <is>
          <t>9PwmbpEVjz45bfuCJ7ATr6seArTzwf77o8tY6HnKpump</t>
        </is>
      </c>
      <c r="P284" s="17">
        <f>HYPERLINK("https://dexscreener.com/solana/9PwmbpEVjz45bfuCJ7ATr6seArTzwf77o8tY6HnKpump", "View")</f>
        <v/>
      </c>
    </row>
    <row r="285">
      <c r="A285" s="20" t="inlineStr">
        <is>
          <t>MOZUKU</t>
        </is>
      </c>
      <c r="B285" s="21" t="n">
        <v>414642</v>
      </c>
      <c r="C285" s="21" t="n">
        <v>0</v>
      </c>
      <c r="D285" s="21" t="inlineStr">
        <is>
          <t>0.000600</t>
        </is>
      </c>
      <c r="E285" s="21" t="inlineStr">
        <is>
          <t>1.000 SOL</t>
        </is>
      </c>
      <c r="F285" s="21" t="inlineStr">
        <is>
          <t>0.000 SOL</t>
        </is>
      </c>
      <c r="G285" s="18" t="inlineStr">
        <is>
          <t>-1.001 SOL</t>
        </is>
      </c>
      <c r="H285" s="18" t="inlineStr">
        <is>
          <t>0.00%</t>
        </is>
      </c>
      <c r="I285" s="21" t="inlineStr">
        <is>
          <t>414,642</t>
        </is>
      </c>
      <c r="J285" s="21" t="n">
        <v>1</v>
      </c>
      <c r="K285" s="21" t="n">
        <v>0</v>
      </c>
      <c r="L285" s="21" t="inlineStr">
        <is>
          <t>08.10.2024 19:42:33</t>
        </is>
      </c>
      <c r="M285" s="19" t="inlineStr">
        <is>
          <t>0 sec</t>
        </is>
      </c>
      <c r="N285" s="21" t="inlineStr">
        <is>
          <t xml:space="preserve">        422K           422K             5K</t>
        </is>
      </c>
      <c r="O285" s="21" t="inlineStr">
        <is>
          <t>FJvmeqEf8HkQVatYiMV57wN4q8tML1Hg5M7ze87Fpump</t>
        </is>
      </c>
      <c r="P285" s="21">
        <f>HYPERLINK("https://dexscreener.com/solana/FJvmeqEf8HkQVatYiMV57wN4q8tML1Hg5M7ze87Fpump", "View")</f>
        <v/>
      </c>
    </row>
    <row r="286">
      <c r="A286" s="16" t="inlineStr">
        <is>
          <t>Mozuku</t>
        </is>
      </c>
      <c r="B286" s="17" t="n">
        <v>3339170</v>
      </c>
      <c r="C286" s="17" t="n">
        <v>0</v>
      </c>
      <c r="D286" s="17" t="inlineStr">
        <is>
          <t>0.000600</t>
        </is>
      </c>
      <c r="E286" s="17" t="inlineStr">
        <is>
          <t>1.000 SOL</t>
        </is>
      </c>
      <c r="F286" s="17" t="inlineStr">
        <is>
          <t>0.000 SOL</t>
        </is>
      </c>
      <c r="G286" s="18" t="inlineStr">
        <is>
          <t>-1.001 SOL</t>
        </is>
      </c>
      <c r="H286" s="18" t="inlineStr">
        <is>
          <t>0.00%</t>
        </is>
      </c>
      <c r="I286" s="17" t="inlineStr">
        <is>
          <t>3,339,170</t>
        </is>
      </c>
      <c r="J286" s="17" t="n">
        <v>1</v>
      </c>
      <c r="K286" s="17" t="n">
        <v>0</v>
      </c>
      <c r="L286" s="17" t="inlineStr">
        <is>
          <t>08.10.2024 19:42:24</t>
        </is>
      </c>
      <c r="M286" s="19" t="inlineStr">
        <is>
          <t>0 sec</t>
        </is>
      </c>
      <c r="N286" s="17" t="inlineStr">
        <is>
          <t xml:space="preserve">         52K            52K             3K</t>
        </is>
      </c>
      <c r="O286" s="17" t="inlineStr">
        <is>
          <t>4nLo1aNSBqopjxg8uNYTJMmcGWxkSEw6fBHHGxsTpump</t>
        </is>
      </c>
      <c r="P286" s="17">
        <f>HYPERLINK("https://dexscreener.com/solana/4nLo1aNSBqopjxg8uNYTJMmcGWxkSEw6fBHHGxsTpump", "View")</f>
        <v/>
      </c>
    </row>
    <row r="287">
      <c r="A287" s="20" t="inlineStr">
        <is>
          <t>BOBA</t>
        </is>
      </c>
      <c r="B287" s="21" t="n">
        <v>6363287</v>
      </c>
      <c r="C287" s="21" t="n">
        <v>0</v>
      </c>
      <c r="D287" s="21" t="inlineStr">
        <is>
          <t>0.000600</t>
        </is>
      </c>
      <c r="E287" s="21" t="inlineStr">
        <is>
          <t>1.000 SOL</t>
        </is>
      </c>
      <c r="F287" s="21" t="inlineStr">
        <is>
          <t>0.000 SOL</t>
        </is>
      </c>
      <c r="G287" s="18" t="inlineStr">
        <is>
          <t>-1.001 SOL</t>
        </is>
      </c>
      <c r="H287" s="18" t="inlineStr">
        <is>
          <t>0.00%</t>
        </is>
      </c>
      <c r="I287" s="21" t="inlineStr">
        <is>
          <t>6,363,287</t>
        </is>
      </c>
      <c r="J287" s="21" t="n">
        <v>1</v>
      </c>
      <c r="K287" s="21" t="n">
        <v>0</v>
      </c>
      <c r="L287" s="21" t="inlineStr">
        <is>
          <t>08.10.2024 19:39:18</t>
        </is>
      </c>
      <c r="M287" s="19" t="inlineStr">
        <is>
          <t>0 sec</t>
        </is>
      </c>
      <c r="N287" s="21" t="inlineStr">
        <is>
          <t xml:space="preserve">        N/A           N/A           N/A</t>
        </is>
      </c>
      <c r="O287" s="21" t="inlineStr">
        <is>
          <t>2NmCEfz2nAZ1WfMNY4ECSquL1Ped5srfpebzD57w7eia</t>
        </is>
      </c>
      <c r="P287" s="21">
        <f>HYPERLINK("https://dexscreener.com/solana/2NmCEfz2nAZ1WfMNY4ECSquL1Ped5srfpebzD57w7eia", "View")</f>
        <v/>
      </c>
    </row>
    <row r="288">
      <c r="A288" s="16" t="inlineStr">
        <is>
          <t>SATOSHI</t>
        </is>
      </c>
      <c r="B288" s="17" t="n">
        <v>324057</v>
      </c>
      <c r="C288" s="17" t="n">
        <v>0</v>
      </c>
      <c r="D288" s="17" t="inlineStr">
        <is>
          <t>0.000600</t>
        </is>
      </c>
      <c r="E288" s="17" t="inlineStr">
        <is>
          <t>1.000 SOL</t>
        </is>
      </c>
      <c r="F288" s="17" t="inlineStr">
        <is>
          <t>0.000 SOL</t>
        </is>
      </c>
      <c r="G288" s="18" t="inlineStr">
        <is>
          <t>-1.001 SOL</t>
        </is>
      </c>
      <c r="H288" s="18" t="inlineStr">
        <is>
          <t>0.00%</t>
        </is>
      </c>
      <c r="I288" s="17" t="inlineStr">
        <is>
          <t>324,057</t>
        </is>
      </c>
      <c r="J288" s="17" t="n">
        <v>1</v>
      </c>
      <c r="K288" s="17" t="n">
        <v>0</v>
      </c>
      <c r="L288" s="17" t="inlineStr">
        <is>
          <t>08.10.2024 19:09:18</t>
        </is>
      </c>
      <c r="M288" s="19" t="inlineStr">
        <is>
          <t>0 sec</t>
        </is>
      </c>
      <c r="N288" s="17" t="inlineStr">
        <is>
          <t xml:space="preserve">        542K           542K             5K</t>
        </is>
      </c>
      <c r="O288" s="17" t="inlineStr">
        <is>
          <t>H5Cr4Kf7jmnCHuFN7H4bJYT5pfKAhHtU1JaRMzBspump</t>
        </is>
      </c>
      <c r="P288" s="17">
        <f>HYPERLINK("https://dexscreener.com/solana/H5Cr4Kf7jmnCHuFN7H4bJYT5pfKAhHtU1JaRMzBspump", "View")</f>
        <v/>
      </c>
    </row>
    <row r="289">
      <c r="A289" s="20" t="inlineStr">
        <is>
          <t>Todd</t>
        </is>
      </c>
      <c r="B289" s="21" t="n">
        <v>2439058</v>
      </c>
      <c r="C289" s="21" t="n">
        <v>0</v>
      </c>
      <c r="D289" s="21" t="inlineStr">
        <is>
          <t>0.000600</t>
        </is>
      </c>
      <c r="E289" s="21" t="inlineStr">
        <is>
          <t>1.000 SOL</t>
        </is>
      </c>
      <c r="F289" s="21" t="inlineStr">
        <is>
          <t>0.000 SOL</t>
        </is>
      </c>
      <c r="G289" s="18" t="inlineStr">
        <is>
          <t>-1.001 SOL</t>
        </is>
      </c>
      <c r="H289" s="18" t="inlineStr">
        <is>
          <t>0.00%</t>
        </is>
      </c>
      <c r="I289" s="21" t="inlineStr">
        <is>
          <t>2,439,058</t>
        </is>
      </c>
      <c r="J289" s="21" t="n">
        <v>1</v>
      </c>
      <c r="K289" s="21" t="n">
        <v>0</v>
      </c>
      <c r="L289" s="21" t="inlineStr">
        <is>
          <t>08.10.2024 19:03:24</t>
        </is>
      </c>
      <c r="M289" s="19" t="inlineStr">
        <is>
          <t>0 sec</t>
        </is>
      </c>
      <c r="N289" s="21" t="inlineStr">
        <is>
          <t xml:space="preserve">         72K            72K             4K</t>
        </is>
      </c>
      <c r="O289" s="21" t="inlineStr">
        <is>
          <t>67yCqFSCAHnSKYh8r1GRwTGA4sTpUPfwRbsxT2pLpump</t>
        </is>
      </c>
      <c r="P289" s="21">
        <f>HYPERLINK("https://dexscreener.com/solana/67yCqFSCAHnSKYh8r1GRwTGA4sTpUPfwRbsxT2pLpump", "View")</f>
        <v/>
      </c>
    </row>
    <row r="290">
      <c r="A290" s="16" t="inlineStr">
        <is>
          <t>vili</t>
        </is>
      </c>
      <c r="B290" s="17" t="n">
        <v>3289201</v>
      </c>
      <c r="C290" s="17" t="n">
        <v>0</v>
      </c>
      <c r="D290" s="17" t="inlineStr">
        <is>
          <t>0.000600</t>
        </is>
      </c>
      <c r="E290" s="17" t="inlineStr">
        <is>
          <t>1.000 SOL</t>
        </is>
      </c>
      <c r="F290" s="17" t="inlineStr">
        <is>
          <t>0.000 SOL</t>
        </is>
      </c>
      <c r="G290" s="18" t="inlineStr">
        <is>
          <t>-1.001 SOL</t>
        </is>
      </c>
      <c r="H290" s="18" t="inlineStr">
        <is>
          <t>0.00%</t>
        </is>
      </c>
      <c r="I290" s="17" t="inlineStr">
        <is>
          <t>3,289,201</t>
        </is>
      </c>
      <c r="J290" s="17" t="n">
        <v>1</v>
      </c>
      <c r="K290" s="17" t="n">
        <v>0</v>
      </c>
      <c r="L290" s="17" t="inlineStr">
        <is>
          <t>08.10.2024 18:45:20</t>
        </is>
      </c>
      <c r="M290" s="19" t="inlineStr">
        <is>
          <t>0 sec</t>
        </is>
      </c>
      <c r="N290" s="17" t="inlineStr">
        <is>
          <t xml:space="preserve">         53K            53K             4K</t>
        </is>
      </c>
      <c r="O290" s="17" t="inlineStr">
        <is>
          <t>Fzeox4Jc7QGbEBsC4ziS5GxycSP3aYJ34yPxTEpZpump</t>
        </is>
      </c>
      <c r="P290" s="17">
        <f>HYPERLINK("https://dexscreener.com/solana/Fzeox4Jc7QGbEBsC4ziS5GxycSP3aYJ34yPxTEpZpump", "View")</f>
        <v/>
      </c>
    </row>
    <row r="291">
      <c r="A291" s="20" t="inlineStr">
        <is>
          <t>IRS</t>
        </is>
      </c>
      <c r="B291" s="21" t="n">
        <v>2347930</v>
      </c>
      <c r="C291" s="21" t="n">
        <v>2174169</v>
      </c>
      <c r="D291" s="21" t="inlineStr">
        <is>
          <t>0.002120</t>
        </is>
      </c>
      <c r="E291" s="21" t="inlineStr">
        <is>
          <t>1.000 SOL</t>
        </is>
      </c>
      <c r="F291" s="21" t="inlineStr">
        <is>
          <t>2.740 SOL</t>
        </is>
      </c>
      <c r="G291" s="24" t="inlineStr">
        <is>
          <t>1.738 SOL</t>
        </is>
      </c>
      <c r="H291" s="24" t="inlineStr">
        <is>
          <t>173.43%</t>
        </is>
      </c>
      <c r="I291" s="21" t="inlineStr">
        <is>
          <t>N/A</t>
        </is>
      </c>
      <c r="J291" s="21" t="n">
        <v>1</v>
      </c>
      <c r="K291" s="21" t="n">
        <v>3</v>
      </c>
      <c r="L291" s="21" t="inlineStr">
        <is>
          <t>08.10.2024 16:40:35</t>
        </is>
      </c>
      <c r="M291" s="21" t="inlineStr">
        <is>
          <t>1 days</t>
        </is>
      </c>
      <c r="N291" s="21" t="inlineStr">
        <is>
          <t xml:space="preserve">         76K           775K            92K</t>
        </is>
      </c>
      <c r="O291" s="21" t="inlineStr">
        <is>
          <t>4y5fknXiRc8pJSTiNAzLmCum7LmzctRjxZWc1qtmpump</t>
        </is>
      </c>
      <c r="P291" s="21">
        <f>HYPERLINK("https://dexscreener.com/solana/4y5fknXiRc8pJSTiNAzLmCum7LmzctRjxZWc1qtmpump", "View")</f>
        <v/>
      </c>
    </row>
    <row r="292">
      <c r="A292" s="16" t="inlineStr">
        <is>
          <t>Gandalf</t>
        </is>
      </c>
      <c r="B292" s="17" t="n">
        <v>4089846</v>
      </c>
      <c r="C292" s="17" t="n">
        <v>2044923</v>
      </c>
      <c r="D292" s="17" t="inlineStr">
        <is>
          <t>0.001110</t>
        </is>
      </c>
      <c r="E292" s="17" t="inlineStr">
        <is>
          <t>1.000 SOL</t>
        </is>
      </c>
      <c r="F292" s="17" t="inlineStr">
        <is>
          <t>2.841 SOL</t>
        </is>
      </c>
      <c r="G292" s="24" t="inlineStr">
        <is>
          <t>1.840 SOL</t>
        </is>
      </c>
      <c r="H292" s="24" t="inlineStr">
        <is>
          <t>183.80%</t>
        </is>
      </c>
      <c r="I292" s="17" t="inlineStr">
        <is>
          <t>N/A</t>
        </is>
      </c>
      <c r="J292" s="17" t="n">
        <v>1</v>
      </c>
      <c r="K292" s="17" t="n">
        <v>1</v>
      </c>
      <c r="L292" s="17" t="inlineStr">
        <is>
          <t>08.10.2024 15:55:28</t>
        </is>
      </c>
      <c r="M292" s="17" t="inlineStr">
        <is>
          <t>19 hours</t>
        </is>
      </c>
      <c r="N292" s="17" t="inlineStr">
        <is>
          <t xml:space="preserve">         42K           244K            10K</t>
        </is>
      </c>
      <c r="O292" s="17" t="inlineStr">
        <is>
          <t>4CPQVcfg4o16KTFfy1XVc2TXvNcp8Zep8QnwTHm4pump</t>
        </is>
      </c>
      <c r="P292" s="17">
        <f>HYPERLINK("https://dexscreener.com/solana/4CPQVcfg4o16KTFfy1XVc2TXvNcp8Zep8QnwTHm4pump", "View")</f>
        <v/>
      </c>
    </row>
    <row r="293">
      <c r="A293" s="20" t="inlineStr">
        <is>
          <t>SATOSHI</t>
        </is>
      </c>
      <c r="B293" s="21" t="n">
        <v>818168</v>
      </c>
      <c r="C293" s="21" t="n">
        <v>717231</v>
      </c>
      <c r="D293" s="21" t="inlineStr">
        <is>
          <t>0.002120</t>
        </is>
      </c>
      <c r="E293" s="21" t="inlineStr">
        <is>
          <t>1.000 SOL</t>
        </is>
      </c>
      <c r="F293" s="21" t="inlineStr">
        <is>
          <t>4.024 SOL</t>
        </is>
      </c>
      <c r="G293" s="24" t="inlineStr">
        <is>
          <t>3.022 SOL</t>
        </is>
      </c>
      <c r="H293" s="24" t="inlineStr">
        <is>
          <t>301.56%</t>
        </is>
      </c>
      <c r="I293" s="21" t="inlineStr">
        <is>
          <t>N/A</t>
        </is>
      </c>
      <c r="J293" s="21" t="n">
        <v>1</v>
      </c>
      <c r="K293" s="21" t="n">
        <v>3</v>
      </c>
      <c r="L293" s="21" t="inlineStr">
        <is>
          <t>08.10.2024 15:50:30</t>
        </is>
      </c>
      <c r="M293" s="21" t="inlineStr">
        <is>
          <t>14 hours</t>
        </is>
      </c>
      <c r="N293" s="21" t="inlineStr">
        <is>
          <t xml:space="preserve">        214K             2M             9K</t>
        </is>
      </c>
      <c r="O293" s="21" t="inlineStr">
        <is>
          <t>AY4AxLZaqZ6XAt3GhUnqreBH1DM7YzqAsoqQ8KmJpump</t>
        </is>
      </c>
      <c r="P293" s="21">
        <f>HYPERLINK("https://dexscreener.com/solana/AY4AxLZaqZ6XAt3GhUnqreBH1DM7YzqAsoqQ8KmJpump", "View")</f>
        <v/>
      </c>
    </row>
    <row r="294">
      <c r="A294" s="16" t="inlineStr">
        <is>
          <t>AIRCAT</t>
        </is>
      </c>
      <c r="B294" s="17" t="n">
        <v>2237457</v>
      </c>
      <c r="C294" s="17" t="n">
        <v>0</v>
      </c>
      <c r="D294" s="17" t="inlineStr">
        <is>
          <t>0.005000</t>
        </is>
      </c>
      <c r="E294" s="17" t="inlineStr">
        <is>
          <t>0.993 SOL</t>
        </is>
      </c>
      <c r="F294" s="17" t="inlineStr">
        <is>
          <t>0.000 SOL</t>
        </is>
      </c>
      <c r="G294" s="18" t="inlineStr">
        <is>
          <t>-0.998 SOL</t>
        </is>
      </c>
      <c r="H294" s="18" t="inlineStr">
        <is>
          <t>0.00%</t>
        </is>
      </c>
      <c r="I294" s="17" t="inlineStr">
        <is>
          <t>2,237,457</t>
        </is>
      </c>
      <c r="J294" s="17" t="n">
        <v>1</v>
      </c>
      <c r="K294" s="17" t="n">
        <v>0</v>
      </c>
      <c r="L294" s="17" t="inlineStr">
        <is>
          <t>08.10.2024 14:39:21</t>
        </is>
      </c>
      <c r="M294" s="19" t="inlineStr">
        <is>
          <t>0 sec</t>
        </is>
      </c>
      <c r="N294" s="17" t="inlineStr">
        <is>
          <t xml:space="preserve">         77K            77K             5K</t>
        </is>
      </c>
      <c r="O294" s="17" t="inlineStr">
        <is>
          <t>rd3gw8zV94tQUUQjQUVe4qoGjLsfapR9uLT5wdeT4Bv</t>
        </is>
      </c>
      <c r="P294" s="17">
        <f>HYPERLINK("https://dexscreener.com/solana/rd3gw8zV94tQUUQjQUVe4qoGjLsfapR9uLT5wdeT4Bv", "View")</f>
        <v/>
      </c>
    </row>
    <row r="295">
      <c r="A295" s="20" t="inlineStr">
        <is>
          <t>S&amp;P500</t>
        </is>
      </c>
      <c r="B295" s="21" t="n">
        <v>4241066</v>
      </c>
      <c r="C295" s="21" t="n">
        <v>3746548</v>
      </c>
      <c r="D295" s="21" t="inlineStr">
        <is>
          <t>0.001620</t>
        </is>
      </c>
      <c r="E295" s="21" t="inlineStr">
        <is>
          <t>1.000 SOL</t>
        </is>
      </c>
      <c r="F295" s="21" t="inlineStr">
        <is>
          <t>1.505 SOL</t>
        </is>
      </c>
      <c r="G295" s="24" t="inlineStr">
        <is>
          <t>0.503 SOL</t>
        </is>
      </c>
      <c r="H295" s="24" t="inlineStr">
        <is>
          <t>50.23%</t>
        </is>
      </c>
      <c r="I295" s="21" t="inlineStr">
        <is>
          <t>N/A</t>
        </is>
      </c>
      <c r="J295" s="21" t="n">
        <v>1</v>
      </c>
      <c r="K295" s="21" t="n">
        <v>2</v>
      </c>
      <c r="L295" s="21" t="inlineStr">
        <is>
          <t>08.10.2024 12:35:23</t>
        </is>
      </c>
      <c r="M295" s="21" t="inlineStr">
        <is>
          <t>3 hours</t>
        </is>
      </c>
      <c r="N295" s="21" t="inlineStr">
        <is>
          <t xml:space="preserve">         42K           195K             5K</t>
        </is>
      </c>
      <c r="O295" s="21" t="inlineStr">
        <is>
          <t>CWmqNsMiynUfmo8E71kDzBofKu4tPAzrpE55gwiCpump</t>
        </is>
      </c>
      <c r="P295" s="21">
        <f>HYPERLINK("https://dexscreener.com/solana/CWmqNsMiynUfmo8E71kDzBofKu4tPAzrpE55gwiCpump", "View")</f>
        <v/>
      </c>
    </row>
    <row r="296">
      <c r="A296" s="16" t="inlineStr">
        <is>
          <t>PIXCAT</t>
        </is>
      </c>
      <c r="B296" s="17" t="n">
        <v>2851174</v>
      </c>
      <c r="C296" s="17" t="n">
        <v>2263247</v>
      </c>
      <c r="D296" s="17" t="inlineStr">
        <is>
          <t>0.001620</t>
        </is>
      </c>
      <c r="E296" s="17" t="inlineStr">
        <is>
          <t>1.000 SOL</t>
        </is>
      </c>
      <c r="F296" s="17" t="inlineStr">
        <is>
          <t>1.957 SOL</t>
        </is>
      </c>
      <c r="G296" s="24" t="inlineStr">
        <is>
          <t>0.955 SOL</t>
        </is>
      </c>
      <c r="H296" s="24" t="inlineStr">
        <is>
          <t>95.34%</t>
        </is>
      </c>
      <c r="I296" s="17" t="inlineStr">
        <is>
          <t>N/A</t>
        </is>
      </c>
      <c r="J296" s="17" t="n">
        <v>1</v>
      </c>
      <c r="K296" s="17" t="n">
        <v>2</v>
      </c>
      <c r="L296" s="17" t="inlineStr">
        <is>
          <t>08.10.2024 11:55:27</t>
        </is>
      </c>
      <c r="M296" s="17" t="inlineStr">
        <is>
          <t>19 hours</t>
        </is>
      </c>
      <c r="N296" s="17" t="inlineStr">
        <is>
          <t xml:space="preserve">         61K           290K           148K</t>
        </is>
      </c>
      <c r="O296" s="17" t="inlineStr">
        <is>
          <t>HWhmEAFjtHK35b4CjRSbdbhh2muqUpgeW4vzZZcbpump</t>
        </is>
      </c>
      <c r="P296" s="17">
        <f>HYPERLINK("https://dexscreener.com/solana/HWhmEAFjtHK35b4CjRSbdbhh2muqUpgeW4vzZZcbpump", "View")</f>
        <v/>
      </c>
    </row>
    <row r="297">
      <c r="A297" s="20" t="inlineStr">
        <is>
          <t>PIPO</t>
        </is>
      </c>
      <c r="B297" s="21" t="n">
        <v>10968429</v>
      </c>
      <c r="C297" s="21" t="n">
        <v>0</v>
      </c>
      <c r="D297" s="21" t="inlineStr">
        <is>
          <t>0.000600</t>
        </is>
      </c>
      <c r="E297" s="21" t="inlineStr">
        <is>
          <t>1.000 SOL</t>
        </is>
      </c>
      <c r="F297" s="21" t="inlineStr">
        <is>
          <t>0.000 SOL</t>
        </is>
      </c>
      <c r="G297" s="18" t="inlineStr">
        <is>
          <t>-1.001 SOL</t>
        </is>
      </c>
      <c r="H297" s="18" t="inlineStr">
        <is>
          <t>0.00%</t>
        </is>
      </c>
      <c r="I297" s="21" t="inlineStr">
        <is>
          <t>10,968,429</t>
        </is>
      </c>
      <c r="J297" s="21" t="n">
        <v>1</v>
      </c>
      <c r="K297" s="21" t="n">
        <v>0</v>
      </c>
      <c r="L297" s="21" t="inlineStr">
        <is>
          <t>08.10.2024 11:42:19</t>
        </is>
      </c>
      <c r="M297" s="19" t="inlineStr">
        <is>
          <t>0 sec</t>
        </is>
      </c>
      <c r="N297" s="21" t="inlineStr">
        <is>
          <t xml:space="preserve">        N/A           N/A           N/A</t>
        </is>
      </c>
      <c r="O297" s="21" t="inlineStr">
        <is>
          <t>BiWzdzQXKhDcb3LsGsBToyvmHnNy3acA1m85U5Yi2YEp</t>
        </is>
      </c>
      <c r="P297" s="21">
        <f>HYPERLINK("https://dexscreener.com/solana/BiWzdzQXKhDcb3LsGsBToyvmHnNy3acA1m85U5Yi2YEp", "View")</f>
        <v/>
      </c>
    </row>
    <row r="298">
      <c r="A298" s="16" t="inlineStr">
        <is>
          <t>sok</t>
        </is>
      </c>
      <c r="B298" s="17" t="n">
        <v>876291</v>
      </c>
      <c r="C298" s="17" t="n">
        <v>0</v>
      </c>
      <c r="D298" s="17" t="inlineStr">
        <is>
          <t>0.000600</t>
        </is>
      </c>
      <c r="E298" s="17" t="inlineStr">
        <is>
          <t>1.000 SOL</t>
        </is>
      </c>
      <c r="F298" s="17" t="inlineStr">
        <is>
          <t>0.000 SOL</t>
        </is>
      </c>
      <c r="G298" s="18" t="inlineStr">
        <is>
          <t>-1.001 SOL</t>
        </is>
      </c>
      <c r="H298" s="18" t="inlineStr">
        <is>
          <t>0.00%</t>
        </is>
      </c>
      <c r="I298" s="17" t="inlineStr">
        <is>
          <t>876,291</t>
        </is>
      </c>
      <c r="J298" s="17" t="n">
        <v>1</v>
      </c>
      <c r="K298" s="17" t="n">
        <v>0</v>
      </c>
      <c r="L298" s="17" t="inlineStr">
        <is>
          <t>08.10.2024 08:09:19</t>
        </is>
      </c>
      <c r="M298" s="19" t="inlineStr">
        <is>
          <t>0 sec</t>
        </is>
      </c>
      <c r="N298" s="17" t="inlineStr">
        <is>
          <t xml:space="preserve">        200K           200K             7K</t>
        </is>
      </c>
      <c r="O298" s="17" t="inlineStr">
        <is>
          <t>4uzbSwHSJRA43VErKVPWnBySc3stG2CsDwypQ6xVpump</t>
        </is>
      </c>
      <c r="P298" s="17">
        <f>HYPERLINK("https://dexscreener.com/solana/4uzbSwHSJRA43VErKVPWnBySc3stG2CsDwypQ6xVpump", "View")</f>
        <v/>
      </c>
    </row>
    <row r="299">
      <c r="A299" s="20" t="inlineStr">
        <is>
          <t>FLON</t>
        </is>
      </c>
      <c r="B299" s="21" t="n">
        <v>1814378</v>
      </c>
      <c r="C299" s="21" t="n">
        <v>1403705</v>
      </c>
      <c r="D299" s="21" t="inlineStr">
        <is>
          <t>0.001110</t>
        </is>
      </c>
      <c r="E299" s="21" t="inlineStr">
        <is>
          <t>1.000 SOL</t>
        </is>
      </c>
      <c r="F299" s="21" t="inlineStr">
        <is>
          <t>0.925 SOL</t>
        </is>
      </c>
      <c r="G299" s="25" t="inlineStr">
        <is>
          <t>-0.076 SOL</t>
        </is>
      </c>
      <c r="H299" s="25" t="inlineStr">
        <is>
          <t>-7.64%</t>
        </is>
      </c>
      <c r="I299" s="21" t="inlineStr">
        <is>
          <t>N/A</t>
        </is>
      </c>
      <c r="J299" s="21" t="n">
        <v>1</v>
      </c>
      <c r="K299" s="21" t="n">
        <v>1</v>
      </c>
      <c r="L299" s="21" t="inlineStr">
        <is>
          <t>08.10.2024 05:00:35</t>
        </is>
      </c>
      <c r="M299" s="21" t="inlineStr">
        <is>
          <t>9 min</t>
        </is>
      </c>
      <c r="N299" s="21" t="inlineStr">
        <is>
          <t xml:space="preserve">         94K           113K             4K</t>
        </is>
      </c>
      <c r="O299" s="21" t="inlineStr">
        <is>
          <t>2DnQiJLsqpbs9VMKsrqMsja9ffPySYaF1JAxLgHxpump</t>
        </is>
      </c>
      <c r="P299" s="21">
        <f>HYPERLINK("https://dexscreener.com/solana/2DnQiJLsqpbs9VMKsrqMsja9ffPySYaF1JAxLgHxpump", "View")</f>
        <v/>
      </c>
    </row>
    <row r="300">
      <c r="A300" s="16" t="inlineStr">
        <is>
          <t>SATOSHI</t>
        </is>
      </c>
      <c r="B300" s="17" t="n">
        <v>5878045</v>
      </c>
      <c r="C300" s="17" t="n">
        <v>4408533</v>
      </c>
      <c r="D300" s="17" t="inlineStr">
        <is>
          <t>0.001620</t>
        </is>
      </c>
      <c r="E300" s="17" t="inlineStr">
        <is>
          <t>1.000 SOL</t>
        </is>
      </c>
      <c r="F300" s="17" t="inlineStr">
        <is>
          <t>4.434 SOL</t>
        </is>
      </c>
      <c r="G300" s="24" t="inlineStr">
        <is>
          <t>3.432 SOL</t>
        </is>
      </c>
      <c r="H300" s="24" t="inlineStr">
        <is>
          <t>342.67%</t>
        </is>
      </c>
      <c r="I300" s="17" t="inlineStr">
        <is>
          <t>N/A</t>
        </is>
      </c>
      <c r="J300" s="17" t="n">
        <v>1</v>
      </c>
      <c r="K300" s="17" t="n">
        <v>2</v>
      </c>
      <c r="L300" s="17" t="inlineStr">
        <is>
          <t>08.10.2024 04:15:25</t>
        </is>
      </c>
      <c r="M300" s="17" t="inlineStr">
        <is>
          <t>3 hours</t>
        </is>
      </c>
      <c r="N300" s="17" t="inlineStr">
        <is>
          <t xml:space="preserve">         30K           272K             5K</t>
        </is>
      </c>
      <c r="O300" s="17" t="inlineStr">
        <is>
          <t>9GuuVDvmMijVqa6nojZtJpgyEVDYpz4FKpSWfzSEpump</t>
        </is>
      </c>
      <c r="P300" s="17">
        <f>HYPERLINK("https://dexscreener.com/solana/9GuuVDvmMijVqa6nojZtJpgyEVDYpz4FKpSWfzSEpump", "View")</f>
        <v/>
      </c>
    </row>
    <row r="301">
      <c r="A301" s="20" t="inlineStr">
        <is>
          <t>SATOSHI</t>
        </is>
      </c>
      <c r="B301" s="21" t="n">
        <v>3195773</v>
      </c>
      <c r="C301" s="21" t="n">
        <v>0</v>
      </c>
      <c r="D301" s="21" t="inlineStr">
        <is>
          <t>0.000600</t>
        </is>
      </c>
      <c r="E301" s="21" t="inlineStr">
        <is>
          <t>1.000 SOL</t>
        </is>
      </c>
      <c r="F301" s="21" t="inlineStr">
        <is>
          <t>0.000 SOL</t>
        </is>
      </c>
      <c r="G301" s="18" t="inlineStr">
        <is>
          <t>-1.001 SOL</t>
        </is>
      </c>
      <c r="H301" s="18" t="inlineStr">
        <is>
          <t>0.00%</t>
        </is>
      </c>
      <c r="I301" s="21" t="inlineStr">
        <is>
          <t>3,195,773</t>
        </is>
      </c>
      <c r="J301" s="21" t="n">
        <v>1</v>
      </c>
      <c r="K301" s="21" t="n">
        <v>0</v>
      </c>
      <c r="L301" s="21" t="inlineStr">
        <is>
          <t>08.10.2024 01:45:23</t>
        </is>
      </c>
      <c r="M301" s="19" t="inlineStr">
        <is>
          <t>0 sec</t>
        </is>
      </c>
      <c r="N301" s="21" t="inlineStr">
        <is>
          <t xml:space="preserve">         54K            54K             4K</t>
        </is>
      </c>
      <c r="O301" s="21" t="inlineStr">
        <is>
          <t>2Bj3YDphkwBr4PuF3QJPEusyLXwVTgsQ9ezn7PD3pump</t>
        </is>
      </c>
      <c r="P301" s="21">
        <f>HYPERLINK("https://dexscreener.com/solana/2Bj3YDphkwBr4PuF3QJPEusyLXwVTgsQ9ezn7PD3pump", "View")</f>
        <v/>
      </c>
    </row>
    <row r="302">
      <c r="A302" s="16" t="inlineStr">
        <is>
          <t>CTO</t>
        </is>
      </c>
      <c r="B302" s="17" t="n">
        <v>5332860</v>
      </c>
      <c r="C302" s="17" t="n">
        <v>3622</v>
      </c>
      <c r="D302" s="17" t="inlineStr">
        <is>
          <t>0.010010</t>
        </is>
      </c>
      <c r="E302" s="17" t="inlineStr">
        <is>
          <t>0.988 SOL</t>
        </is>
      </c>
      <c r="F302" s="17" t="inlineStr">
        <is>
          <t>0.001 SOL</t>
        </is>
      </c>
      <c r="G302" s="23" t="inlineStr">
        <is>
          <t>-0.997 SOL</t>
        </is>
      </c>
      <c r="H302" s="23" t="inlineStr">
        <is>
          <t>-99.90%</t>
        </is>
      </c>
      <c r="I302" s="17" t="inlineStr">
        <is>
          <t>N/A</t>
        </is>
      </c>
      <c r="J302" s="17" t="n">
        <v>1</v>
      </c>
      <c r="K302" s="17" t="n">
        <v>1</v>
      </c>
      <c r="L302" s="17" t="inlineStr">
        <is>
          <t>07.10.2024 21:45:21</t>
        </is>
      </c>
      <c r="M302" s="17" t="inlineStr">
        <is>
          <t>1 hours</t>
        </is>
      </c>
      <c r="N302" s="17" t="inlineStr">
        <is>
          <t xml:space="preserve">         33K            47K             4K</t>
        </is>
      </c>
      <c r="O302" s="17" t="inlineStr">
        <is>
          <t>5J8fthTzJZ25BzTucmFkCn2QvpxEJVUQ6ft7xaDWybLo</t>
        </is>
      </c>
      <c r="P302" s="17">
        <f>HYPERLINK("https://dexscreener.com/solana/5J8fthTzJZ25BzTucmFkCn2QvpxEJVUQ6ft7xaDWybLo", "View")</f>
        <v/>
      </c>
    </row>
    <row r="303">
      <c r="A303" s="20" t="inlineStr">
        <is>
          <t>sis</t>
        </is>
      </c>
      <c r="B303" s="21" t="n">
        <v>2727835</v>
      </c>
      <c r="C303" s="21" t="n">
        <v>2257252</v>
      </c>
      <c r="D303" s="21" t="inlineStr">
        <is>
          <t>0.001620</t>
        </is>
      </c>
      <c r="E303" s="21" t="inlineStr">
        <is>
          <t>1.000 SOL</t>
        </is>
      </c>
      <c r="F303" s="21" t="inlineStr">
        <is>
          <t>1.884 SOL</t>
        </is>
      </c>
      <c r="G303" s="24" t="inlineStr">
        <is>
          <t>0.883 SOL</t>
        </is>
      </c>
      <c r="H303" s="24" t="inlineStr">
        <is>
          <t>88.12%</t>
        </is>
      </c>
      <c r="I303" s="21" t="inlineStr">
        <is>
          <t>N/A</t>
        </is>
      </c>
      <c r="J303" s="21" t="n">
        <v>1</v>
      </c>
      <c r="K303" s="21" t="n">
        <v>2</v>
      </c>
      <c r="L303" s="21" t="inlineStr">
        <is>
          <t>07.10.2024 20:50:25</t>
        </is>
      </c>
      <c r="M303" s="21" t="inlineStr">
        <is>
          <t>16 hours</t>
        </is>
      </c>
      <c r="N303" s="21" t="inlineStr">
        <is>
          <t xml:space="preserve">         65K           286K            11K</t>
        </is>
      </c>
      <c r="O303" s="21" t="inlineStr">
        <is>
          <t>s88MQrEmdBgaFMskQW2jKvm1Spfoe1bVyYMKbc1pump</t>
        </is>
      </c>
      <c r="P303" s="21">
        <f>HYPERLINK("https://dexscreener.com/solana/s88MQrEmdBgaFMskQW2jKvm1Spfoe1bVyYMKbc1pump", "View")</f>
        <v/>
      </c>
    </row>
    <row r="304">
      <c r="A304" s="16" t="inlineStr">
        <is>
          <t>zen</t>
        </is>
      </c>
      <c r="B304" s="17" t="n">
        <v>3373832</v>
      </c>
      <c r="C304" s="17" t="n">
        <v>1685772</v>
      </c>
      <c r="D304" s="17" t="inlineStr">
        <is>
          <t>0.001110</t>
        </is>
      </c>
      <c r="E304" s="17" t="inlineStr">
        <is>
          <t>1.000 SOL</t>
        </is>
      </c>
      <c r="F304" s="17" t="inlineStr">
        <is>
          <t>1.031 SOL</t>
        </is>
      </c>
      <c r="G304" s="22" t="inlineStr">
        <is>
          <t>0.030 SOL</t>
        </is>
      </c>
      <c r="H304" s="22" t="inlineStr">
        <is>
          <t>2.96%</t>
        </is>
      </c>
      <c r="I304" s="17" t="inlineStr">
        <is>
          <t>N/A</t>
        </is>
      </c>
      <c r="J304" s="17" t="n">
        <v>1</v>
      </c>
      <c r="K304" s="17" t="n">
        <v>1</v>
      </c>
      <c r="L304" s="17" t="inlineStr">
        <is>
          <t>07.10.2024 17:42:20</t>
        </is>
      </c>
      <c r="M304" s="17" t="inlineStr">
        <is>
          <t>24 min</t>
        </is>
      </c>
      <c r="N304" s="17" t="inlineStr">
        <is>
          <t xml:space="preserve">         53K           107K             4K</t>
        </is>
      </c>
      <c r="O304" s="17" t="inlineStr">
        <is>
          <t>5cNxrzqzcSKDtKNXAUsm9WDGFNiT8wqz4zyFt3iApump</t>
        </is>
      </c>
      <c r="P304" s="17">
        <f>HYPERLINK("https://dexscreener.com/solana/5cNxrzqzcSKDtKNXAUsm9WDGFNiT8wqz4zyFt3iApump", "View")</f>
        <v/>
      </c>
    </row>
    <row r="305">
      <c r="A305" s="20" t="inlineStr">
        <is>
          <t>PAUL</t>
        </is>
      </c>
      <c r="B305" s="21" t="n">
        <v>2431389</v>
      </c>
      <c r="C305" s="21" t="n">
        <v>1988466</v>
      </c>
      <c r="D305" s="21" t="inlineStr">
        <is>
          <t>0.001110</t>
        </is>
      </c>
      <c r="E305" s="21" t="inlineStr">
        <is>
          <t>1.000 SOL</t>
        </is>
      </c>
      <c r="F305" s="21" t="inlineStr">
        <is>
          <t>1.146 SOL</t>
        </is>
      </c>
      <c r="G305" s="22" t="inlineStr">
        <is>
          <t>0.145 SOL</t>
        </is>
      </c>
      <c r="H305" s="22" t="inlineStr">
        <is>
          <t>14.52%</t>
        </is>
      </c>
      <c r="I305" s="21" t="inlineStr">
        <is>
          <t>N/A</t>
        </is>
      </c>
      <c r="J305" s="21" t="n">
        <v>1</v>
      </c>
      <c r="K305" s="21" t="n">
        <v>1</v>
      </c>
      <c r="L305" s="21" t="inlineStr">
        <is>
          <t>07.10.2024 16:45:19</t>
        </is>
      </c>
      <c r="M305" s="21" t="inlineStr">
        <is>
          <t>51 min</t>
        </is>
      </c>
      <c r="N305" s="21" t="inlineStr">
        <is>
          <t xml:space="preserve">         72K           102K             4K</t>
        </is>
      </c>
      <c r="O305" s="21" t="inlineStr">
        <is>
          <t>26bx1XK57MFrEdmVVUTEgsNgiy6MouCtcqT65rn1pump</t>
        </is>
      </c>
      <c r="P305" s="21">
        <f>HYPERLINK("https://dexscreener.com/solana/26bx1XK57MFrEdmVVUTEgsNgiy6MouCtcqT65rn1pump", "View")</f>
        <v/>
      </c>
    </row>
    <row r="306">
      <c r="A306" s="16" t="inlineStr">
        <is>
          <t>REXIE</t>
        </is>
      </c>
      <c r="B306" s="17" t="n">
        <v>555289</v>
      </c>
      <c r="C306" s="17" t="n">
        <v>0</v>
      </c>
      <c r="D306" s="17" t="inlineStr">
        <is>
          <t>0.000600</t>
        </is>
      </c>
      <c r="E306" s="17" t="inlineStr">
        <is>
          <t>1.000 SOL</t>
        </is>
      </c>
      <c r="F306" s="17" t="inlineStr">
        <is>
          <t>0.000 SOL</t>
        </is>
      </c>
      <c r="G306" s="18" t="inlineStr">
        <is>
          <t>-1.001 SOL</t>
        </is>
      </c>
      <c r="H306" s="18" t="inlineStr">
        <is>
          <t>0.00%</t>
        </is>
      </c>
      <c r="I306" s="17" t="inlineStr">
        <is>
          <t>555,289</t>
        </is>
      </c>
      <c r="J306" s="17" t="n">
        <v>1</v>
      </c>
      <c r="K306" s="17" t="n">
        <v>0</v>
      </c>
      <c r="L306" s="17" t="inlineStr">
        <is>
          <t>07.10.2024 15:18:22</t>
        </is>
      </c>
      <c r="M306" s="19" t="inlineStr">
        <is>
          <t>0 sec</t>
        </is>
      </c>
      <c r="N306" s="17" t="inlineStr">
        <is>
          <t xml:space="preserve">        316K           316K             4K</t>
        </is>
      </c>
      <c r="O306" s="17" t="inlineStr">
        <is>
          <t>5iU3Y5ckr6urU1q3mDDKifBPQsabrEPDpFt3u9Nfpump</t>
        </is>
      </c>
      <c r="P306" s="17">
        <f>HYPERLINK("https://dexscreener.com/solana/5iU3Y5ckr6urU1q3mDDKifBPQsabrEPDpFt3u9Nfpump", "View")</f>
        <v/>
      </c>
    </row>
    <row r="307">
      <c r="A307" s="20" t="inlineStr">
        <is>
          <t>MARTTI</t>
        </is>
      </c>
      <c r="B307" s="21" t="n">
        <v>801076</v>
      </c>
      <c r="C307" s="21" t="n">
        <v>0</v>
      </c>
      <c r="D307" s="21" t="inlineStr">
        <is>
          <t>0.000600</t>
        </is>
      </c>
      <c r="E307" s="21" t="inlineStr">
        <is>
          <t>1.000 SOL</t>
        </is>
      </c>
      <c r="F307" s="21" t="inlineStr">
        <is>
          <t>0.000 SOL</t>
        </is>
      </c>
      <c r="G307" s="18" t="inlineStr">
        <is>
          <t>-1.001 SOL</t>
        </is>
      </c>
      <c r="H307" s="18" t="inlineStr">
        <is>
          <t>0.00%</t>
        </is>
      </c>
      <c r="I307" s="21" t="inlineStr">
        <is>
          <t>801,076</t>
        </is>
      </c>
      <c r="J307" s="21" t="n">
        <v>1</v>
      </c>
      <c r="K307" s="21" t="n">
        <v>0</v>
      </c>
      <c r="L307" s="21" t="inlineStr">
        <is>
          <t>07.10.2024 14:57:18</t>
        </is>
      </c>
      <c r="M307" s="19" t="inlineStr">
        <is>
          <t>0 sec</t>
        </is>
      </c>
      <c r="N307" s="21" t="inlineStr">
        <is>
          <t xml:space="preserve">        220K           220K             5K</t>
        </is>
      </c>
      <c r="O307" s="21" t="inlineStr">
        <is>
          <t>G2XJk3yq1YNJJR26c9s3eJGkzTCMKYkLohAbTwcwpump</t>
        </is>
      </c>
      <c r="P307" s="21">
        <f>HYPERLINK("https://dexscreener.com/solana/G2XJk3yq1YNJJR26c9s3eJGkzTCMKYkLohAbTwcwpump", "View")</f>
        <v/>
      </c>
    </row>
    <row r="308">
      <c r="A308" s="16" t="inlineStr">
        <is>
          <t>Vote4Me</t>
        </is>
      </c>
      <c r="B308" s="17" t="n">
        <v>4770144</v>
      </c>
      <c r="C308" s="17" t="n">
        <v>0</v>
      </c>
      <c r="D308" s="17" t="inlineStr">
        <is>
          <t>0.005000</t>
        </is>
      </c>
      <c r="E308" s="17" t="inlineStr">
        <is>
          <t>0.998 SOL</t>
        </is>
      </c>
      <c r="F308" s="17" t="inlineStr">
        <is>
          <t>0.000 SOL</t>
        </is>
      </c>
      <c r="G308" s="18" t="inlineStr">
        <is>
          <t>-1.003 SOL</t>
        </is>
      </c>
      <c r="H308" s="18" t="inlineStr">
        <is>
          <t>0.00%</t>
        </is>
      </c>
      <c r="I308" s="17" t="inlineStr">
        <is>
          <t>4,770,144</t>
        </is>
      </c>
      <c r="J308" s="17" t="n">
        <v>1</v>
      </c>
      <c r="K308" s="17" t="n">
        <v>0</v>
      </c>
      <c r="L308" s="17" t="inlineStr">
        <is>
          <t>07.10.2024 12:45:25</t>
        </is>
      </c>
      <c r="M308" s="19" t="inlineStr">
        <is>
          <t>0 sec</t>
        </is>
      </c>
      <c r="N308" s="17" t="inlineStr">
        <is>
          <t xml:space="preserve">         35K            35K             3K</t>
        </is>
      </c>
      <c r="O308" s="17" t="inlineStr">
        <is>
          <t>CrKGNwXqgiMNFgGDhjmrAmvpT1LHEWhSWE8ZkpfNA2h5</t>
        </is>
      </c>
      <c r="P308" s="17">
        <f>HYPERLINK("https://dexscreener.com/solana/CrKGNwXqgiMNFgGDhjmrAmvpT1LHEWhSWE8ZkpfNA2h5", "View")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HYPERLINK("https://gmgn.ai/sol/address/2FaNRoiXTZ9xXXNKRPap3VXiSZQr6ebwjnHBseCWJc9h", "GMGN")</f>
        <v/>
      </c>
    </row>
    <row r="2">
      <c r="A2" s="3" t="inlineStr">
        <is>
          <t>2FaNRoiXTZ9xXXNKRPap3VXiSZQr6ebwjnHBseCWJc9h</t>
        </is>
      </c>
      <c r="B2" s="3" t="inlineStr">
        <is>
          <t>9.17 SOL</t>
        </is>
      </c>
      <c r="C2" s="3" t="inlineStr">
        <is>
          <t>63%</t>
        </is>
      </c>
      <c r="D2" s="3" t="inlineStr">
        <is>
          <t>146%</t>
        </is>
      </c>
      <c r="E2" s="3" t="inlineStr">
        <is>
          <t>8.93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HYPERLINK("https://solscan.io/account/2FaNRoiXTZ9xXXNKRPap3VXiSZQr6ebwjnHBseCWJc9h", "Solscan")</f>
        <v/>
      </c>
    </row>
    <row r="3">
      <c r="A3" s="7" t="inlineStr">
        <is>
          <t>Median ROI</t>
        </is>
      </c>
      <c r="B3" s="4" t="inlineStr">
        <is>
          <t>55.77%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HYPERLINK("https://birdeye.so/profile/2FaNRoiXTZ9xXXNKRPap3VXiSZQr6ebwjnHBseCWJc9h", "Birdeye")</f>
        <v/>
      </c>
    </row>
    <row r="4">
      <c r="A4" s="7" t="inlineStr">
        <is>
          <t>Rockets percent</t>
        </is>
      </c>
      <c r="B4" s="3" t="inlineStr">
        <is>
          <t>25%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-1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3</v>
      </c>
      <c r="E10" s="7" t="n">
        <v>0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12.5%</t>
        </is>
      </c>
      <c r="D11" s="7" t="inlineStr">
        <is>
          <t>37.5%</t>
        </is>
      </c>
      <c r="E11" s="7" t="inlineStr">
        <is>
          <t>0.0%</t>
        </is>
      </c>
      <c r="F11" s="7" t="inlineStr">
        <is>
          <t>25.0%</t>
        </is>
      </c>
      <c r="G11" s="7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6.6 SOL</t>
        </is>
      </c>
      <c r="C12" s="7" t="inlineStr">
        <is>
          <t>1.3 SOL</t>
        </is>
      </c>
      <c r="D12" s="7" t="inlineStr">
        <is>
          <t>1.7 SOL</t>
        </is>
      </c>
      <c r="E12" s="7" t="inlineStr">
        <is>
          <t>0.0 SOL</t>
        </is>
      </c>
      <c r="F12" s="7" t="inlineStr">
        <is>
          <t>-0.5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13.0K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Liberty</t>
        </is>
      </c>
      <c r="B20" s="17" t="n">
        <v>8959841</v>
      </c>
      <c r="C20" s="17" t="n">
        <v>8959841</v>
      </c>
      <c r="D20" s="17" t="inlineStr">
        <is>
          <t>0.180090</t>
        </is>
      </c>
      <c r="E20" s="17" t="inlineStr">
        <is>
          <t>0.720 SOL</t>
        </is>
      </c>
      <c r="F20" s="17" t="inlineStr">
        <is>
          <t>1.451 SOL</t>
        </is>
      </c>
      <c r="G20" s="24" t="inlineStr">
        <is>
          <t>0.550 SOL</t>
        </is>
      </c>
      <c r="H20" s="24" t="inlineStr">
        <is>
          <t>61.15%</t>
        </is>
      </c>
      <c r="I20" s="17" t="inlineStr">
        <is>
          <t>N/A</t>
        </is>
      </c>
      <c r="J20" s="17" t="n">
        <v>1</v>
      </c>
      <c r="K20" s="17" t="n">
        <v>17</v>
      </c>
      <c r="L20" s="17" t="inlineStr">
        <is>
          <t>30.10.2024 13:20:51</t>
        </is>
      </c>
      <c r="M20" s="17" t="inlineStr">
        <is>
          <t>4 min</t>
        </is>
      </c>
      <c r="N20" s="17" t="inlineStr">
        <is>
          <t xml:space="preserve">         14K            14K             5K</t>
        </is>
      </c>
      <c r="O20" s="17" t="inlineStr">
        <is>
          <t>CqBmg5ZUoaPg5Yx5uAKYzpyRcXme2UpVmZ8U5iotpump</t>
        </is>
      </c>
      <c r="P20" s="17">
        <f>HYPERLINK("https://photon-sol.tinyastro.io/en/lp/CqBmg5ZUoaPg5Yx5uAKYzpyRcXme2UpVmZ8U5iotpump?handle=676050794bc1b1657a56b", "View")</f>
        <v/>
      </c>
    </row>
    <row r="21">
      <c r="A21" s="20" t="inlineStr">
        <is>
          <t>Torin</t>
        </is>
      </c>
      <c r="B21" s="21" t="n">
        <v>10163367</v>
      </c>
      <c r="C21" s="21" t="n">
        <v>10163367</v>
      </c>
      <c r="D21" s="21" t="inlineStr">
        <is>
          <t>0.140070</t>
        </is>
      </c>
      <c r="E21" s="21" t="inlineStr">
        <is>
          <t>0.496 SOL</t>
        </is>
      </c>
      <c r="F21" s="21" t="inlineStr">
        <is>
          <t>1.906 SOL</t>
        </is>
      </c>
      <c r="G21" s="24" t="inlineStr">
        <is>
          <t>1.270 SOL</t>
        </is>
      </c>
      <c r="H21" s="24" t="inlineStr">
        <is>
          <t>199.62%</t>
        </is>
      </c>
      <c r="I21" s="21" t="inlineStr">
        <is>
          <t>N/A</t>
        </is>
      </c>
      <c r="J21" s="21" t="n">
        <v>1</v>
      </c>
      <c r="K21" s="21" t="n">
        <v>13</v>
      </c>
      <c r="L21" s="21" t="inlineStr">
        <is>
          <t>30.10.2024 06:27:37</t>
        </is>
      </c>
      <c r="M21" s="21" t="inlineStr">
        <is>
          <t>6 min</t>
        </is>
      </c>
      <c r="N21" s="21" t="inlineStr">
        <is>
          <t xml:space="preserve">          9K            16K             3K</t>
        </is>
      </c>
      <c r="O21" s="21" t="inlineStr">
        <is>
          <t>HxdzGHd2jLF12UHjgFKCb6zMzgfqGnwRvwKweXmXpump</t>
        </is>
      </c>
      <c r="P21" s="21">
        <f>HYPERLINK("https://photon-sol.tinyastro.io/en/lp/HxdzGHd2jLF12UHjgFKCb6zMzgfqGnwRvwKweXmXpump?handle=676050794bc1b1657a56b",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0.630320</t>
        </is>
      </c>
      <c r="E22" s="17" t="inlineStr">
        <is>
          <t>0.620 SOL</t>
        </is>
      </c>
      <c r="F22" s="17" t="inlineStr">
        <is>
          <t>7.877 SOL</t>
        </is>
      </c>
      <c r="G22" s="24" t="inlineStr">
        <is>
          <t>6.627 SOL</t>
        </is>
      </c>
      <c r="H22" s="24" t="inlineStr">
        <is>
          <t>530.00%</t>
        </is>
      </c>
      <c r="I22" s="17" t="inlineStr">
        <is>
          <t>N/A</t>
        </is>
      </c>
      <c r="J22" s="17" t="n">
        <v>1</v>
      </c>
      <c r="K22" s="17" t="n">
        <v>62</v>
      </c>
      <c r="L22" s="17" t="inlineStr">
        <is>
          <t>30.10.2024 06:17:46</t>
        </is>
      </c>
      <c r="M22" s="17" t="inlineStr">
        <is>
          <t>7 min</t>
        </is>
      </c>
      <c r="N22" s="17" t="inlineStr">
        <is>
          <t xml:space="preserve">         12K           100K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Butters</t>
        </is>
      </c>
      <c r="B23" s="21" t="n">
        <v>7929767</v>
      </c>
      <c r="C23" s="21" t="n">
        <v>7929767</v>
      </c>
      <c r="D23" s="21" t="inlineStr">
        <is>
          <t>0.020010</t>
        </is>
      </c>
      <c r="E23" s="21" t="inlineStr">
        <is>
          <t>0.616 SOL</t>
        </is>
      </c>
      <c r="F23" s="21" t="inlineStr">
        <is>
          <t>0.463 SOL</t>
        </is>
      </c>
      <c r="G23" s="25" t="inlineStr">
        <is>
          <t>-0.173 SOL</t>
        </is>
      </c>
      <c r="H23" s="25" t="inlineStr">
        <is>
          <t>-27.18%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18:25:36</t>
        </is>
      </c>
      <c r="M23" s="21" t="inlineStr">
        <is>
          <t>8 min</t>
        </is>
      </c>
      <c r="N23" s="21" t="inlineStr">
        <is>
          <t xml:space="preserve">         14K            11K             4K</t>
        </is>
      </c>
      <c r="O23" s="21" t="inlineStr">
        <is>
          <t>BFc3G2JaqZA3eCJzWiSMhGZp7aXwonXETtr2Nudppump</t>
        </is>
      </c>
      <c r="P23" s="21">
        <f>HYPERLINK("https://photon-sol.tinyastro.io/en/lp/BFc3G2JaqZA3eCJzWiSMhGZp7aXwonXETtr2Nudppump?handle=676050794bc1b1657a56b", "View")</f>
        <v/>
      </c>
    </row>
    <row r="24">
      <c r="A24" s="16" t="inlineStr">
        <is>
          <t>Nina</t>
        </is>
      </c>
      <c r="B24" s="17" t="n">
        <v>11778199</v>
      </c>
      <c r="C24" s="17" t="n">
        <v>11778199</v>
      </c>
      <c r="D24" s="17" t="inlineStr">
        <is>
          <t>0.020010</t>
        </is>
      </c>
      <c r="E24" s="17" t="inlineStr">
        <is>
          <t>0.688 SOL</t>
        </is>
      </c>
      <c r="F24" s="17" t="inlineStr">
        <is>
          <t>1.065 SOL</t>
        </is>
      </c>
      <c r="G24" s="24" t="inlineStr">
        <is>
          <t>0.357 SOL</t>
        </is>
      </c>
      <c r="H24" s="24" t="inlineStr">
        <is>
          <t>50.39%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15:46:54</t>
        </is>
      </c>
      <c r="M24" s="17" t="inlineStr">
        <is>
          <t>4 min</t>
        </is>
      </c>
      <c r="N24" s="17" t="inlineStr">
        <is>
          <t xml:space="preserve">         11K            16K             5K</t>
        </is>
      </c>
      <c r="O24" s="17" t="inlineStr">
        <is>
          <t>CDkwBE7pPovZLJC2KxM7jvWXkyygR1Y1u2R7f6hmpump</t>
        </is>
      </c>
      <c r="P24" s="17">
        <f>HYPERLINK("https://photon-sol.tinyastro.io/en/lp/CDkwBE7pPovZLJC2KxM7jvWXkyygR1Y1u2R7f6hmpump?handle=676050794bc1b1657a56b", "View")</f>
        <v/>
      </c>
    </row>
    <row r="25">
      <c r="A25" s="20" t="inlineStr">
        <is>
          <t>MOLANG</t>
        </is>
      </c>
      <c r="B25" s="21" t="n">
        <v>1793028</v>
      </c>
      <c r="C25" s="21" t="n">
        <v>1793028</v>
      </c>
      <c r="D25" s="21" t="inlineStr">
        <is>
          <t>0.220020</t>
        </is>
      </c>
      <c r="E25" s="21" t="inlineStr">
        <is>
          <t>0.551 SOL</t>
        </is>
      </c>
      <c r="F25" s="21" t="inlineStr">
        <is>
          <t>0.428 SOL</t>
        </is>
      </c>
      <c r="G25" s="25" t="inlineStr">
        <is>
          <t>-0.343 SOL</t>
        </is>
      </c>
      <c r="H25" s="25" t="inlineStr">
        <is>
          <t>-44.45%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14:48:15</t>
        </is>
      </c>
      <c r="M25" s="21" t="inlineStr">
        <is>
          <t>10 min</t>
        </is>
      </c>
      <c r="N25" s="21" t="inlineStr">
        <is>
          <t xml:space="preserve">         56K            30K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Trina</t>
        </is>
      </c>
      <c r="B26" s="17" t="n">
        <v>11384893</v>
      </c>
      <c r="C26" s="17" t="n">
        <v>11384893</v>
      </c>
      <c r="D26" s="17" t="inlineStr">
        <is>
          <t>0.410160</t>
        </is>
      </c>
      <c r="E26" s="17" t="inlineStr">
        <is>
          <t>0.546 SOL</t>
        </is>
      </c>
      <c r="F26" s="17" t="inlineStr">
        <is>
          <t>1.723 SOL</t>
        </is>
      </c>
      <c r="G26" s="24" t="inlineStr">
        <is>
          <t>0.767 SOL</t>
        </is>
      </c>
      <c r="H26" s="24" t="inlineStr">
        <is>
          <t>80.25%</t>
        </is>
      </c>
      <c r="I26" s="17" t="inlineStr">
        <is>
          <t>N/A</t>
        </is>
      </c>
      <c r="J26" s="17" t="n">
        <v>1</v>
      </c>
      <c r="K26" s="17" t="n">
        <v>31</v>
      </c>
      <c r="L26" s="17" t="inlineStr">
        <is>
          <t>29.10.2024 13:33:37</t>
        </is>
      </c>
      <c r="M26" s="17" t="inlineStr">
        <is>
          <t>9 min</t>
        </is>
      </c>
      <c r="N26" s="17" t="inlineStr">
        <is>
          <t xml:space="preserve">          9K            12K             4K</t>
        </is>
      </c>
      <c r="O26" s="17" t="inlineStr">
        <is>
          <t>DirQ7FDi1C5SZCy8ai1GTSvnm9o8MDf9s4C4cExzpump</t>
        </is>
      </c>
      <c r="P26" s="17">
        <f>HYPERLINK("https://photon-sol.tinyastro.io/en/lp/DirQ7FDi1C5SZCy8ai1GTSvnm9o8MDf9s4C4cExzpump?handle=676050794bc1b1657a56b", "View")</f>
        <v/>
      </c>
    </row>
    <row r="27">
      <c r="A27" s="20" t="inlineStr">
        <is>
          <t>Trina</t>
        </is>
      </c>
      <c r="B27" s="21" t="n">
        <v>585788</v>
      </c>
      <c r="C27" s="21" t="n">
        <v>585788</v>
      </c>
      <c r="D27" s="21" t="inlineStr">
        <is>
          <t>0.110010</t>
        </is>
      </c>
      <c r="E27" s="21" t="inlineStr">
        <is>
          <t>0.131 SOL</t>
        </is>
      </c>
      <c r="F27" s="21" t="inlineStr">
        <is>
          <t>0.118 SOL</t>
        </is>
      </c>
      <c r="G27" s="23" t="inlineStr">
        <is>
          <t>-0.123 SOL</t>
        </is>
      </c>
      <c r="H27" s="23" t="inlineStr">
        <is>
          <t>-50.93%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13:22:12</t>
        </is>
      </c>
      <c r="M27" s="21" t="inlineStr">
        <is>
          <t>8 min</t>
        </is>
      </c>
      <c r="N27" s="21" t="inlineStr">
        <is>
          <t xml:space="preserve">         39K            35K             5K</t>
        </is>
      </c>
      <c r="O27" s="21" t="inlineStr">
        <is>
          <t>CsT44i2W2MWp23WQ2EqjorxZVVzuN4niw1cj1Qr5pump</t>
        </is>
      </c>
      <c r="P27" s="21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4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HYPERLINK("https://gmgn.ai/sol/address/9r7b8dnjoCGfpQNcVLf4kPCsbPy6u8eFsD4rLYVHEgmr", "GMGN")</f>
        <v/>
      </c>
    </row>
    <row r="2">
      <c r="A2" s="3" t="inlineStr">
        <is>
          <t>9r7b8dnjoCGfpQNcVLf4kPCsbPy6u8eFsD4rLYVHEgmr</t>
        </is>
      </c>
      <c r="B2" s="3" t="inlineStr">
        <is>
          <t>23.67 SOL</t>
        </is>
      </c>
      <c r="C2" s="3" t="inlineStr">
        <is>
          <t>68%</t>
        </is>
      </c>
      <c r="D2" s="3" t="inlineStr">
        <is>
          <t>67%</t>
        </is>
      </c>
      <c r="E2" s="3" t="inlineStr">
        <is>
          <t>76.47 SOL</t>
        </is>
      </c>
      <c r="F2" s="3" t="inlineStr">
        <is>
          <t>13 (46%)</t>
        </is>
      </c>
      <c r="G2" s="3" t="inlineStr">
        <is>
          <t>2 (7%)</t>
        </is>
      </c>
      <c r="H2" s="3" t="n">
        <v>28</v>
      </c>
      <c r="I2" s="3" t="n">
        <v>1</v>
      </c>
      <c r="J2" s="3" t="inlineStr">
        <is>
          <t>9 days</t>
        </is>
      </c>
      <c r="K2" s="3" t="inlineStr">
        <is>
          <t>1 min</t>
        </is>
      </c>
      <c r="L2" s="3" t="n">
        <v>22</v>
      </c>
      <c r="M2" s="3" t="n">
        <v>28</v>
      </c>
      <c r="N2" s="3">
        <f>HYPERLINK("https://solscan.io/account/9r7b8dnjoCGfpQNcVLf4kPCsbPy6u8eFsD4rLYVHEgmr", "Solscan")</f>
        <v/>
      </c>
    </row>
    <row r="3">
      <c r="A3" s="7" t="inlineStr">
        <is>
          <t>Median ROI</t>
        </is>
      </c>
      <c r="B3" s="4" t="inlineStr">
        <is>
          <t>20.02%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HYPERLINK("https://birdeye.so/profile/9r7b8dnjoCGfpQNcVLf4kPCsbPy6u8eFsD4rLYVHEgmr", "Birdeye")</f>
        <v/>
      </c>
    </row>
    <row r="4">
      <c r="A4" s="7" t="inlineStr">
        <is>
          <t>Rockets percent</t>
        </is>
      </c>
      <c r="B4" s="4" t="inlineStr">
        <is>
          <t>36%</t>
        </is>
      </c>
      <c r="C4" s="3" t="inlineStr"/>
      <c r="D4" s="3" t="inlineStr">
        <is>
          <t>0%</t>
        </is>
      </c>
      <c r="E4" s="3" t="inlineStr">
        <is>
          <t>0.53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12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2</v>
      </c>
      <c r="C10" s="7" t="n">
        <v>8</v>
      </c>
      <c r="D10" s="7" t="n">
        <v>2</v>
      </c>
      <c r="E10" s="7" t="n">
        <v>7</v>
      </c>
      <c r="F10" s="7" t="n">
        <v>5</v>
      </c>
      <c r="G10" s="7" t="n">
        <v>4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7.1%</t>
        </is>
      </c>
      <c r="C11" s="7" t="inlineStr">
        <is>
          <t>28.6%</t>
        </is>
      </c>
      <c r="D11" s="7" t="inlineStr">
        <is>
          <t>7.1%</t>
        </is>
      </c>
      <c r="E11" s="7" t="inlineStr">
        <is>
          <t>25.0%</t>
        </is>
      </c>
      <c r="F11" s="7" t="inlineStr">
        <is>
          <t>17.9%</t>
        </is>
      </c>
      <c r="G11" s="7" t="inlineStr">
        <is>
          <t>14.3%</t>
        </is>
      </c>
      <c r="H11" s="3" t="n"/>
      <c r="I11" s="3" t="inlineStr">
        <is>
          <t>5k-30k</t>
        </is>
      </c>
      <c r="J11" s="3" t="inlineStr">
        <is>
          <t>12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29.4 SOL</t>
        </is>
      </c>
      <c r="C12" s="7" t="inlineStr">
        <is>
          <t>51.6 SOL</t>
        </is>
      </c>
      <c r="D12" s="7" t="inlineStr">
        <is>
          <t>4.0 SOL</t>
        </is>
      </c>
      <c r="E12" s="7" t="inlineStr">
        <is>
          <t>5.8 SOL</t>
        </is>
      </c>
      <c r="F12" s="7" t="inlineStr">
        <is>
          <t>-3.1 SOL</t>
        </is>
      </c>
      <c r="G12" s="7" t="inlineStr">
        <is>
          <t>-11.2 SOL</t>
        </is>
      </c>
      <c r="H12" s="3" t="n"/>
      <c r="I12" s="3" t="inlineStr">
        <is>
          <t>30k-100k</t>
        </is>
      </c>
      <c r="J12" s="3" t="inlineStr">
        <is>
          <t>11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35.0K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POTUS</t>
        </is>
      </c>
      <c r="B20" s="17" t="n">
        <v>2911417</v>
      </c>
      <c r="C20" s="17" t="n">
        <v>2911417</v>
      </c>
      <c r="D20" s="17" t="inlineStr">
        <is>
          <t>0.030020</t>
        </is>
      </c>
      <c r="E20" s="17" t="inlineStr">
        <is>
          <t>1.000 SOL</t>
        </is>
      </c>
      <c r="F20" s="17" t="inlineStr">
        <is>
          <t>17.690 SOL</t>
        </is>
      </c>
      <c r="G20" s="24" t="inlineStr">
        <is>
          <t>16.660 SOL</t>
        </is>
      </c>
      <c r="H20" s="24" t="inlineStr">
        <is>
          <t>1617.49%</t>
        </is>
      </c>
      <c r="I20" s="17" t="inlineStr">
        <is>
          <t>N/A</t>
        </is>
      </c>
      <c r="J20" s="17" t="n">
        <v>1</v>
      </c>
      <c r="K20" s="17" t="n">
        <v>2</v>
      </c>
      <c r="L20" s="17" t="inlineStr">
        <is>
          <t>30.10.2024 17:11:38</t>
        </is>
      </c>
      <c r="M20" s="17" t="inlineStr">
        <is>
          <t>2 hours</t>
        </is>
      </c>
      <c r="N20" s="17" t="inlineStr">
        <is>
          <t xml:space="preserve">         60K            60K            64K</t>
        </is>
      </c>
      <c r="O20" s="17" t="inlineStr">
        <is>
          <t>Fy4DC1btDJnDtqs7zaEoxTyeZWsGBNPcmnFANFgmpump</t>
        </is>
      </c>
      <c r="P20" s="17">
        <f>HYPERLINK("https://dexscreener.com/solana/Fy4DC1btDJnDtqs7zaEoxTyeZWsGBNPcmnFANFgmpump", "View")</f>
        <v/>
      </c>
    </row>
    <row r="21">
      <c r="A21" s="20" t="inlineStr">
        <is>
          <t>ZEN</t>
        </is>
      </c>
      <c r="B21" s="21" t="n">
        <v>58871549</v>
      </c>
      <c r="C21" s="21" t="n">
        <v>58871549</v>
      </c>
      <c r="D21" s="21" t="inlineStr">
        <is>
          <t>0.041320</t>
        </is>
      </c>
      <c r="E21" s="21" t="inlineStr">
        <is>
          <t>3.664 SOL</t>
        </is>
      </c>
      <c r="F21" s="21" t="inlineStr">
        <is>
          <t>14.518 SOL</t>
        </is>
      </c>
      <c r="G21" s="24" t="inlineStr">
        <is>
          <t>10.812 SOL</t>
        </is>
      </c>
      <c r="H21" s="24" t="inlineStr">
        <is>
          <t>291.79%</t>
        </is>
      </c>
      <c r="I21" s="21" t="inlineStr">
        <is>
          <t>N/A</t>
        </is>
      </c>
      <c r="J21" s="21" t="n">
        <v>2</v>
      </c>
      <c r="K21" s="21" t="n">
        <v>2</v>
      </c>
      <c r="L21" s="21" t="inlineStr">
        <is>
          <t>30.10.2024 16:43:08</t>
        </is>
      </c>
      <c r="M21" s="21" t="inlineStr">
        <is>
          <t>4 min</t>
        </is>
      </c>
      <c r="N21" s="21" t="inlineStr">
        <is>
          <t xml:space="preserve">        N/A           N/A           N/A</t>
        </is>
      </c>
      <c r="O21" s="21" t="inlineStr">
        <is>
          <t>4KdmmBF845nJknS1DpWWdL8CsjKExFoUmiEnzHrtpump</t>
        </is>
      </c>
      <c r="P21" s="21">
        <f>HYPERLINK("https://photon-sol.tinyastro.io/en/lp/4KdmmBF845nJknS1DpWWdL8CsjKExFoUmiEnzHrtpump?handle=676050794bc1b1657a56b", "View")</f>
        <v/>
      </c>
    </row>
    <row r="22">
      <c r="A22" s="16" t="inlineStr">
        <is>
          <t>SOAR</t>
        </is>
      </c>
      <c r="B22" s="17" t="n">
        <v>40652990</v>
      </c>
      <c r="C22" s="17" t="n">
        <v>40652990</v>
      </c>
      <c r="D22" s="17" t="inlineStr">
        <is>
          <t>0.021320</t>
        </is>
      </c>
      <c r="E22" s="17" t="inlineStr">
        <is>
          <t>1.610 SOL</t>
        </is>
      </c>
      <c r="F22" s="17" t="inlineStr">
        <is>
          <t>14.371 SOL</t>
        </is>
      </c>
      <c r="G22" s="24" t="inlineStr">
        <is>
          <t>12.740 SOL</t>
        </is>
      </c>
      <c r="H22" s="24" t="inlineStr">
        <is>
          <t>780.74%</t>
        </is>
      </c>
      <c r="I22" s="17" t="inlineStr">
        <is>
          <t>N/A</t>
        </is>
      </c>
      <c r="J22" s="17" t="n">
        <v>1</v>
      </c>
      <c r="K22" s="17" t="n">
        <v>2</v>
      </c>
      <c r="L22" s="17" t="inlineStr">
        <is>
          <t>30.10.2024 12:47:51</t>
        </is>
      </c>
      <c r="M22" s="17" t="inlineStr">
        <is>
          <t>3 min</t>
        </is>
      </c>
      <c r="N22" s="17" t="inlineStr">
        <is>
          <t xml:space="preserve">          7K            65K             4K</t>
        </is>
      </c>
      <c r="O22" s="17" t="inlineStr">
        <is>
          <t>DSMBxacyzGiqNgmadjZPMMGY2EEjRriH4HMbFDbRpump</t>
        </is>
      </c>
      <c r="P22" s="17">
        <f>HYPERLINK("https://photon-sol.tinyastro.io/en/lp/DSMBxacyzGiqNgmadjZPMMGY2EEjRriH4HMbFDbRpump?handle=676050794bc1b1657a56b", "View")</f>
        <v/>
      </c>
    </row>
    <row r="23">
      <c r="A23" s="20" t="inlineStr">
        <is>
          <t>Kenny</t>
        </is>
      </c>
      <c r="B23" s="21" t="n">
        <v>43513137</v>
      </c>
      <c r="C23" s="21" t="n">
        <v>43513137</v>
      </c>
      <c r="D23" s="21" t="inlineStr">
        <is>
          <t>0.011310</t>
        </is>
      </c>
      <c r="E23" s="21" t="inlineStr">
        <is>
          <t>3.246 SOL</t>
        </is>
      </c>
      <c r="F23" s="21" t="inlineStr">
        <is>
          <t>1.949 SOL</t>
        </is>
      </c>
      <c r="G23" s="25" t="inlineStr">
        <is>
          <t>-1.309 SOL</t>
        </is>
      </c>
      <c r="H23" s="25" t="inlineStr">
        <is>
          <t>-40.17%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23:15:02</t>
        </is>
      </c>
      <c r="M23" s="21" t="inlineStr">
        <is>
          <t>11 min</t>
        </is>
      </c>
      <c r="N23" s="21" t="inlineStr">
        <is>
          <t xml:space="preserve">         12K             7K             3K</t>
        </is>
      </c>
      <c r="O23" s="21" t="inlineStr">
        <is>
          <t>6TPFp2mEUFKRS9YZ7SCMXu8HZdmPczRM1PnxikiPpump</t>
        </is>
      </c>
      <c r="P23" s="21">
        <f>HYPERLINK("https://photon-sol.tinyastro.io/en/lp/6TPFp2mEUFKRS9YZ7SCMXu8HZdmPczRM1PnxikiPpump?handle=676050794bc1b1657a56b", "View")</f>
        <v/>
      </c>
    </row>
    <row r="24">
      <c r="A24" s="16" t="inlineStr">
        <is>
          <t>aidobe</t>
        </is>
      </c>
      <c r="B24" s="17" t="n">
        <v>23271495</v>
      </c>
      <c r="C24" s="17" t="n">
        <v>23271495</v>
      </c>
      <c r="D24" s="17" t="inlineStr">
        <is>
          <t>0.040020</t>
        </is>
      </c>
      <c r="E24" s="17" t="inlineStr">
        <is>
          <t>4.707 SOL</t>
        </is>
      </c>
      <c r="F24" s="17" t="inlineStr">
        <is>
          <t>5.176 SOL</t>
        </is>
      </c>
      <c r="G24" s="22" t="inlineStr">
        <is>
          <t>0.429 SOL</t>
        </is>
      </c>
      <c r="H24" s="22" t="inlineStr">
        <is>
          <t>9.04%</t>
        </is>
      </c>
      <c r="I24" s="17" t="inlineStr">
        <is>
          <t>N/A</t>
        </is>
      </c>
      <c r="J24" s="17" t="n">
        <v>2</v>
      </c>
      <c r="K24" s="17" t="n">
        <v>2</v>
      </c>
      <c r="L24" s="17" t="inlineStr">
        <is>
          <t>29.10.2024 21:32:54</t>
        </is>
      </c>
      <c r="M24" s="17" t="inlineStr">
        <is>
          <t>1 min</t>
        </is>
      </c>
      <c r="N24" s="17" t="inlineStr">
        <is>
          <t xml:space="preserve">         32K            53K             4K</t>
        </is>
      </c>
      <c r="O24" s="17" t="inlineStr">
        <is>
          <t>Ei9HjRCTKgurMJDo3dhGjJsgCS7REex24wcQ3Pehpump</t>
        </is>
      </c>
      <c r="P24" s="17">
        <f>HYPERLINK("https://photon-sol.tinyastro.io/en/lp/Ei9HjRCTKgurMJDo3dhGjJsgCS7REex24wcQ3Pehpump?handle=676050794bc1b1657a56b", "View")</f>
        <v/>
      </c>
    </row>
    <row r="25">
      <c r="A25" s="20" t="inlineStr">
        <is>
          <t>pump</t>
        </is>
      </c>
      <c r="B25" s="21" t="n">
        <v>49408162</v>
      </c>
      <c r="C25" s="21" t="n">
        <v>49408162</v>
      </c>
      <c r="D25" s="21" t="inlineStr">
        <is>
          <t>0.031320</t>
        </is>
      </c>
      <c r="E25" s="21" t="inlineStr">
        <is>
          <t>4.722 SOL</t>
        </is>
      </c>
      <c r="F25" s="21" t="inlineStr">
        <is>
          <t>5.983 SOL</t>
        </is>
      </c>
      <c r="G25" s="22" t="inlineStr">
        <is>
          <t>1.230 SOL</t>
        </is>
      </c>
      <c r="H25" s="22" t="inlineStr">
        <is>
          <t>25.87%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20:20:02</t>
        </is>
      </c>
      <c r="M25" s="19" t="inlineStr">
        <is>
          <t>48 sec</t>
        </is>
      </c>
      <c r="N25" s="21" t="inlineStr">
        <is>
          <t xml:space="preserve">         12K            44K             6K</t>
        </is>
      </c>
      <c r="O25" s="21" t="inlineStr">
        <is>
          <t>aembnJ3BuUHV1Wd2et6q8ZD9BqbsVgr9qct7C8cpump</t>
        </is>
      </c>
      <c r="P25" s="21">
        <f>HYPERLINK("https://photon-sol.tinyastro.io/en/lp/aembnJ3BuUHV1Wd2et6q8ZD9BqbsVgr9qct7C8cpump?handle=676050794bc1b1657a56b", "View")</f>
        <v/>
      </c>
    </row>
    <row r="26">
      <c r="A26" s="16" t="inlineStr">
        <is>
          <t>TRUTH</t>
        </is>
      </c>
      <c r="B26" s="17" t="n">
        <v>12327622</v>
      </c>
      <c r="C26" s="17" t="n">
        <v>12327622</v>
      </c>
      <c r="D26" s="17" t="inlineStr">
        <is>
          <t>0.041330</t>
        </is>
      </c>
      <c r="E26" s="17" t="inlineStr">
        <is>
          <t>10.000 SOL</t>
        </is>
      </c>
      <c r="F26" s="17" t="inlineStr">
        <is>
          <t>21.718 SOL</t>
        </is>
      </c>
      <c r="G26" s="24" t="inlineStr">
        <is>
          <t>11.676 SOL</t>
        </is>
      </c>
      <c r="H26" s="24" t="inlineStr">
        <is>
          <t>116.28%</t>
        </is>
      </c>
      <c r="I26" s="17" t="inlineStr">
        <is>
          <t>N/A</t>
        </is>
      </c>
      <c r="J26" s="17" t="n">
        <v>3</v>
      </c>
      <c r="K26" s="17" t="n">
        <v>2</v>
      </c>
      <c r="L26" s="17" t="inlineStr">
        <is>
          <t>29.10.2024 19:03:26</t>
        </is>
      </c>
      <c r="M26" s="17" t="inlineStr">
        <is>
          <t>4 min</t>
        </is>
      </c>
      <c r="N26" s="17" t="inlineStr">
        <is>
          <t xml:space="preserve">        141K            46K             5K</t>
        </is>
      </c>
      <c r="O26" s="17" t="inlineStr">
        <is>
          <t>5DoGHVxbcQgLgPx3uKMDK8ft97shHC3gfoQBdTMapump</t>
        </is>
      </c>
      <c r="P26" s="17">
        <f>HYPERLINK("https://dexscreener.com/solana/5DoGHVxbcQgLgPx3uKMDK8ft97shHC3gfoQBdTMapump", "View")</f>
        <v/>
      </c>
    </row>
    <row r="27">
      <c r="A27" s="20" t="inlineStr">
        <is>
          <t>Christus</t>
        </is>
      </c>
      <c r="B27" s="21" t="n">
        <v>47292578</v>
      </c>
      <c r="C27" s="21" t="n">
        <v>47292578</v>
      </c>
      <c r="D27" s="21" t="inlineStr">
        <is>
          <t>0.011310</t>
        </is>
      </c>
      <c r="E27" s="21" t="inlineStr">
        <is>
          <t>1.960 SOL</t>
        </is>
      </c>
      <c r="F27" s="21" t="inlineStr">
        <is>
          <t>4.464 SOL</t>
        </is>
      </c>
      <c r="G27" s="24" t="inlineStr">
        <is>
          <t>2.492 SOL</t>
        </is>
      </c>
      <c r="H27" s="24" t="inlineStr">
        <is>
          <t>126.42%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17:10:15</t>
        </is>
      </c>
      <c r="M27" s="19" t="inlineStr">
        <is>
          <t>32 sec</t>
        </is>
      </c>
      <c r="N27" s="21" t="inlineStr">
        <is>
          <t xml:space="preserve">          7K            16K             5K</t>
        </is>
      </c>
      <c r="O27" s="21" t="inlineStr">
        <is>
          <t>NmqxqcouxxsmdeeNV6MFGJjjGgE13ZTuuuwbd1Zpump</t>
        </is>
      </c>
      <c r="P27" s="21">
        <f>HYPERLINK("https://photon-sol.tinyastro.io/en/lp/NmqxqcouxxsmdeeNV6MFGJjjGgE13ZTuuuwbd1Zpump?handle=676050794bc1b1657a56b", "View")</f>
        <v/>
      </c>
    </row>
    <row r="28">
      <c r="A28" s="16" t="inlineStr">
        <is>
          <t>∞</t>
        </is>
      </c>
      <c r="B28" s="17" t="n">
        <v>678139</v>
      </c>
      <c r="C28" s="17" t="n">
        <v>678139</v>
      </c>
      <c r="D28" s="17" t="inlineStr">
        <is>
          <t>0.020010</t>
        </is>
      </c>
      <c r="E28" s="17" t="inlineStr">
        <is>
          <t>3.000 SOL</t>
        </is>
      </c>
      <c r="F28" s="17" t="inlineStr">
        <is>
          <t>0.822 SOL</t>
        </is>
      </c>
      <c r="G28" s="23" t="inlineStr">
        <is>
          <t>-2.198 SOL</t>
        </is>
      </c>
      <c r="H28" s="23" t="inlineStr">
        <is>
          <t>-72.78%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15:32:49</t>
        </is>
      </c>
      <c r="M28" s="19" t="inlineStr">
        <is>
          <t>57 sec</t>
        </is>
      </c>
      <c r="N28" s="17" t="inlineStr">
        <is>
          <t xml:space="preserve">        776K           212K             7K</t>
        </is>
      </c>
      <c r="O28" s="17" t="inlineStr">
        <is>
          <t>7LzF7BgpmXapBUMmJMwyP5o4uC2rr7T8keRc4R3kpump</t>
        </is>
      </c>
      <c r="P28" s="17">
        <f>HYPERLINK("https://dexscreener.com/solana/7LzF7BgpmXapBUMmJMwyP5o4uC2rr7T8keRc4R3kpump", "View")</f>
        <v/>
      </c>
    </row>
    <row r="29">
      <c r="A29" s="20" t="inlineStr">
        <is>
          <t>MOLANG</t>
        </is>
      </c>
      <c r="B29" s="21" t="n">
        <v>10112439</v>
      </c>
      <c r="C29" s="21" t="n">
        <v>10112439</v>
      </c>
      <c r="D29" s="21" t="inlineStr">
        <is>
          <t>0.020010</t>
        </is>
      </c>
      <c r="E29" s="21" t="inlineStr">
        <is>
          <t>2.062 SOL</t>
        </is>
      </c>
      <c r="F29" s="21" t="inlineStr">
        <is>
          <t>2.017 SOL</t>
        </is>
      </c>
      <c r="G29" s="25" t="inlineStr">
        <is>
          <t>-0.065 SOL</t>
        </is>
      </c>
      <c r="H29" s="25" t="inlineStr">
        <is>
          <t>-3.14%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29.10.2024 14:37:17</t>
        </is>
      </c>
      <c r="M29" s="19" t="inlineStr">
        <is>
          <t>5 sec</t>
        </is>
      </c>
      <c r="N29" s="21" t="inlineStr">
        <is>
          <t xml:space="preserve">         35K            35K             4K</t>
        </is>
      </c>
      <c r="O29" s="21" t="inlineStr">
        <is>
          <t>BPFXTGBjoARa89gbSvbp7Dy6cQwgGc7efW1jE8nTpump</t>
        </is>
      </c>
      <c r="P29" s="21">
        <f>HYPERLINK("https://photon-sol.tinyastro.io/en/lp/BPFXTGBjoARa89gbSvbp7Dy6cQwgGc7efW1jE8nTpump?handle=676050794bc1b1657a56b", "View")</f>
        <v/>
      </c>
    </row>
    <row r="30">
      <c r="A30" s="16" t="inlineStr">
        <is>
          <t>MOLANG</t>
        </is>
      </c>
      <c r="B30" s="17" t="n">
        <v>4470537</v>
      </c>
      <c r="C30" s="17" t="n">
        <v>4470537</v>
      </c>
      <c r="D30" s="17" t="inlineStr">
        <is>
          <t>0.020010</t>
        </is>
      </c>
      <c r="E30" s="17" t="inlineStr">
        <is>
          <t>2.000 SOL</t>
        </is>
      </c>
      <c r="F30" s="17" t="inlineStr">
        <is>
          <t>1.440 SOL</t>
        </is>
      </c>
      <c r="G30" s="25" t="inlineStr">
        <is>
          <t>-0.580 SOL</t>
        </is>
      </c>
      <c r="H30" s="25" t="inlineStr">
        <is>
          <t>-28.70%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29.10.2024 14:25:02</t>
        </is>
      </c>
      <c r="M30" s="19" t="inlineStr">
        <is>
          <t>18 sec</t>
        </is>
      </c>
      <c r="N30" s="17" t="inlineStr">
        <is>
          <t xml:space="preserve">         71K            51K             4K</t>
        </is>
      </c>
      <c r="O30" s="17" t="inlineStr">
        <is>
          <t>FAS87Vmmejcf5RBtpfGZ8vPAjR2VuUZJ6Sojf8Jgpump</t>
        </is>
      </c>
      <c r="P30" s="17">
        <f>HYPERLINK("https://dexscreener.com/solana/FAS87Vmmejcf5RBtpfGZ8vPAjR2VuUZJ6Sojf8Jgpump", "View")</f>
        <v/>
      </c>
    </row>
    <row r="31">
      <c r="A31" s="20" t="inlineStr">
        <is>
          <t>CQUICK</t>
        </is>
      </c>
      <c r="B31" s="21" t="n">
        <v>39848983</v>
      </c>
      <c r="C31" s="21" t="n">
        <v>39848983</v>
      </c>
      <c r="D31" s="21" t="inlineStr">
        <is>
          <t>0.021320</t>
        </is>
      </c>
      <c r="E31" s="21" t="inlineStr">
        <is>
          <t>1.469 SOL</t>
        </is>
      </c>
      <c r="F31" s="21" t="inlineStr">
        <is>
          <t>6.972 SOL</t>
        </is>
      </c>
      <c r="G31" s="24" t="inlineStr">
        <is>
          <t>5.481 SOL</t>
        </is>
      </c>
      <c r="H31" s="24" t="inlineStr">
        <is>
          <t>367.75%</t>
        </is>
      </c>
      <c r="I31" s="21" t="inlineStr">
        <is>
          <t>N/A</t>
        </is>
      </c>
      <c r="J31" s="21" t="n">
        <v>1</v>
      </c>
      <c r="K31" s="21" t="n">
        <v>2</v>
      </c>
      <c r="L31" s="21" t="inlineStr">
        <is>
          <t>29.10.2024 02:25:11</t>
        </is>
      </c>
      <c r="M31" s="19" t="inlineStr">
        <is>
          <t>48 sec</t>
        </is>
      </c>
      <c r="N31" s="21" t="inlineStr">
        <is>
          <t xml:space="preserve">          7K            23K             5K</t>
        </is>
      </c>
      <c r="O31" s="21" t="inlineStr">
        <is>
          <t>DoaT1YeXjNRDDJPs7pGX4LV21p5L6799cMuik9Ypump</t>
        </is>
      </c>
      <c r="P31" s="21">
        <f>HYPERLINK("https://photon-sol.tinyastro.io/en/lp/DoaT1YeXjNRDDJPs7pGX4LV21p5L6799cMuik9Ypump?handle=676050794bc1b1657a56b", "View")</f>
        <v/>
      </c>
    </row>
    <row r="32">
      <c r="A32" s="16" t="inlineStr">
        <is>
          <t>POPGOAT</t>
        </is>
      </c>
      <c r="B32" s="17" t="n">
        <v>2848792</v>
      </c>
      <c r="C32" s="17" t="n">
        <v>2848792</v>
      </c>
      <c r="D32" s="17" t="inlineStr">
        <is>
          <t>0.050020</t>
        </is>
      </c>
      <c r="E32" s="17" t="inlineStr">
        <is>
          <t>5.000 SOL</t>
        </is>
      </c>
      <c r="F32" s="17" t="inlineStr">
        <is>
          <t>7.599 SOL</t>
        </is>
      </c>
      <c r="G32" s="24" t="inlineStr">
        <is>
          <t>2.549 SOL</t>
        </is>
      </c>
      <c r="H32" s="24" t="inlineStr">
        <is>
          <t>50.48%</t>
        </is>
      </c>
      <c r="I32" s="17" t="inlineStr">
        <is>
          <t>N/A</t>
        </is>
      </c>
      <c r="J32" s="17" t="n">
        <v>2</v>
      </c>
      <c r="K32" s="17" t="n">
        <v>1</v>
      </c>
      <c r="L32" s="17" t="inlineStr">
        <is>
          <t>27.10.2024 17:05:46</t>
        </is>
      </c>
      <c r="M32" s="17" t="inlineStr">
        <is>
          <t>11 min</t>
        </is>
      </c>
      <c r="N32" s="17" t="inlineStr">
        <is>
          <t xml:space="preserve">        330K           469K           449K</t>
        </is>
      </c>
      <c r="O32" s="17" t="inlineStr">
        <is>
          <t>DtWz93pDUZe5cYqBFmZjXq1wzZqZPygCeox5d3ajpump</t>
        </is>
      </c>
      <c r="P32" s="17">
        <f>HYPERLINK("https://dexscreener.com/solana/DtWz93pDUZe5cYqBFmZjXq1wzZqZPygCeox5d3ajpump", "View")</f>
        <v/>
      </c>
    </row>
    <row r="33">
      <c r="A33" s="20" t="inlineStr">
        <is>
          <t>TOM</t>
        </is>
      </c>
      <c r="B33" s="21" t="n">
        <v>9491786</v>
      </c>
      <c r="C33" s="21" t="n">
        <v>20212957</v>
      </c>
      <c r="D33" s="21" t="inlineStr">
        <is>
          <t>0.045010</t>
        </is>
      </c>
      <c r="E33" s="21" t="inlineStr">
        <is>
          <t>3.867 SOL</t>
        </is>
      </c>
      <c r="F33" s="21" t="inlineStr">
        <is>
          <t>10.733 SOL</t>
        </is>
      </c>
      <c r="G33" s="24" t="inlineStr">
        <is>
          <t>6.822 SOL</t>
        </is>
      </c>
      <c r="H33" s="24" t="inlineStr">
        <is>
          <t>174.39%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27.10.2024 02:11:50</t>
        </is>
      </c>
      <c r="M33" s="21" t="inlineStr">
        <is>
          <t>2 min</t>
        </is>
      </c>
      <c r="N33" s="21" t="inlineStr">
        <is>
          <t xml:space="preserve">         72K            93K            21K</t>
        </is>
      </c>
      <c r="O33" s="21" t="inlineStr">
        <is>
          <t>G1pKojoCJopPDVMMLUowsyXTaPzKPnBfNWQhraqvpump</t>
        </is>
      </c>
      <c r="P33" s="21">
        <f>HYPERLINK("https://photon-sol.tinyastro.io/en/lp/G1pKojoCJopPDVMMLUowsyXTaPzKPnBfNWQhraqvpump?handle=676050794bc1b1657a56b", "View")</f>
        <v/>
      </c>
    </row>
    <row r="34">
      <c r="A34" s="16" t="inlineStr">
        <is>
          <t>MsDeng</t>
        </is>
      </c>
      <c r="B34" s="17" t="n">
        <v>8512231</v>
      </c>
      <c r="C34" s="17" t="n">
        <v>0</v>
      </c>
      <c r="D34" s="17" t="inlineStr">
        <is>
          <t>0.025000</t>
        </is>
      </c>
      <c r="E34" s="17" t="inlineStr">
        <is>
          <t>3.444 SOL</t>
        </is>
      </c>
      <c r="F34" s="17" t="inlineStr">
        <is>
          <t>0.000 SOL</t>
        </is>
      </c>
      <c r="G34" s="18" t="inlineStr">
        <is>
          <t>-3.469 SOL</t>
        </is>
      </c>
      <c r="H34" s="18" t="inlineStr">
        <is>
          <t>0.00%</t>
        </is>
      </c>
      <c r="I34" s="17" t="inlineStr">
        <is>
          <t>8,512,231</t>
        </is>
      </c>
      <c r="J34" s="17" t="n">
        <v>1</v>
      </c>
      <c r="K34" s="17" t="n">
        <v>0</v>
      </c>
      <c r="L34" s="17" t="inlineStr">
        <is>
          <t>26.10.2024 21:00:26</t>
        </is>
      </c>
      <c r="M34" s="19" t="inlineStr">
        <is>
          <t>0 sec</t>
        </is>
      </c>
      <c r="N34" s="17" t="inlineStr">
        <is>
          <t xml:space="preserve">         70K            70K             4K</t>
        </is>
      </c>
      <c r="O34" s="17" t="inlineStr">
        <is>
          <t>39WcEuRp1poYHyjEtDVXA5vcy85F7gy6UurEL157pump</t>
        </is>
      </c>
      <c r="P34" s="17">
        <f>HYPERLINK("https://photon-sol.tinyastro.io/en/lp/39WcEuRp1poYHyjEtDVXA5vcy85F7gy6UurEL157pump?handle=676050794bc1b1657a56b", "View")</f>
        <v/>
      </c>
    </row>
    <row r="35">
      <c r="A35" s="20" t="inlineStr">
        <is>
          <t>YURI</t>
        </is>
      </c>
      <c r="B35" s="21" t="n">
        <v>9977303</v>
      </c>
      <c r="C35" s="21" t="n">
        <v>17977303</v>
      </c>
      <c r="D35" s="21" t="inlineStr">
        <is>
          <t>0.080010</t>
        </is>
      </c>
      <c r="E35" s="21" t="inlineStr">
        <is>
          <t>3.607 SOL</t>
        </is>
      </c>
      <c r="F35" s="21" t="inlineStr">
        <is>
          <t>9.746 SOL</t>
        </is>
      </c>
      <c r="G35" s="24" t="inlineStr">
        <is>
          <t>6.059 SOL</t>
        </is>
      </c>
      <c r="H35" s="24" t="inlineStr">
        <is>
          <t>164.32%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25.10.2024 01:19:00</t>
        </is>
      </c>
      <c r="M35" s="21" t="inlineStr">
        <is>
          <t>3 min</t>
        </is>
      </c>
      <c r="N35" s="21" t="inlineStr">
        <is>
          <t xml:space="preserve">         63K            95K             6K</t>
        </is>
      </c>
      <c r="O35" s="21" t="inlineStr">
        <is>
          <t>9zGjSYsr44zi6kjYbSoKsPx9YQ5y6xFZRhj2nignpump</t>
        </is>
      </c>
      <c r="P35" s="21">
        <f>HYPERLINK("https://photon-sol.tinyastro.io/en/lp/9zGjSYsr44zi6kjYbSoKsPx9YQ5y6xFZRhj2nignpump?handle=676050794bc1b1657a56b", "View")</f>
        <v/>
      </c>
    </row>
    <row r="36">
      <c r="A36" s="16" t="inlineStr">
        <is>
          <t>SONICAI</t>
        </is>
      </c>
      <c r="B36" s="17" t="n">
        <v>8254378</v>
      </c>
      <c r="C36" s="17" t="n">
        <v>0</v>
      </c>
      <c r="D36" s="17" t="inlineStr">
        <is>
          <t>0.040000</t>
        </is>
      </c>
      <c r="E36" s="17" t="inlineStr">
        <is>
          <t>3.270 SOL</t>
        </is>
      </c>
      <c r="F36" s="17" t="inlineStr">
        <is>
          <t>0.000 SOL</t>
        </is>
      </c>
      <c r="G36" s="18" t="inlineStr">
        <is>
          <t>-3.310 SOL</t>
        </is>
      </c>
      <c r="H36" s="18" t="inlineStr">
        <is>
          <t>0.00%</t>
        </is>
      </c>
      <c r="I36" s="17" t="inlineStr">
        <is>
          <t>8,254,378</t>
        </is>
      </c>
      <c r="J36" s="17" t="n">
        <v>1</v>
      </c>
      <c r="K36" s="17" t="n">
        <v>0</v>
      </c>
      <c r="L36" s="17" t="inlineStr">
        <is>
          <t>24.10.2024 02:03:14</t>
        </is>
      </c>
      <c r="M36" s="19" t="inlineStr">
        <is>
          <t>0 sec</t>
        </is>
      </c>
      <c r="N36" s="17" t="inlineStr">
        <is>
          <t xml:space="preserve">         70K            70K             8K</t>
        </is>
      </c>
      <c r="O36" s="17" t="inlineStr">
        <is>
          <t>BQYPkPWpYY36eUgt2fbPNrQnvE7Qa5vd5JPjqYvmpump</t>
        </is>
      </c>
      <c r="P36" s="17">
        <f>HYPERLINK("https://photon-sol.tinyastro.io/en/lp/BQYPkPWpYY36eUgt2fbPNrQnvE7Qa5vd5JPjqYvmpump?handle=676050794bc1b1657a56b", "View")</f>
        <v/>
      </c>
    </row>
    <row r="37">
      <c r="A37" s="20" t="inlineStr">
        <is>
          <t>MOOP</t>
        </is>
      </c>
      <c r="B37" s="21" t="n">
        <v>33172649</v>
      </c>
      <c r="C37" s="21" t="n">
        <v>33172649</v>
      </c>
      <c r="D37" s="21" t="inlineStr">
        <is>
          <t>0.011310</t>
        </is>
      </c>
      <c r="E37" s="21" t="inlineStr">
        <is>
          <t>1.951 SOL</t>
        </is>
      </c>
      <c r="F37" s="21" t="inlineStr">
        <is>
          <t>4.205 SOL</t>
        </is>
      </c>
      <c r="G37" s="24" t="inlineStr">
        <is>
          <t>2.243 SOL</t>
        </is>
      </c>
      <c r="H37" s="24" t="inlineStr">
        <is>
          <t>114.30%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22.10.2024 14:30:05</t>
        </is>
      </c>
      <c r="M37" s="19" t="inlineStr">
        <is>
          <t>21 sec</t>
        </is>
      </c>
      <c r="N37" s="21" t="inlineStr">
        <is>
          <t xml:space="preserve">         11K            23K             5K</t>
        </is>
      </c>
      <c r="O37" s="21" t="inlineStr">
        <is>
          <t>283sGa3ZMauu1HSuMNt4CrgFAtZji5ziia71aAgppump</t>
        </is>
      </c>
      <c r="P37" s="21">
        <f>HYPERLINK("https://photon-sol.tinyastro.io/en/lp/283sGa3ZMauu1HSuMNt4CrgFAtZji5ziia71aAgppump?handle=676050794bc1b1657a56b", "View")</f>
        <v/>
      </c>
    </row>
    <row r="38">
      <c r="A38" s="16" t="inlineStr">
        <is>
          <t>SOLANA</t>
        </is>
      </c>
      <c r="B38" s="17" t="n">
        <v>36363636</v>
      </c>
      <c r="C38" s="17" t="n">
        <v>36363636</v>
      </c>
      <c r="D38" s="17" t="inlineStr">
        <is>
          <t>0.011310</t>
        </is>
      </c>
      <c r="E38" s="17" t="inlineStr">
        <is>
          <t>3.178 SOL</t>
        </is>
      </c>
      <c r="F38" s="17" t="inlineStr">
        <is>
          <t>3.337 SOL</t>
        </is>
      </c>
      <c r="G38" s="22" t="inlineStr">
        <is>
          <t>0.147 SOL</t>
        </is>
      </c>
      <c r="H38" s="22" t="inlineStr">
        <is>
          <t>4.62%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22.10.2024 13:55:44</t>
        </is>
      </c>
      <c r="M38" s="19" t="inlineStr">
        <is>
          <t>15 sec</t>
        </is>
      </c>
      <c r="N38" s="17" t="inlineStr">
        <is>
          <t xml:space="preserve">         16K            16K             5K</t>
        </is>
      </c>
      <c r="O38" s="17" t="inlineStr">
        <is>
          <t>FLuFhGLV1EqnKLZnNNaUQ1aC4Huvoemk84tMKP4Upump</t>
        </is>
      </c>
      <c r="P38" s="17">
        <f>HYPERLINK("https://photon-sol.tinyastro.io/en/lp/FLuFhGLV1EqnKLZnNNaUQ1aC4Huvoemk84tMKP4Upump?handle=676050794bc1b1657a56b", "View")</f>
        <v/>
      </c>
    </row>
    <row r="39">
      <c r="A39" s="20" t="inlineStr">
        <is>
          <t>doom</t>
        </is>
      </c>
      <c r="B39" s="21" t="n">
        <v>10326306</v>
      </c>
      <c r="C39" s="21" t="n">
        <v>10326306</v>
      </c>
      <c r="D39" s="21" t="inlineStr">
        <is>
          <t>0.011310</t>
        </is>
      </c>
      <c r="E39" s="21" t="inlineStr">
        <is>
          <t>4.290 SOL</t>
        </is>
      </c>
      <c r="F39" s="21" t="inlineStr">
        <is>
          <t>3.217 SOL</t>
        </is>
      </c>
      <c r="G39" s="25" t="inlineStr">
        <is>
          <t>-1.084 SOL</t>
        </is>
      </c>
      <c r="H39" s="25" t="inlineStr">
        <is>
          <t>-25.20%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22.10.2024 13:44:10</t>
        </is>
      </c>
      <c r="M39" s="21" t="inlineStr">
        <is>
          <t>3 min</t>
        </is>
      </c>
      <c r="N39" s="21" t="inlineStr">
        <is>
          <t xml:space="preserve">         74K            54K             3K</t>
        </is>
      </c>
      <c r="O39" s="21" t="inlineStr">
        <is>
          <t>13v7nvkkd1PpMJ6meoscLKeLRRZLznLfFhXpzFTKpump</t>
        </is>
      </c>
      <c r="P39" s="21">
        <f>HYPERLINK("https://photon-sol.tinyastro.io/en/lp/13v7nvkkd1PpMJ6meoscLKeLRRZLznLfFhXpzFTKpump?handle=676050794bc1b1657a56b", "View")</f>
        <v/>
      </c>
    </row>
    <row r="40">
      <c r="A40" s="16" t="inlineStr">
        <is>
          <t>LONG</t>
        </is>
      </c>
      <c r="B40" s="17" t="n">
        <v>45445775</v>
      </c>
      <c r="C40" s="17" t="n">
        <v>45445775</v>
      </c>
      <c r="D40" s="17" t="inlineStr">
        <is>
          <t>0.125050</t>
        </is>
      </c>
      <c r="E40" s="17" t="inlineStr">
        <is>
          <t>29.000 SOL</t>
        </is>
      </c>
      <c r="F40" s="17" t="inlineStr">
        <is>
          <t>31.515 SOL</t>
        </is>
      </c>
      <c r="G40" s="22" t="inlineStr">
        <is>
          <t>2.390 SOL</t>
        </is>
      </c>
      <c r="H40" s="22" t="inlineStr">
        <is>
          <t>8.20%</t>
        </is>
      </c>
      <c r="I40" s="17" t="inlineStr">
        <is>
          <t>N/A</t>
        </is>
      </c>
      <c r="J40" s="17" t="n">
        <v>5</v>
      </c>
      <c r="K40" s="17" t="n">
        <v>5</v>
      </c>
      <c r="L40" s="17" t="inlineStr">
        <is>
          <t>22.10.2024 03:35:02</t>
        </is>
      </c>
      <c r="M40" s="17" t="inlineStr">
        <is>
          <t>28 min</t>
        </is>
      </c>
      <c r="N40" s="17" t="inlineStr">
        <is>
          <t xml:space="preserve">        160K           112K             4K</t>
        </is>
      </c>
      <c r="O40" s="17" t="inlineStr">
        <is>
          <t>2wSnYg2he87jofkzz3k3CPqMUSvbVGhu923EwYkEpump</t>
        </is>
      </c>
      <c r="P40" s="17">
        <f>HYPERLINK("https://dexscreener.com/solana/2wSnYg2he87jofkzz3k3CPqMUSvbVGhu923EwYkEpump", "View")</f>
        <v/>
      </c>
    </row>
    <row r="41">
      <c r="A41" s="20" t="inlineStr">
        <is>
          <t>goerner</t>
        </is>
      </c>
      <c r="B41" s="21" t="n">
        <v>32207430</v>
      </c>
      <c r="C41" s="21" t="n">
        <v>32207430</v>
      </c>
      <c r="D41" s="21" t="inlineStr">
        <is>
          <t>0.011310</t>
        </is>
      </c>
      <c r="E41" s="21" t="inlineStr">
        <is>
          <t>2.987 SOL</t>
        </is>
      </c>
      <c r="F41" s="21" t="inlineStr">
        <is>
          <t>8.993 SOL</t>
        </is>
      </c>
      <c r="G41" s="24" t="inlineStr">
        <is>
          <t>5.995 SOL</t>
        </is>
      </c>
      <c r="H41" s="24" t="inlineStr">
        <is>
          <t>199.93%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22.10.2024 00:54:04</t>
        </is>
      </c>
      <c r="M41" s="19" t="inlineStr">
        <is>
          <t>24 sec</t>
        </is>
      </c>
      <c r="N41" s="21" t="inlineStr">
        <is>
          <t xml:space="preserve">         16K            49K             4K</t>
        </is>
      </c>
      <c r="O41" s="21" t="inlineStr">
        <is>
          <t>dTqEjwRFUMVMetJovR92d29S5V8MM4ftGTXgR1Jpump</t>
        </is>
      </c>
      <c r="P41" s="21">
        <f>HYPERLINK("https://photon-sol.tinyastro.io/en/lp/dTqEjwRFUMVMetJovR92d29S5V8MM4ftGTXgR1Jpump?handle=676050794bc1b1657a56b", "View")</f>
        <v/>
      </c>
    </row>
    <row r="42">
      <c r="A42" s="16" t="inlineStr">
        <is>
          <t>LOTUSAI</t>
        </is>
      </c>
      <c r="B42" s="17" t="n">
        <v>39848983</v>
      </c>
      <c r="C42" s="17" t="n">
        <v>39848983</v>
      </c>
      <c r="D42" s="17" t="inlineStr">
        <is>
          <t>0.011310</t>
        </is>
      </c>
      <c r="E42" s="17" t="inlineStr">
        <is>
          <t>2.019 SOL</t>
        </is>
      </c>
      <c r="F42" s="17" t="inlineStr">
        <is>
          <t>3.528 SOL</t>
        </is>
      </c>
      <c r="G42" s="24" t="inlineStr">
        <is>
          <t>1.498 SOL</t>
        </is>
      </c>
      <c r="H42" s="24" t="inlineStr">
        <is>
          <t>73.75%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22.10.2024 00:45:36</t>
        </is>
      </c>
      <c r="M42" s="19" t="inlineStr">
        <is>
          <t>21 sec</t>
        </is>
      </c>
      <c r="N42" s="17" t="inlineStr">
        <is>
          <t xml:space="preserve">          9K            16K             5K</t>
        </is>
      </c>
      <c r="O42" s="17" t="inlineStr">
        <is>
          <t>B87nziHcGyTjVPZFW6yJNxzzZTRcPDSUNAWsUq7vpump</t>
        </is>
      </c>
      <c r="P42" s="17">
        <f>HYPERLINK("https://photon-sol.tinyastro.io/en/lp/B87nziHcGyTjVPZFW6yJNxzzZTRcPDSUNAWsUq7vpump?handle=676050794bc1b1657a56b", "View")</f>
        <v/>
      </c>
    </row>
    <row r="43">
      <c r="A43" s="20" t="inlineStr">
        <is>
          <t>FROSTY</t>
        </is>
      </c>
      <c r="B43" s="21" t="n">
        <v>10105803</v>
      </c>
      <c r="C43" s="21" t="n">
        <v>10105803</v>
      </c>
      <c r="D43" s="21" t="inlineStr">
        <is>
          <t>0.020010</t>
        </is>
      </c>
      <c r="E43" s="21" t="inlineStr">
        <is>
          <t>2.725 SOL</t>
        </is>
      </c>
      <c r="F43" s="21" t="inlineStr">
        <is>
          <t>2.943 SOL</t>
        </is>
      </c>
      <c r="G43" s="22" t="inlineStr">
        <is>
          <t>0.198 SOL</t>
        </is>
      </c>
      <c r="H43" s="22" t="inlineStr">
        <is>
          <t>7.22%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22.10.2024 00:15:48</t>
        </is>
      </c>
      <c r="M43" s="19" t="inlineStr">
        <is>
          <t>17 sec</t>
        </is>
      </c>
      <c r="N43" s="21" t="inlineStr">
        <is>
          <t xml:space="preserve">         45K            48K             4K</t>
        </is>
      </c>
      <c r="O43" s="21" t="inlineStr">
        <is>
          <t>6DGF3Dh6BNddtvRb386KvDrxWcSzHHEvXAr55HYTpump</t>
        </is>
      </c>
      <c r="P43" s="21">
        <f>HYPERLINK("https://photon-sol.tinyastro.io/en/lp/6DGF3Dh6BNddtvRb386KvDrxWcSzHHEvXAr55HYTpump?handle=676050794bc1b1657a56b", "View")</f>
        <v/>
      </c>
    </row>
    <row r="44">
      <c r="A44" s="16" t="inlineStr">
        <is>
          <t>JOKERS</t>
        </is>
      </c>
      <c r="B44" s="17" t="n">
        <v>18057953</v>
      </c>
      <c r="C44" s="17" t="n">
        <v>18057953</v>
      </c>
      <c r="D44" s="17" t="inlineStr">
        <is>
          <t>0.020010</t>
        </is>
      </c>
      <c r="E44" s="17" t="inlineStr">
        <is>
          <t>1.541 SOL</t>
        </is>
      </c>
      <c r="F44" s="17" t="inlineStr">
        <is>
          <t>1.458 SOL</t>
        </is>
      </c>
      <c r="G44" s="25" t="inlineStr">
        <is>
          <t>-0.103 SOL</t>
        </is>
      </c>
      <c r="H44" s="25" t="inlineStr">
        <is>
          <t>-6.62%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22.10.2024 00:07:19</t>
        </is>
      </c>
      <c r="M44" s="19" t="inlineStr">
        <is>
          <t>9 sec</t>
        </is>
      </c>
      <c r="N44" s="17" t="inlineStr">
        <is>
          <t xml:space="preserve">         16K            14K             5K</t>
        </is>
      </c>
      <c r="O44" s="17" t="inlineStr">
        <is>
          <t>LvknyzvzAurVB5KK14qBVy9a8YzCyFAdttyJ15cpump</t>
        </is>
      </c>
      <c r="P44" s="17">
        <f>HYPERLINK("https://photon-sol.tinyastro.io/en/lp/LvknyzvzAurVB5KK14qBVy9a8YzCyFAdttyJ15cpump?handle=676050794bc1b1657a56b", "View")</f>
        <v/>
      </c>
    </row>
    <row r="45">
      <c r="A45" s="20" t="inlineStr">
        <is>
          <t>FLOWAI</t>
        </is>
      </c>
      <c r="B45" s="21" t="n">
        <v>11489275</v>
      </c>
      <c r="C45" s="21" t="n">
        <v>11489275</v>
      </c>
      <c r="D45" s="21" t="inlineStr">
        <is>
          <t>0.020010</t>
        </is>
      </c>
      <c r="E45" s="21" t="inlineStr">
        <is>
          <t>3.073 SOL</t>
        </is>
      </c>
      <c r="F45" s="21" t="inlineStr">
        <is>
          <t>0.841 SOL</t>
        </is>
      </c>
      <c r="G45" s="23" t="inlineStr">
        <is>
          <t>-2.252 SOL</t>
        </is>
      </c>
      <c r="H45" s="23" t="inlineStr">
        <is>
          <t>-72.80%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21.10.2024 23:52:50</t>
        </is>
      </c>
      <c r="M45" s="21" t="inlineStr">
        <is>
          <t>3 min</t>
        </is>
      </c>
      <c r="N45" s="21" t="inlineStr">
        <is>
          <t xml:space="preserve">         47K            12K             3K</t>
        </is>
      </c>
      <c r="O45" s="21" t="inlineStr">
        <is>
          <t>6AuhhT1KsznuTdTWBBch3EoBeij9J2aUcq4mWCCNpump</t>
        </is>
      </c>
      <c r="P45" s="21">
        <f>HYPERLINK("https://photon-sol.tinyastro.io/en/lp/6AuhhT1KsznuTdTWBBch3EoBeij9J2aUcq4mWCCNpump?handle=676050794bc1b1657a56b", "View")</f>
        <v/>
      </c>
    </row>
    <row r="46">
      <c r="A46" s="16" t="inlineStr">
        <is>
          <t>OMG</t>
        </is>
      </c>
      <c r="B46" s="17" t="n">
        <v>37386542</v>
      </c>
      <c r="C46" s="17" t="n">
        <v>37386542</v>
      </c>
      <c r="D46" s="17" t="inlineStr">
        <is>
          <t>0.020010</t>
        </is>
      </c>
      <c r="E46" s="17" t="inlineStr">
        <is>
          <t>2.356 SOL</t>
        </is>
      </c>
      <c r="F46" s="17" t="inlineStr">
        <is>
          <t>2.713 SOL</t>
        </is>
      </c>
      <c r="G46" s="22" t="inlineStr">
        <is>
          <t>0.337 SOL</t>
        </is>
      </c>
      <c r="H46" s="22" t="inlineStr">
        <is>
          <t>14.16%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21.10.2024 23:04:17</t>
        </is>
      </c>
      <c r="M46" s="19" t="inlineStr">
        <is>
          <t>33 sec</t>
        </is>
      </c>
      <c r="N46" s="17" t="inlineStr">
        <is>
          <t xml:space="preserve">         11K            12K             5K</t>
        </is>
      </c>
      <c r="O46" s="17" t="inlineStr">
        <is>
          <t>CWbS3j6bdm9HWrwh5F4soFNHZk34e9iRwBxFoXm8pump</t>
        </is>
      </c>
      <c r="P46" s="17">
        <f>HYPERLINK("https://photon-sol.tinyastro.io/en/lp/CWbS3j6bdm9HWrwh5F4soFNHZk34e9iRwBxFoXm8pump?handle=676050794bc1b1657a56b", "View")</f>
        <v/>
      </c>
    </row>
    <row r="47">
      <c r="A47" s="20" t="inlineStr">
        <is>
          <t>FWUG</t>
        </is>
      </c>
      <c r="B47" s="21" t="n">
        <v>12275100</v>
      </c>
      <c r="C47" s="21" t="n">
        <v>12275100</v>
      </c>
      <c r="D47" s="21" t="inlineStr">
        <is>
          <t>0.011310</t>
        </is>
      </c>
      <c r="E47" s="21" t="inlineStr">
        <is>
          <t>2.225 SOL</t>
        </is>
      </c>
      <c r="F47" s="21" t="inlineStr">
        <is>
          <t>3.325 SOL</t>
        </is>
      </c>
      <c r="G47" s="22" t="inlineStr">
        <is>
          <t>1.089 SOL</t>
        </is>
      </c>
      <c r="H47" s="22" t="inlineStr">
        <is>
          <t>48.68%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21.10.2024 14:36:25</t>
        </is>
      </c>
      <c r="M47" s="21" t="inlineStr">
        <is>
          <t>6 min</t>
        </is>
      </c>
      <c r="N47" s="21" t="inlineStr">
        <is>
          <t xml:space="preserve">         28K            42K             4K</t>
        </is>
      </c>
      <c r="O47" s="21" t="inlineStr">
        <is>
          <t>2ZBLtWiwFeSK7qVLApQnmdDucsd2Z6ht8tk36Y8jpump</t>
        </is>
      </c>
      <c r="P47" s="21">
        <f>HYPERLINK("https://photon-sol.tinyastro.io/en/lp/2ZBLtWiwFeSK7qVLApQnmdDucsd2Z6ht8tk36Y8jpump?handle=676050794bc1b1657a56b", "View")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HYPERLINK("https://gmgn.ai/sol/address/47KdXtjkFVcUkew2hwjhX7kaTrN3JYvEx8dBpgHVABoH", "GMGN")</f>
        <v/>
      </c>
    </row>
    <row r="2">
      <c r="A2" s="3" t="inlineStr">
        <is>
          <t>47KdXtjkFVcUkew2hwjhX7kaTrN3JYvEx8dBpgHVABoH</t>
        </is>
      </c>
      <c r="B2" s="3" t="inlineStr">
        <is>
          <t>8.32 SOL</t>
        </is>
      </c>
      <c r="C2" s="3" t="inlineStr">
        <is>
          <t>57%</t>
        </is>
      </c>
      <c r="D2" s="3" t="inlineStr">
        <is>
          <t>152%</t>
        </is>
      </c>
      <c r="E2" s="3" t="inlineStr">
        <is>
          <t>7.81 SOL</t>
        </is>
      </c>
      <c r="F2" s="3" t="inlineStr">
        <is>
          <t>0 (0%)</t>
        </is>
      </c>
      <c r="G2" s="3" t="inlineStr">
        <is>
          <t>0 (0%)</t>
        </is>
      </c>
      <c r="H2" s="3" t="n">
        <v>7</v>
      </c>
      <c r="I2" s="3" t="n">
        <v>0</v>
      </c>
      <c r="J2" s="3" t="inlineStr">
        <is>
          <t>17 h</t>
        </is>
      </c>
      <c r="K2" s="3" t="inlineStr">
        <is>
          <t>8 min</t>
        </is>
      </c>
      <c r="L2" s="3" t="n">
        <v>7</v>
      </c>
      <c r="M2" s="3" t="n">
        <v>4</v>
      </c>
      <c r="N2" s="3">
        <f>HYPERLINK("https://solscan.io/account/47KdXtjkFVcUkew2hwjhX7kaTrN3JYvEx8dBpgHVABoH", "Solscan")</f>
        <v/>
      </c>
    </row>
    <row r="3">
      <c r="A3" s="7" t="inlineStr">
        <is>
          <t>Median ROI</t>
        </is>
      </c>
      <c r="B3" s="4" t="inlineStr">
        <is>
          <t>30.87%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HYPERLINK("https://birdeye.so/profile/47KdXtjkFVcUkew2hwjhX7kaTrN3JYvEx8dBpgHVABoH", "Birdeye")</f>
        <v/>
      </c>
    </row>
    <row r="4">
      <c r="A4" s="7" t="inlineStr">
        <is>
          <t>Rockets percent</t>
        </is>
      </c>
      <c r="B4" s="3" t="inlineStr">
        <is>
          <t>29%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2</v>
      </c>
      <c r="D10" s="7" t="n">
        <v>1</v>
      </c>
      <c r="E10" s="7" t="n">
        <v>1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28.6%</t>
        </is>
      </c>
      <c r="D11" s="7" t="inlineStr">
        <is>
          <t>14.3%</t>
        </is>
      </c>
      <c r="E11" s="7" t="inlineStr">
        <is>
          <t>14.3%</t>
        </is>
      </c>
      <c r="F11" s="7" t="inlineStr">
        <is>
          <t>28.6%</t>
        </is>
      </c>
      <c r="G11" s="7" t="inlineStr">
        <is>
          <t>14.3%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7.6 SOL</t>
        </is>
      </c>
      <c r="D12" s="7" t="inlineStr">
        <is>
          <t>0.7 SOL</t>
        </is>
      </c>
      <c r="E12" s="7" t="inlineStr">
        <is>
          <t>0.2 SOL</t>
        </is>
      </c>
      <c r="F12" s="7" t="inlineStr">
        <is>
          <t>-0.5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Torin</t>
        </is>
      </c>
      <c r="B20" s="17" t="n">
        <v>10163367</v>
      </c>
      <c r="C20" s="17" t="n">
        <v>10163367</v>
      </c>
      <c r="D20" s="17" t="inlineStr">
        <is>
          <t>0.140070</t>
        </is>
      </c>
      <c r="E20" s="17" t="inlineStr">
        <is>
          <t>0.452 SOL</t>
        </is>
      </c>
      <c r="F20" s="17" t="inlineStr">
        <is>
          <t>1.830 SOL</t>
        </is>
      </c>
      <c r="G20" s="24" t="inlineStr">
        <is>
          <t>1.237 SOL</t>
        </is>
      </c>
      <c r="H20" s="24" t="inlineStr">
        <is>
          <t>208.86%</t>
        </is>
      </c>
      <c r="I20" s="17" t="inlineStr">
        <is>
          <t>N/A</t>
        </is>
      </c>
      <c r="J20" s="17" t="n">
        <v>1</v>
      </c>
      <c r="K20" s="17" t="n">
        <v>13</v>
      </c>
      <c r="L20" s="17" t="inlineStr">
        <is>
          <t>30.10.2024 06:27:45</t>
        </is>
      </c>
      <c r="M20" s="17" t="inlineStr">
        <is>
          <t>7 min</t>
        </is>
      </c>
      <c r="N20" s="17" t="inlineStr">
        <is>
          <t xml:space="preserve">          7K            14K             3K</t>
        </is>
      </c>
      <c r="O20" s="17" t="inlineStr">
        <is>
          <t>HxdzGHd2jLF12UHjgFKCb6zMzgfqGnwRvwKweXmXpump</t>
        </is>
      </c>
      <c r="P20" s="17">
        <f>HYPERLINK("https://photon-sol.tinyastro.io/en/lp/HxdzGHd2jLF12UHjgFKCb6zMzgfqGnwRvwKweXmXpump?handle=676050794bc1b1657a56b", "View")</f>
        <v/>
      </c>
    </row>
    <row r="21">
      <c r="A21" s="20" t="inlineStr">
        <is>
          <t>Torin</t>
        </is>
      </c>
      <c r="B21" s="21" t="n">
        <v>8831328</v>
      </c>
      <c r="C21" s="21" t="n">
        <v>8831328</v>
      </c>
      <c r="D21" s="21" t="inlineStr">
        <is>
          <t>0.620310</t>
        </is>
      </c>
      <c r="E21" s="21" t="inlineStr">
        <is>
          <t>0.652 SOL</t>
        </is>
      </c>
      <c r="F21" s="21" t="inlineStr">
        <is>
          <t>7.633 SOL</t>
        </is>
      </c>
      <c r="G21" s="24" t="inlineStr">
        <is>
          <t>6.360 SOL</t>
        </is>
      </c>
      <c r="H21" s="24" t="inlineStr">
        <is>
          <t>499.87%</t>
        </is>
      </c>
      <c r="I21" s="21" t="inlineStr">
        <is>
          <t>N/A</t>
        </is>
      </c>
      <c r="J21" s="21" t="n">
        <v>1</v>
      </c>
      <c r="K21" s="21" t="n">
        <v>61</v>
      </c>
      <c r="L21" s="21" t="inlineStr">
        <is>
          <t>30.10.2024 06:17:46</t>
        </is>
      </c>
      <c r="M21" s="21" t="inlineStr">
        <is>
          <t>7 min</t>
        </is>
      </c>
      <c r="N21" s="21" t="inlineStr">
        <is>
          <t xml:space="preserve">         12K           102K             7K</t>
        </is>
      </c>
      <c r="O21" s="21" t="inlineStr">
        <is>
          <t>ALKTKLRTyF3P83KMCAvGEtY4CsoMzvh1k38uixCgpump</t>
        </is>
      </c>
      <c r="P21" s="21">
        <f>HYPERLINK("https://photon-sol.tinyastro.io/en/lp/ALKTKLRTyF3P83KMCAvGEtY4CsoMzvh1k38uixCgpump?handle=676050794bc1b1657a56b", "View")</f>
        <v/>
      </c>
    </row>
    <row r="22">
      <c r="A22" s="16" t="inlineStr">
        <is>
          <t>Butters</t>
        </is>
      </c>
      <c r="B22" s="17" t="n">
        <v>7929767</v>
      </c>
      <c r="C22" s="17" t="n">
        <v>7929767</v>
      </c>
      <c r="D22" s="17" t="inlineStr">
        <is>
          <t>0.020010</t>
        </is>
      </c>
      <c r="E22" s="17" t="inlineStr">
        <is>
          <t>0.500 SOL</t>
        </is>
      </c>
      <c r="F22" s="17" t="inlineStr">
        <is>
          <t>0.680 SOL</t>
        </is>
      </c>
      <c r="G22" s="22" t="inlineStr">
        <is>
          <t>0.160 SOL</t>
        </is>
      </c>
      <c r="H22" s="22" t="inlineStr">
        <is>
          <t>30.87%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29.10.2024 18:25:18</t>
        </is>
      </c>
      <c r="M22" s="17" t="inlineStr">
        <is>
          <t>8 min</t>
        </is>
      </c>
      <c r="N22" s="17" t="inlineStr">
        <is>
          <t xml:space="preserve">         11K            16K             4K</t>
        </is>
      </c>
      <c r="O22" s="17" t="inlineStr">
        <is>
          <t>BFc3G2JaqZA3eCJzWiSMhGZp7aXwonXETtr2Nudppump</t>
        </is>
      </c>
      <c r="P22" s="17">
        <f>HYPERLINK("https://photon-sol.tinyastro.io/en/lp/BFc3G2JaqZA3eCJzWiSMhGZp7aXwonXETtr2Nudppump?handle=676050794bc1b1657a56b", "View")</f>
        <v/>
      </c>
    </row>
    <row r="23">
      <c r="A23" s="20" t="inlineStr">
        <is>
          <t>Nina</t>
        </is>
      </c>
      <c r="B23" s="21" t="n">
        <v>11778199</v>
      </c>
      <c r="C23" s="21" t="n">
        <v>11778199</v>
      </c>
      <c r="D23" s="21" t="inlineStr">
        <is>
          <t>0.020010</t>
        </is>
      </c>
      <c r="E23" s="21" t="inlineStr">
        <is>
          <t>0.755 SOL</t>
        </is>
      </c>
      <c r="F23" s="21" t="inlineStr">
        <is>
          <t>0.636 SOL</t>
        </is>
      </c>
      <c r="G23" s="25" t="inlineStr">
        <is>
          <t>-0.139 SOL</t>
        </is>
      </c>
      <c r="H23" s="25" t="inlineStr">
        <is>
          <t>-17.94%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15:47:07</t>
        </is>
      </c>
      <c r="M23" s="21" t="inlineStr">
        <is>
          <t>4 min</t>
        </is>
      </c>
      <c r="N23" s="21" t="inlineStr">
        <is>
          <t xml:space="preserve">         11K             9K             5K</t>
        </is>
      </c>
      <c r="O23" s="21" t="inlineStr">
        <is>
          <t>CDkwBE7pPovZLJC2KxM7jvWXkyygR1Y1u2R7f6hmpump</t>
        </is>
      </c>
      <c r="P23" s="21">
        <f>HYPERLINK("https://photon-sol.tinyastro.io/en/lp/CDkwBE7pPovZLJC2KxM7jvWXkyygR1Y1u2R7f6hmpump?handle=676050794bc1b1657a56b", "View")</f>
        <v/>
      </c>
    </row>
    <row r="24">
      <c r="A24" s="16" t="inlineStr">
        <is>
          <t>MOLANG</t>
        </is>
      </c>
      <c r="B24" s="17" t="n">
        <v>1793028</v>
      </c>
      <c r="C24" s="17" t="n">
        <v>1793028</v>
      </c>
      <c r="D24" s="17" t="inlineStr">
        <is>
          <t>0.220020</t>
        </is>
      </c>
      <c r="E24" s="17" t="inlineStr">
        <is>
          <t>0.554 SOL</t>
        </is>
      </c>
      <c r="F24" s="17" t="inlineStr">
        <is>
          <t>0.426 SOL</t>
        </is>
      </c>
      <c r="G24" s="25" t="inlineStr">
        <is>
          <t>-0.347 SOL</t>
        </is>
      </c>
      <c r="H24" s="25" t="inlineStr">
        <is>
          <t>-44.87%</t>
        </is>
      </c>
      <c r="I24" s="17" t="inlineStr">
        <is>
          <t>N/A</t>
        </is>
      </c>
      <c r="J24" s="17" t="n">
        <v>2</v>
      </c>
      <c r="K24" s="17" t="n">
        <v>2</v>
      </c>
      <c r="L24" s="17" t="inlineStr">
        <is>
          <t>29.10.2024 14:48:15</t>
        </is>
      </c>
      <c r="M24" s="17" t="inlineStr">
        <is>
          <t>10 min</t>
        </is>
      </c>
      <c r="N24" s="17" t="inlineStr">
        <is>
          <t xml:space="preserve">         54K            30K             4K</t>
        </is>
      </c>
      <c r="O24" s="17" t="inlineStr">
        <is>
          <t>BPFXTGBjoARa89gbSvbp7Dy6cQwgGc7efW1jE8nTpump</t>
        </is>
      </c>
      <c r="P24" s="17">
        <f>HYPERLINK("https://photon-sol.tinyastro.io/en/lp/BPFXTGBjoARa89gbSvbp7Dy6cQwgGc7efW1jE8nTpump?handle=676050794bc1b1657a56b", "View")</f>
        <v/>
      </c>
    </row>
    <row r="25">
      <c r="A25" s="20" t="inlineStr">
        <is>
          <t>Trina</t>
        </is>
      </c>
      <c r="B25" s="21" t="n">
        <v>11384893</v>
      </c>
      <c r="C25" s="21" t="n">
        <v>11384893</v>
      </c>
      <c r="D25" s="21" t="inlineStr">
        <is>
          <t>0.390150</t>
        </is>
      </c>
      <c r="E25" s="21" t="inlineStr">
        <is>
          <t>0.557 SOL</t>
        </is>
      </c>
      <c r="F25" s="21" t="inlineStr">
        <is>
          <t>1.615 SOL</t>
        </is>
      </c>
      <c r="G25" s="24" t="inlineStr">
        <is>
          <t>0.668 SOL</t>
        </is>
      </c>
      <c r="H25" s="24" t="inlineStr">
        <is>
          <t>70.53%</t>
        </is>
      </c>
      <c r="I25" s="21" t="inlineStr">
        <is>
          <t>N/A</t>
        </is>
      </c>
      <c r="J25" s="21" t="n">
        <v>1</v>
      </c>
      <c r="K25" s="21" t="n">
        <v>29</v>
      </c>
      <c r="L25" s="21" t="inlineStr">
        <is>
          <t>29.10.2024 13:33:37</t>
        </is>
      </c>
      <c r="M25" s="21" t="inlineStr">
        <is>
          <t>9 min</t>
        </is>
      </c>
      <c r="N25" s="21" t="inlineStr">
        <is>
          <t xml:space="preserve">          9K            11K             4K</t>
        </is>
      </c>
      <c r="O25" s="21" t="inlineStr">
        <is>
          <t>DirQ7FDi1C5SZCy8ai1GTSvnm9o8MDf9s4C4cExzpump</t>
        </is>
      </c>
      <c r="P25" s="21">
        <f>HYPERLINK("https://photon-sol.tinyastro.io/en/lp/DirQ7FDi1C5SZCy8ai1GTSvnm9o8MDf9s4C4cExzpump?handle=676050794bc1b1657a56b", "View")</f>
        <v/>
      </c>
    </row>
    <row r="26">
      <c r="A26" s="16" t="inlineStr">
        <is>
          <t>Trina</t>
        </is>
      </c>
      <c r="B26" s="17" t="n">
        <v>585788</v>
      </c>
      <c r="C26" s="17" t="n">
        <v>585788</v>
      </c>
      <c r="D26" s="17" t="inlineStr">
        <is>
          <t>0.110010</t>
        </is>
      </c>
      <c r="E26" s="17" t="inlineStr">
        <is>
          <t>0.131 SOL</t>
        </is>
      </c>
      <c r="F26" s="17" t="inlineStr">
        <is>
          <t>0.115 SOL</t>
        </is>
      </c>
      <c r="G26" s="23" t="inlineStr">
        <is>
          <t>-0.126 SOL</t>
        </is>
      </c>
      <c r="H26" s="23" t="inlineStr">
        <is>
          <t>-52.28%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13:22:14</t>
        </is>
      </c>
      <c r="M26" s="17" t="inlineStr">
        <is>
          <t>8 min</t>
        </is>
      </c>
      <c r="N26" s="17" t="inlineStr">
        <is>
          <t xml:space="preserve">         39K            35K             5K</t>
        </is>
      </c>
      <c r="O26" s="17" t="inlineStr">
        <is>
          <t>CsT44i2W2MWp23WQ2EqjorxZVVzuN4niw1cj1Qr5pump</t>
        </is>
      </c>
      <c r="P26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HYPERLINK("https://gmgn.ai/sol/address/2XRQxY5rBfTmgQLKxa4s2EVGaGvMsXJJ5jbkh9dV215N", "GMGN")</f>
        <v/>
      </c>
    </row>
    <row r="2">
      <c r="A2" s="3" t="inlineStr">
        <is>
          <t>2XRQxY5rBfTmgQLKxa4s2EVGaGvMsXJJ5jbkh9dV215N</t>
        </is>
      </c>
      <c r="B2" s="3" t="inlineStr">
        <is>
          <t>3.47 SOL</t>
        </is>
      </c>
      <c r="C2" s="3" t="inlineStr">
        <is>
          <t>15%</t>
        </is>
      </c>
      <c r="D2" s="3" t="inlineStr">
        <is>
          <t>29%</t>
        </is>
      </c>
      <c r="E2" s="3" t="inlineStr">
        <is>
          <t>3.14 SOL</t>
        </is>
      </c>
      <c r="F2" s="3" t="inlineStr">
        <is>
          <t>7 (6%)</t>
        </is>
      </c>
      <c r="G2" s="3" t="inlineStr">
        <is>
          <t>0 (0%)</t>
        </is>
      </c>
      <c r="H2" s="3" t="n">
        <v>117</v>
      </c>
      <c r="I2" s="3" t="n">
        <v>29</v>
      </c>
      <c r="J2" s="3" t="inlineStr">
        <is>
          <t>6 days</t>
        </is>
      </c>
      <c r="K2" s="3" t="inlineStr">
        <is>
          <t>20 min</t>
        </is>
      </c>
      <c r="L2" s="3" t="n">
        <v>42</v>
      </c>
      <c r="M2" s="3" t="n">
        <v>71</v>
      </c>
      <c r="N2" s="3">
        <f>HYPERLINK("https://solscan.io/account/2XRQxY5rBfTmgQLKxa4s2EVGaGvMsXJJ5jbkh9dV215N",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HYPERLINK("https://birdeye.so/profile/2XRQxY5rBfTmgQLKxa4s2EVGaGvMsXJJ5jbkh9dV215N", "Birdeye")</f>
        <v/>
      </c>
    </row>
    <row r="4">
      <c r="A4" s="7" t="inlineStr">
        <is>
          <t>Rockets percent</t>
        </is>
      </c>
      <c r="B4" s="3" t="inlineStr">
        <is>
          <t>8%</t>
        </is>
      </c>
      <c r="C4" s="3" t="inlineStr"/>
      <c r="D4" s="3" t="inlineStr">
        <is>
          <t>18%</t>
        </is>
      </c>
      <c r="E4" s="3" t="inlineStr">
        <is>
          <t>1.9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7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4</v>
      </c>
      <c r="C10" s="7" t="n">
        <v>5</v>
      </c>
      <c r="D10" s="7" t="n">
        <v>4</v>
      </c>
      <c r="E10" s="7" t="n">
        <v>4</v>
      </c>
      <c r="F10" s="7" t="n">
        <v>12</v>
      </c>
      <c r="G10" s="7" t="n">
        <v>88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3.4%</t>
        </is>
      </c>
      <c r="C11" s="7" t="inlineStr">
        <is>
          <t>4.3%</t>
        </is>
      </c>
      <c r="D11" s="7" t="inlineStr">
        <is>
          <t>3.4%</t>
        </is>
      </c>
      <c r="E11" s="7" t="inlineStr">
        <is>
          <t>3.4%</t>
        </is>
      </c>
      <c r="F11" s="7" t="inlineStr">
        <is>
          <t>10.3%</t>
        </is>
      </c>
      <c r="G11" s="7" t="inlineStr">
        <is>
          <t>75.2%</t>
        </is>
      </c>
      <c r="H11" s="3" t="n"/>
      <c r="I11" s="3" t="inlineStr">
        <is>
          <t>5k-30k</t>
        </is>
      </c>
      <c r="J11" s="3" t="inlineStr">
        <is>
          <t>38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9.8 SOL</t>
        </is>
      </c>
      <c r="C12" s="7" t="inlineStr">
        <is>
          <t>1.0 SOL</t>
        </is>
      </c>
      <c r="D12" s="7" t="inlineStr">
        <is>
          <t>0.3 SOL</t>
        </is>
      </c>
      <c r="E12" s="7" t="inlineStr">
        <is>
          <t>0.0 SOL</t>
        </is>
      </c>
      <c r="F12" s="7" t="inlineStr">
        <is>
          <t>-0.3 SOL</t>
        </is>
      </c>
      <c r="G12" s="7" t="inlineStr">
        <is>
          <t>-7.6 SOL</t>
        </is>
      </c>
      <c r="H12" s="3" t="n"/>
      <c r="I12" s="3" t="inlineStr">
        <is>
          <t>30k-100k</t>
        </is>
      </c>
      <c r="J12" s="3" t="inlineStr">
        <is>
          <t>25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27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77.0K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DOLPHIN</t>
        </is>
      </c>
      <c r="B20" s="17" t="n">
        <v>44349</v>
      </c>
      <c r="C20" s="17" t="n">
        <v>0</v>
      </c>
      <c r="D20" s="17" t="inlineStr">
        <is>
          <t>0.000710</t>
        </is>
      </c>
      <c r="E20" s="17" t="inlineStr">
        <is>
          <t>0.075 SOL</t>
        </is>
      </c>
      <c r="F20" s="17" t="inlineStr">
        <is>
          <t>0.000 SOL</t>
        </is>
      </c>
      <c r="G20" s="18" t="inlineStr">
        <is>
          <t>-0.076 SOL</t>
        </is>
      </c>
      <c r="H20" s="18" t="inlineStr">
        <is>
          <t>0.00%</t>
        </is>
      </c>
      <c r="I20" s="17" t="inlineStr">
        <is>
          <t>44,349</t>
        </is>
      </c>
      <c r="J20" s="17" t="n">
        <v>1</v>
      </c>
      <c r="K20" s="17" t="n">
        <v>0</v>
      </c>
      <c r="L20" s="17" t="inlineStr">
        <is>
          <t>30.10.2024 16:46:31</t>
        </is>
      </c>
      <c r="M20" s="19" t="inlineStr">
        <is>
          <t>0 sec</t>
        </is>
      </c>
      <c r="N20" s="17" t="inlineStr">
        <is>
          <t xml:space="preserve">        297K           297K             8K</t>
        </is>
      </c>
      <c r="O20" s="17" t="inlineStr">
        <is>
          <t>8zuLGDdCMELwGjD9b3gtyqfCKwj5hbNUnCCw66eBpump</t>
        </is>
      </c>
      <c r="P20" s="17">
        <f>HYPERLINK("https://dexscreener.com/solana/8zuLGDdCMELwGjD9b3gtyqfCKwj5hbNUnCCw66eBpump", "View")</f>
        <v/>
      </c>
    </row>
    <row r="21">
      <c r="A21" s="20" t="inlineStr">
        <is>
          <t>NUTBUTT</t>
        </is>
      </c>
      <c r="B21" s="21" t="n">
        <v>37823</v>
      </c>
      <c r="C21" s="21" t="n">
        <v>19384</v>
      </c>
      <c r="D21" s="21" t="inlineStr">
        <is>
          <t>0.002120</t>
        </is>
      </c>
      <c r="E21" s="21" t="inlineStr">
        <is>
          <t>0.075 SOL</t>
        </is>
      </c>
      <c r="F21" s="21" t="inlineStr">
        <is>
          <t>0.091 SOL</t>
        </is>
      </c>
      <c r="G21" s="22" t="inlineStr">
        <is>
          <t>0.013 SOL</t>
        </is>
      </c>
      <c r="H21" s="22" t="inlineStr">
        <is>
          <t>17.47%</t>
        </is>
      </c>
      <c r="I21" s="21" t="inlineStr">
        <is>
          <t>N/A</t>
        </is>
      </c>
      <c r="J21" s="21" t="n">
        <v>1</v>
      </c>
      <c r="K21" s="21" t="n">
        <v>2</v>
      </c>
      <c r="L21" s="21" t="inlineStr">
        <is>
          <t>30.10.2024 16:37:13</t>
        </is>
      </c>
      <c r="M21" s="21" t="inlineStr">
        <is>
          <t>13 hours</t>
        </is>
      </c>
      <c r="N21" s="21" t="inlineStr">
        <is>
          <t xml:space="preserve">        348K           348K           657K</t>
        </is>
      </c>
      <c r="O21" s="21" t="inlineStr">
        <is>
          <t>CFBYjzT357obRmihT9F5uyCY3kqgksRvXKM3RJN1pump</t>
        </is>
      </c>
      <c r="P21" s="21">
        <f>HYPERLINK("https://dexscreener.com/solana/CFBYjzT357obRmihT9F5uyCY3kqgksRvXKM3RJN1pump", "View")</f>
        <v/>
      </c>
    </row>
    <row r="22">
      <c r="A22" s="16" t="inlineStr">
        <is>
          <t>LIANA</t>
        </is>
      </c>
      <c r="B22" s="17" t="n">
        <v>154655</v>
      </c>
      <c r="C22" s="17" t="n">
        <v>0</v>
      </c>
      <c r="D22" s="17" t="inlineStr">
        <is>
          <t>0.000710</t>
        </is>
      </c>
      <c r="E22" s="17" t="inlineStr">
        <is>
          <t>0.075 SOL</t>
        </is>
      </c>
      <c r="F22" s="17" t="inlineStr">
        <is>
          <t>0.000 SOL</t>
        </is>
      </c>
      <c r="G22" s="18" t="inlineStr">
        <is>
          <t>-0.076 SOL</t>
        </is>
      </c>
      <c r="H22" s="18" t="inlineStr">
        <is>
          <t>0.00%</t>
        </is>
      </c>
      <c r="I22" s="17" t="inlineStr">
        <is>
          <t>154,655</t>
        </is>
      </c>
      <c r="J22" s="17" t="n">
        <v>1</v>
      </c>
      <c r="K22" s="17" t="n">
        <v>0</v>
      </c>
      <c r="L22" s="17" t="inlineStr">
        <is>
          <t>30.10.2024 16:36:22</t>
        </is>
      </c>
      <c r="M22" s="19" t="inlineStr">
        <is>
          <t>0 sec</t>
        </is>
      </c>
      <c r="N22" s="17" t="inlineStr">
        <is>
          <t xml:space="preserve">         84K            84K             5K</t>
        </is>
      </c>
      <c r="O22" s="17" t="inlineStr">
        <is>
          <t>Gqm9CNRm3ZL6qVnbcjS9f4qvsPtW28gxanAuMbo4pump</t>
        </is>
      </c>
      <c r="P22" s="17">
        <f>HYPERLINK("https://dexscreener.com/solana/Gqm9CNRm3ZL6qVnbcjS9f4qvsPtW28gxanAuMbo4pump", "View")</f>
        <v/>
      </c>
    </row>
    <row r="23">
      <c r="A23" s="20" t="inlineStr">
        <is>
          <t>MOMO</t>
        </is>
      </c>
      <c r="B23" s="21" t="n">
        <v>56371</v>
      </c>
      <c r="C23" s="21" t="n">
        <v>0</v>
      </c>
      <c r="D23" s="21" t="inlineStr">
        <is>
          <t>0.001410</t>
        </is>
      </c>
      <c r="E23" s="21" t="inlineStr">
        <is>
          <t>0.125 SOL</t>
        </is>
      </c>
      <c r="F23" s="21" t="inlineStr">
        <is>
          <t>0.000 SOL</t>
        </is>
      </c>
      <c r="G23" s="18" t="inlineStr">
        <is>
          <t>-0.126 SOL</t>
        </is>
      </c>
      <c r="H23" s="18" t="inlineStr">
        <is>
          <t>0.00%</t>
        </is>
      </c>
      <c r="I23" s="21" t="inlineStr">
        <is>
          <t>56,371</t>
        </is>
      </c>
      <c r="J23" s="21" t="n">
        <v>2</v>
      </c>
      <c r="K23" s="21" t="n">
        <v>0</v>
      </c>
      <c r="L23" s="21" t="inlineStr">
        <is>
          <t>30.10.2024 16:33:53</t>
        </is>
      </c>
      <c r="M23" s="19" t="inlineStr">
        <is>
          <t>0 sec</t>
        </is>
      </c>
      <c r="N23" s="21" t="inlineStr">
        <is>
          <t xml:space="preserve">        379K           407K             9K</t>
        </is>
      </c>
      <c r="O23" s="21" t="inlineStr">
        <is>
          <t>4FieKJu1twj631v1NbDdpocqWS72Up36N3Lf3C1dpump</t>
        </is>
      </c>
      <c r="P23" s="21">
        <f>HYPERLINK("https://dexscreener.com/solana/4FieKJu1twj631v1NbDdpocqWS72Up36N3Lf3C1dpump", "View")</f>
        <v/>
      </c>
    </row>
    <row r="24">
      <c r="A24" s="16" t="inlineStr">
        <is>
          <t>tutu</t>
        </is>
      </c>
      <c r="B24" s="17" t="n">
        <v>363075</v>
      </c>
      <c r="C24" s="17" t="n">
        <v>29238</v>
      </c>
      <c r="D24" s="17" t="inlineStr">
        <is>
          <t>0.002820</t>
        </is>
      </c>
      <c r="E24" s="17" t="inlineStr">
        <is>
          <t>0.105 SOL</t>
        </is>
      </c>
      <c r="F24" s="17" t="inlineStr">
        <is>
          <t>0.022 SOL</t>
        </is>
      </c>
      <c r="G24" s="23" t="inlineStr">
        <is>
          <t>-0.085 SOL</t>
        </is>
      </c>
      <c r="H24" s="23" t="inlineStr">
        <is>
          <t>-79.31%</t>
        </is>
      </c>
      <c r="I24" s="17" t="inlineStr">
        <is>
          <t>N/A</t>
        </is>
      </c>
      <c r="J24" s="17" t="n">
        <v>3</v>
      </c>
      <c r="K24" s="17" t="n">
        <v>1</v>
      </c>
      <c r="L24" s="17" t="inlineStr">
        <is>
          <t>30.10.2024 15:02:37</t>
        </is>
      </c>
      <c r="M24" s="17" t="inlineStr">
        <is>
          <t>1 hours</t>
        </is>
      </c>
      <c r="N24" s="17" t="inlineStr">
        <is>
          <t xml:space="preserve">         54K            51K             6K</t>
        </is>
      </c>
      <c r="O24" s="17" t="inlineStr">
        <is>
          <t>3M85pJDvorLLtdq9zNcB2r5N36JvBvPpSFrB7pEnpump</t>
        </is>
      </c>
      <c r="P24" s="17">
        <f>HYPERLINK("https://photon-sol.tinyastro.io/en/lp/3M85pJDvorLLtdq9zNcB2r5N36JvBvPpSFrB7pEnpump?handle=676050794bc1b1657a56b", "View")</f>
        <v/>
      </c>
    </row>
    <row r="25">
      <c r="A25" s="20" t="inlineStr">
        <is>
          <t>JEETISM</t>
        </is>
      </c>
      <c r="B25" s="21" t="n">
        <v>128967</v>
      </c>
      <c r="C25" s="21" t="n">
        <v>64484</v>
      </c>
      <c r="D25" s="21" t="inlineStr">
        <is>
          <t>0.001410</t>
        </is>
      </c>
      <c r="E25" s="21" t="inlineStr">
        <is>
          <t>0.026 SOL</t>
        </is>
      </c>
      <c r="F25" s="21" t="inlineStr">
        <is>
          <t>0.005 SOL</t>
        </is>
      </c>
      <c r="G25" s="23" t="inlineStr">
        <is>
          <t>-0.023 SOL</t>
        </is>
      </c>
      <c r="H25" s="23" t="inlineStr">
        <is>
          <t>-81.26%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30.10.2024 12:51:38</t>
        </is>
      </c>
      <c r="M25" s="21" t="inlineStr">
        <is>
          <t>30 min</t>
        </is>
      </c>
      <c r="N25" s="21" t="inlineStr">
        <is>
          <t xml:space="preserve">         37K            37K             4K</t>
        </is>
      </c>
      <c r="O25" s="21" t="inlineStr">
        <is>
          <t>7gTqhPZNGfEJZ6yvE7WjkX76wmDhzKDjGeP9Rv74pump</t>
        </is>
      </c>
      <c r="P25" s="21">
        <f>HYPERLINK("https://photon-sol.tinyastro.io/en/lp/7gTqhPZNGfEJZ6yvE7WjkX76wmDhzKDjGeP9Rv74pump?handle=676050794bc1b1657a56b", "View")</f>
        <v/>
      </c>
    </row>
    <row r="26">
      <c r="A26" s="16" t="inlineStr">
        <is>
          <t>OMBRA</t>
        </is>
      </c>
      <c r="B26" s="17" t="n">
        <v>142863</v>
      </c>
      <c r="C26" s="17" t="n">
        <v>0</v>
      </c>
      <c r="D26" s="17" t="inlineStr">
        <is>
          <t>0.001410</t>
        </is>
      </c>
      <c r="E26" s="17" t="inlineStr">
        <is>
          <t>0.125 SOL</t>
        </is>
      </c>
      <c r="F26" s="17" t="inlineStr">
        <is>
          <t>0.000 SOL</t>
        </is>
      </c>
      <c r="G26" s="18" t="inlineStr">
        <is>
          <t>-0.126 SOL</t>
        </is>
      </c>
      <c r="H26" s="18" t="inlineStr">
        <is>
          <t>0.00%</t>
        </is>
      </c>
      <c r="I26" s="17" t="inlineStr">
        <is>
          <t>142,863</t>
        </is>
      </c>
      <c r="J26" s="17" t="n">
        <v>2</v>
      </c>
      <c r="K26" s="17" t="n">
        <v>0</v>
      </c>
      <c r="L26" s="17" t="inlineStr">
        <is>
          <t>30.10.2024 12:34:10</t>
        </is>
      </c>
      <c r="M26" s="19" t="inlineStr">
        <is>
          <t>1 sec</t>
        </is>
      </c>
      <c r="N26" s="17" t="inlineStr">
        <is>
          <t xml:space="preserve">        153K           155K            19K</t>
        </is>
      </c>
      <c r="O26" s="17" t="inlineStr">
        <is>
          <t>ABGuyFsRx6coPxDqXnFwUmFNG3hsg5i24XSsHV1Apump</t>
        </is>
      </c>
      <c r="P26" s="17">
        <f>HYPERLINK("https://dexscreener.com/solana/ABGuyFsRx6coPxDqXnFwUmFNG3hsg5i24XSsHV1Apump", "View")</f>
        <v/>
      </c>
    </row>
    <row r="27">
      <c r="A27" s="20" t="inlineStr">
        <is>
          <t>MOKSHA</t>
        </is>
      </c>
      <c r="B27" s="21" t="n">
        <v>30928</v>
      </c>
      <c r="C27" s="21" t="n">
        <v>30928</v>
      </c>
      <c r="D27" s="21" t="inlineStr">
        <is>
          <t>0.003930</t>
        </is>
      </c>
      <c r="E27" s="21" t="inlineStr">
        <is>
          <t>0.050 SOL</t>
        </is>
      </c>
      <c r="F27" s="21" t="inlineStr">
        <is>
          <t>0.139 SOL</t>
        </is>
      </c>
      <c r="G27" s="24" t="inlineStr">
        <is>
          <t>0.085 SOL</t>
        </is>
      </c>
      <c r="H27" s="24" t="inlineStr">
        <is>
          <t>158.09%</t>
        </is>
      </c>
      <c r="I27" s="21" t="inlineStr">
        <is>
          <t>N/A</t>
        </is>
      </c>
      <c r="J27" s="21" t="n">
        <v>1</v>
      </c>
      <c r="K27" s="21" t="n">
        <v>5</v>
      </c>
      <c r="L27" s="21" t="inlineStr">
        <is>
          <t>30.10.2024 12:02:32</t>
        </is>
      </c>
      <c r="M27" s="21" t="inlineStr">
        <is>
          <t>4 hours</t>
        </is>
      </c>
      <c r="N27" s="21" t="inlineStr">
        <is>
          <t xml:space="preserve">        285K           516K           233K</t>
        </is>
      </c>
      <c r="O27" s="21" t="inlineStr">
        <is>
          <t>D5S1nXXaMnJui8rCnMbP1GZQnL9TxzbF92hXvgkVpump</t>
        </is>
      </c>
      <c r="P27" s="21">
        <f>HYPERLINK("https://dexscreener.com/solana/D5S1nXXaMnJui8rCnMbP1GZQnL9TxzbF92hXvgkVpump", "View")</f>
        <v/>
      </c>
    </row>
    <row r="28">
      <c r="A28" s="16" t="inlineStr">
        <is>
          <t>dogat</t>
        </is>
      </c>
      <c r="B28" s="17" t="n">
        <v>62713</v>
      </c>
      <c r="C28" s="17" t="n">
        <v>32782</v>
      </c>
      <c r="D28" s="17" t="inlineStr">
        <is>
          <t>0.002630</t>
        </is>
      </c>
      <c r="E28" s="17" t="inlineStr">
        <is>
          <t>0.150 SOL</t>
        </is>
      </c>
      <c r="F28" s="17" t="inlineStr">
        <is>
          <t>0.399 SOL</t>
        </is>
      </c>
      <c r="G28" s="24" t="inlineStr">
        <is>
          <t>0.246 SOL</t>
        </is>
      </c>
      <c r="H28" s="24" t="inlineStr">
        <is>
          <t>161.31%</t>
        </is>
      </c>
      <c r="I28" s="17" t="inlineStr">
        <is>
          <t>N/A</t>
        </is>
      </c>
      <c r="J28" s="17" t="n">
        <v>1</v>
      </c>
      <c r="K28" s="17" t="n">
        <v>4</v>
      </c>
      <c r="L28" s="17" t="inlineStr">
        <is>
          <t>30.10.2024 11:08:16</t>
        </is>
      </c>
      <c r="M28" s="17" t="inlineStr">
        <is>
          <t>6 hours</t>
        </is>
      </c>
      <c r="N28" s="17" t="inlineStr">
        <is>
          <t xml:space="preserve">        420K           420K           353K</t>
        </is>
      </c>
      <c r="O28" s="17" t="inlineStr">
        <is>
          <t>5pQSTDfeUppb6tV415RWygL8n3ctyakBTV7QzBn5pump</t>
        </is>
      </c>
      <c r="P28" s="17">
        <f>HYPERLINK("https://dexscreener.com/solana/5pQSTDfeUppb6tV415RWygL8n3ctyakBTV7QzBn5pump", "View")</f>
        <v/>
      </c>
    </row>
    <row r="29">
      <c r="A29" s="20" t="inlineStr">
        <is>
          <t>RISE</t>
        </is>
      </c>
      <c r="B29" s="21" t="n">
        <v>84462</v>
      </c>
      <c r="C29" s="21" t="n">
        <v>0</v>
      </c>
      <c r="D29" s="21" t="inlineStr">
        <is>
          <t>0.000710</t>
        </is>
      </c>
      <c r="E29" s="21" t="inlineStr">
        <is>
          <t>0.150 SOL</t>
        </is>
      </c>
      <c r="F29" s="21" t="inlineStr">
        <is>
          <t>0.000 SOL</t>
        </is>
      </c>
      <c r="G29" s="18" t="inlineStr">
        <is>
          <t>-0.151 SOL</t>
        </is>
      </c>
      <c r="H29" s="18" t="inlineStr">
        <is>
          <t>0.00%</t>
        </is>
      </c>
      <c r="I29" s="21" t="inlineStr">
        <is>
          <t>84,462</t>
        </is>
      </c>
      <c r="J29" s="21" t="n">
        <v>1</v>
      </c>
      <c r="K29" s="21" t="n">
        <v>0</v>
      </c>
      <c r="L29" s="21" t="inlineStr">
        <is>
          <t>30.10.2024 10:43:12</t>
        </is>
      </c>
      <c r="M29" s="19" t="inlineStr">
        <is>
          <t>0 sec</t>
        </is>
      </c>
      <c r="N29" s="21" t="inlineStr">
        <is>
          <t xml:space="preserve">        313K           313K            12K</t>
        </is>
      </c>
      <c r="O29" s="21" t="inlineStr">
        <is>
          <t>5ZrVb3GpZ6c9ukqLYgLxFdg8zgy7ttY4mZy6ngx9pump</t>
        </is>
      </c>
      <c r="P29" s="21">
        <f>HYPERLINK("https://dexscreener.com/solana/5ZrVb3GpZ6c9ukqLYgLxFdg8zgy7ttY4mZy6ngx9pump", "View")</f>
        <v/>
      </c>
    </row>
    <row r="30">
      <c r="A30" s="16" t="inlineStr">
        <is>
          <t>69.420%</t>
        </is>
      </c>
      <c r="B30" s="17" t="n">
        <v>163736</v>
      </c>
      <c r="C30" s="17" t="n">
        <v>163736</v>
      </c>
      <c r="D30" s="17" t="inlineStr">
        <is>
          <t>0.003530</t>
        </is>
      </c>
      <c r="E30" s="17" t="inlineStr">
        <is>
          <t>0.033 SOL</t>
        </is>
      </c>
      <c r="F30" s="17" t="inlineStr">
        <is>
          <t>0.031 SOL</t>
        </is>
      </c>
      <c r="G30" s="25" t="inlineStr">
        <is>
          <t>-0.006 SOL</t>
        </is>
      </c>
      <c r="H30" s="25" t="inlineStr">
        <is>
          <t>-15.99%</t>
        </is>
      </c>
      <c r="I30" s="17" t="inlineStr">
        <is>
          <t>N/A</t>
        </is>
      </c>
      <c r="J30" s="17" t="n">
        <v>1</v>
      </c>
      <c r="K30" s="17" t="n">
        <v>4</v>
      </c>
      <c r="L30" s="17" t="inlineStr">
        <is>
          <t>30.10.2024 10:16:49</t>
        </is>
      </c>
      <c r="M30" s="17" t="inlineStr">
        <is>
          <t>50 min</t>
        </is>
      </c>
      <c r="N30" s="17" t="inlineStr">
        <is>
          <t xml:space="preserve">         35K            33K            35K</t>
        </is>
      </c>
      <c r="O30" s="17" t="inlineStr">
        <is>
          <t>Djv9h45qTD1Bf9KrePGDecHB9ynreMHssDTQkLrupump</t>
        </is>
      </c>
      <c r="P30" s="17">
        <f>HYPERLINK("https://photon-sol.tinyastro.io/en/lp/Djv9h45qTD1Bf9KrePGDecHB9ynreMHssDTQkLrupump?handle=676050794bc1b1657a56b", "View")</f>
        <v/>
      </c>
    </row>
    <row r="31">
      <c r="A31" s="20" t="inlineStr">
        <is>
          <t>EA</t>
        </is>
      </c>
      <c r="B31" s="21" t="n">
        <v>389244</v>
      </c>
      <c r="C31" s="21" t="n">
        <v>389244</v>
      </c>
      <c r="D31" s="21" t="inlineStr">
        <is>
          <t>0.001410</t>
        </is>
      </c>
      <c r="E31" s="21" t="inlineStr">
        <is>
          <t>0.033 SOL</t>
        </is>
      </c>
      <c r="F31" s="21" t="inlineStr">
        <is>
          <t>0.013 SOL</t>
        </is>
      </c>
      <c r="G31" s="23" t="inlineStr">
        <is>
          <t>-0.022 SOL</t>
        </is>
      </c>
      <c r="H31" s="23" t="inlineStr">
        <is>
          <t>-63.08%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30.10.2024 10:16:10</t>
        </is>
      </c>
      <c r="M31" s="21" t="inlineStr">
        <is>
          <t>44 min</t>
        </is>
      </c>
      <c r="N31" s="21" t="inlineStr">
        <is>
          <t xml:space="preserve">         14K            14K             5K</t>
        </is>
      </c>
      <c r="O31" s="21" t="inlineStr">
        <is>
          <t>Ffaxk9jV1xA7abZ36dyGanAk6gNbGMszTZ5JFMXhpump</t>
        </is>
      </c>
      <c r="P31" s="21">
        <f>HYPERLINK("https://photon-sol.tinyastro.io/en/lp/Ffaxk9jV1xA7abZ36dyGanAk6gNbGMszTZ5JFMXhpump?handle=676050794bc1b1657a56b", "View")</f>
        <v/>
      </c>
    </row>
    <row r="32">
      <c r="A32" s="16" t="inlineStr">
        <is>
          <t>Catdets</t>
        </is>
      </c>
      <c r="B32" s="17" t="n">
        <v>981846</v>
      </c>
      <c r="C32" s="17" t="n">
        <v>0</v>
      </c>
      <c r="D32" s="17" t="inlineStr">
        <is>
          <t>0.000710</t>
        </is>
      </c>
      <c r="E32" s="17" t="inlineStr">
        <is>
          <t>0.040 SOL</t>
        </is>
      </c>
      <c r="F32" s="17" t="inlineStr">
        <is>
          <t>0.000 SOL</t>
        </is>
      </c>
      <c r="G32" s="18" t="inlineStr">
        <is>
          <t>-0.040 SOL</t>
        </is>
      </c>
      <c r="H32" s="18" t="inlineStr">
        <is>
          <t>0.00%</t>
        </is>
      </c>
      <c r="I32" s="17" t="inlineStr">
        <is>
          <t>981,846</t>
        </is>
      </c>
      <c r="J32" s="17" t="n">
        <v>1</v>
      </c>
      <c r="K32" s="17" t="n">
        <v>0</v>
      </c>
      <c r="L32" s="17" t="inlineStr">
        <is>
          <t>30.10.2024 08:27:22</t>
        </is>
      </c>
      <c r="M32" s="19" t="inlineStr">
        <is>
          <t>0 sec</t>
        </is>
      </c>
      <c r="N32" s="17" t="inlineStr">
        <is>
          <t xml:space="preserve">          7K             7K             5K</t>
        </is>
      </c>
      <c r="O32" s="17" t="inlineStr">
        <is>
          <t>6cf3ZvWPhaVo6Reoz5YqYwJ9anuBkWvqgnksHLf6pump</t>
        </is>
      </c>
      <c r="P32" s="17">
        <f>HYPERLINK("https://photon-sol.tinyastro.io/en/lp/6cf3ZvWPhaVo6Reoz5YqYwJ9anuBkWvqgnksHLf6pump?handle=676050794bc1b1657a56b", "View")</f>
        <v/>
      </c>
    </row>
    <row r="33">
      <c r="A33" s="20" t="inlineStr">
        <is>
          <t>WYR</t>
        </is>
      </c>
      <c r="B33" s="21" t="n">
        <v>299273</v>
      </c>
      <c r="C33" s="21" t="n">
        <v>149636</v>
      </c>
      <c r="D33" s="21" t="inlineStr">
        <is>
          <t>0.001410</t>
        </is>
      </c>
      <c r="E33" s="21" t="inlineStr">
        <is>
          <t>0.075 SOL</t>
        </is>
      </c>
      <c r="F33" s="21" t="inlineStr">
        <is>
          <t>0.034 SOL</t>
        </is>
      </c>
      <c r="G33" s="23" t="inlineStr">
        <is>
          <t>-0.043 SOL</t>
        </is>
      </c>
      <c r="H33" s="23" t="inlineStr">
        <is>
          <t>-55.69%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30.10.2024 08:15:06</t>
        </is>
      </c>
      <c r="M33" s="21" t="inlineStr">
        <is>
          <t>30 min</t>
        </is>
      </c>
      <c r="N33" s="21" t="inlineStr">
        <is>
          <t xml:space="preserve">         44K            44K             5K</t>
        </is>
      </c>
      <c r="O33" s="21" t="inlineStr">
        <is>
          <t>2CtwtX2A3jXgxG8WFJThQiNZpHzvqiCVwNU4za9fWH23</t>
        </is>
      </c>
      <c r="P33" s="21">
        <f>HYPERLINK("https://dexscreener.com/solana/2CtwtX2A3jXgxG8WFJThQiNZpHzvqiCVwNU4za9fWH23", "View")</f>
        <v/>
      </c>
    </row>
    <row r="34">
      <c r="A34" s="16" t="inlineStr">
        <is>
          <t>WYR</t>
        </is>
      </c>
      <c r="B34" s="17" t="n">
        <v>273365</v>
      </c>
      <c r="C34" s="17" t="n">
        <v>0</v>
      </c>
      <c r="D34" s="17" t="inlineStr">
        <is>
          <t>0.001410</t>
        </is>
      </c>
      <c r="E34" s="17" t="inlineStr">
        <is>
          <t>0.125 SOL</t>
        </is>
      </c>
      <c r="F34" s="17" t="inlineStr">
        <is>
          <t>0.000 SOL</t>
        </is>
      </c>
      <c r="G34" s="18" t="inlineStr">
        <is>
          <t>-0.126 SOL</t>
        </is>
      </c>
      <c r="H34" s="18" t="inlineStr">
        <is>
          <t>0.00%</t>
        </is>
      </c>
      <c r="I34" s="17" t="inlineStr">
        <is>
          <t>273,365</t>
        </is>
      </c>
      <c r="J34" s="17" t="n">
        <v>2</v>
      </c>
      <c r="K34" s="17" t="n">
        <v>0</v>
      </c>
      <c r="L34" s="17" t="inlineStr">
        <is>
          <t>30.10.2024 08:10:08</t>
        </is>
      </c>
      <c r="M34" s="19" t="inlineStr">
        <is>
          <t>0 sec</t>
        </is>
      </c>
      <c r="N34" s="17" t="inlineStr">
        <is>
          <t xml:space="preserve">         77K            86K            11K</t>
        </is>
      </c>
      <c r="O34" s="17" t="inlineStr">
        <is>
          <t>7595tbPqDXijgZ3q2raR9aS311agcokwAJ21aczVpump</t>
        </is>
      </c>
      <c r="P34" s="17">
        <f>HYPERLINK("https://dexscreener.com/solana/7595tbPqDXijgZ3q2raR9aS311agcokwAJ21aczVpump", "View")</f>
        <v/>
      </c>
    </row>
    <row r="35">
      <c r="A35" s="20" t="inlineStr">
        <is>
          <t>TEE</t>
        </is>
      </c>
      <c r="B35" s="21" t="n">
        <v>78010</v>
      </c>
      <c r="C35" s="21" t="n">
        <v>0</v>
      </c>
      <c r="D35" s="21" t="inlineStr">
        <is>
          <t>0.004940</t>
        </is>
      </c>
      <c r="E35" s="21" t="inlineStr">
        <is>
          <t>0.240 SOL</t>
        </is>
      </c>
      <c r="F35" s="21" t="inlineStr">
        <is>
          <t>0.000 SOL</t>
        </is>
      </c>
      <c r="G35" s="18" t="inlineStr">
        <is>
          <t>-0.245 SOL</t>
        </is>
      </c>
      <c r="H35" s="18" t="inlineStr">
        <is>
          <t>0.00%</t>
        </is>
      </c>
      <c r="I35" s="21" t="inlineStr">
        <is>
          <t>78,010</t>
        </is>
      </c>
      <c r="J35" s="21" t="n">
        <v>7</v>
      </c>
      <c r="K35" s="21" t="n">
        <v>0</v>
      </c>
      <c r="L35" s="21" t="inlineStr">
        <is>
          <t>30.10.2024 07:42:47</t>
        </is>
      </c>
      <c r="M35" s="21" t="inlineStr">
        <is>
          <t>1 hours</t>
        </is>
      </c>
      <c r="N35" s="21" t="inlineStr">
        <is>
          <t xml:space="preserve">        364K           559K            53K</t>
        </is>
      </c>
      <c r="O35" s="21" t="inlineStr">
        <is>
          <t>4sAPg3M6bEHrNinqfvfdSTAzCvmaG5Ao799bAt3Bpump</t>
        </is>
      </c>
      <c r="P35" s="21">
        <f>HYPERLINK("https://dexscreener.com/solana/4sAPg3M6bEHrNinqfvfdSTAzCvmaG5Ao799bAt3Bpump", "View")</f>
        <v/>
      </c>
    </row>
    <row r="36">
      <c r="A36" s="16" t="inlineStr">
        <is>
          <t>ALPHACIRCL</t>
        </is>
      </c>
      <c r="B36" s="17" t="n">
        <v>237023</v>
      </c>
      <c r="C36" s="17" t="n">
        <v>0</v>
      </c>
      <c r="D36" s="17" t="inlineStr">
        <is>
          <t>0.000710</t>
        </is>
      </c>
      <c r="E36" s="17" t="inlineStr">
        <is>
          <t>0.050 SOL</t>
        </is>
      </c>
      <c r="F36" s="17" t="inlineStr">
        <is>
          <t>0.000 SOL</t>
        </is>
      </c>
      <c r="G36" s="18" t="inlineStr">
        <is>
          <t>-0.050 SOL</t>
        </is>
      </c>
      <c r="H36" s="18" t="inlineStr">
        <is>
          <t>0.00%</t>
        </is>
      </c>
      <c r="I36" s="17" t="inlineStr">
        <is>
          <t>237,023</t>
        </is>
      </c>
      <c r="J36" s="17" t="n">
        <v>1</v>
      </c>
      <c r="K36" s="17" t="n">
        <v>0</v>
      </c>
      <c r="L36" s="17" t="inlineStr">
        <is>
          <t>30.10.2024 07:08:32</t>
        </is>
      </c>
      <c r="M36" s="19" t="inlineStr">
        <is>
          <t>0 sec</t>
        </is>
      </c>
      <c r="N36" s="17" t="inlineStr">
        <is>
          <t xml:space="preserve">         35K            35K            58K</t>
        </is>
      </c>
      <c r="O36" s="17" t="inlineStr">
        <is>
          <t>32GkYeFscJRLH1ZYxzg52kQxcTQxRK49cn87vGtHpump</t>
        </is>
      </c>
      <c r="P36" s="17">
        <f>HYPERLINK("https://photon-sol.tinyastro.io/en/lp/32GkYeFscJRLH1ZYxzg52kQxcTQxRK49cn87vGtHpump?handle=676050794bc1b1657a56b", "View")</f>
        <v/>
      </c>
    </row>
    <row r="37">
      <c r="A37" s="20" t="inlineStr">
        <is>
          <t>Orina</t>
        </is>
      </c>
      <c r="B37" s="21" t="n">
        <v>130515</v>
      </c>
      <c r="C37" s="21" t="n">
        <v>0</v>
      </c>
      <c r="D37" s="21" t="inlineStr">
        <is>
          <t>0.000710</t>
        </is>
      </c>
      <c r="E37" s="21" t="inlineStr">
        <is>
          <t>0.150 SOL</t>
        </is>
      </c>
      <c r="F37" s="21" t="inlineStr">
        <is>
          <t>0.000 SOL</t>
        </is>
      </c>
      <c r="G37" s="18" t="inlineStr">
        <is>
          <t>-0.151 SOL</t>
        </is>
      </c>
      <c r="H37" s="18" t="inlineStr">
        <is>
          <t>0.00%</t>
        </is>
      </c>
      <c r="I37" s="21" t="inlineStr">
        <is>
          <t>130,515</t>
        </is>
      </c>
      <c r="J37" s="21" t="n">
        <v>1</v>
      </c>
      <c r="K37" s="21" t="n">
        <v>0</v>
      </c>
      <c r="L37" s="21" t="inlineStr">
        <is>
          <t>30.10.2024 03:58:03</t>
        </is>
      </c>
      <c r="M37" s="19" t="inlineStr">
        <is>
          <t>0 sec</t>
        </is>
      </c>
      <c r="N37" s="21" t="inlineStr">
        <is>
          <t xml:space="preserve">        202K           202K             5K</t>
        </is>
      </c>
      <c r="O37" s="21" t="inlineStr">
        <is>
          <t>HnYqXefRFM2U5aUpSWEdxRG6DsPFM6gGZUUWFXgSpump</t>
        </is>
      </c>
      <c r="P37" s="21">
        <f>HYPERLINK("https://dexscreener.com/solana/HnYqXefRFM2U5aUpSWEdxRG6DsPFM6gGZUUWFXgSpump", "View")</f>
        <v/>
      </c>
    </row>
    <row r="38">
      <c r="A38" s="16" t="inlineStr">
        <is>
          <t>DOGEMASCOT</t>
        </is>
      </c>
      <c r="B38" s="17" t="n">
        <v>95933</v>
      </c>
      <c r="C38" s="17" t="n">
        <v>0</v>
      </c>
      <c r="D38" s="17" t="inlineStr">
        <is>
          <t>0.000710</t>
        </is>
      </c>
      <c r="E38" s="17" t="inlineStr">
        <is>
          <t>0.150 SOL</t>
        </is>
      </c>
      <c r="F38" s="17" t="inlineStr">
        <is>
          <t>0.000 SOL</t>
        </is>
      </c>
      <c r="G38" s="18" t="inlineStr">
        <is>
          <t>-0.151 SOL</t>
        </is>
      </c>
      <c r="H38" s="18" t="inlineStr">
        <is>
          <t>0.00%</t>
        </is>
      </c>
      <c r="I38" s="17" t="inlineStr">
        <is>
          <t>95,933</t>
        </is>
      </c>
      <c r="J38" s="17" t="n">
        <v>1</v>
      </c>
      <c r="K38" s="17" t="n">
        <v>0</v>
      </c>
      <c r="L38" s="17" t="inlineStr">
        <is>
          <t>30.10.2024 03:27:33</t>
        </is>
      </c>
      <c r="M38" s="19" t="inlineStr">
        <is>
          <t>0 sec</t>
        </is>
      </c>
      <c r="N38" s="17" t="inlineStr">
        <is>
          <t xml:space="preserve">        274K           274K            13K</t>
        </is>
      </c>
      <c r="O38" s="17" t="inlineStr">
        <is>
          <t>5ooyX53Dpoo6RMenMVS7TGb6JdgAqJjxJV1TFhpxpump</t>
        </is>
      </c>
      <c r="P38" s="17">
        <f>HYPERLINK("https://dexscreener.com/solana/5ooyX53Dpoo6RMenMVS7TGb6JdgAqJjxJV1TFhpxpump", "View")</f>
        <v/>
      </c>
    </row>
    <row r="39">
      <c r="A39" s="20" t="inlineStr">
        <is>
          <t>mofa</t>
        </is>
      </c>
      <c r="B39" s="21" t="n">
        <v>243312</v>
      </c>
      <c r="C39" s="21" t="n">
        <v>0</v>
      </c>
      <c r="D39" s="21" t="inlineStr">
        <is>
          <t>0.000710</t>
        </is>
      </c>
      <c r="E39" s="21" t="inlineStr">
        <is>
          <t>0.075 SOL</t>
        </is>
      </c>
      <c r="F39" s="21" t="inlineStr">
        <is>
          <t>0.000 SOL</t>
        </is>
      </c>
      <c r="G39" s="18" t="inlineStr">
        <is>
          <t>-0.076 SOL</t>
        </is>
      </c>
      <c r="H39" s="18" t="inlineStr">
        <is>
          <t>0.00%</t>
        </is>
      </c>
      <c r="I39" s="21" t="inlineStr">
        <is>
          <t>243,312</t>
        </is>
      </c>
      <c r="J39" s="21" t="n">
        <v>1</v>
      </c>
      <c r="K39" s="21" t="n">
        <v>0</v>
      </c>
      <c r="L39" s="21" t="inlineStr">
        <is>
          <t>30.10.2024 03:11:00</t>
        </is>
      </c>
      <c r="M39" s="19" t="inlineStr">
        <is>
          <t>0 sec</t>
        </is>
      </c>
      <c r="N39" s="21" t="inlineStr">
        <is>
          <t xml:space="preserve">         54K            54K            18K</t>
        </is>
      </c>
      <c r="O39" s="21" t="inlineStr">
        <is>
          <t>2aVCSF8R74m5Nh18nXUSx1YDNS3Zxj2kQCa3mrdgpump</t>
        </is>
      </c>
      <c r="P39" s="21">
        <f>HYPERLINK("https://dexscreener.com/solana/2aVCSF8R74m5Nh18nXUSx1YDNS3Zxj2kQCa3mrdgpump", "View")</f>
        <v/>
      </c>
    </row>
    <row r="40">
      <c r="A40" s="16" t="inlineStr">
        <is>
          <t>MK</t>
        </is>
      </c>
      <c r="B40" s="17" t="n">
        <v>79934</v>
      </c>
      <c r="C40" s="17" t="n">
        <v>0</v>
      </c>
      <c r="D40" s="17" t="inlineStr">
        <is>
          <t>0.000710</t>
        </is>
      </c>
      <c r="E40" s="17" t="inlineStr">
        <is>
          <t>0.150 SOL</t>
        </is>
      </c>
      <c r="F40" s="17" t="inlineStr">
        <is>
          <t>0.000 SOL</t>
        </is>
      </c>
      <c r="G40" s="18" t="inlineStr">
        <is>
          <t>-0.151 SOL</t>
        </is>
      </c>
      <c r="H40" s="18" t="inlineStr">
        <is>
          <t>0.00%</t>
        </is>
      </c>
      <c r="I40" s="17" t="inlineStr">
        <is>
          <t>79,934</t>
        </is>
      </c>
      <c r="J40" s="17" t="n">
        <v>1</v>
      </c>
      <c r="K40" s="17" t="n">
        <v>0</v>
      </c>
      <c r="L40" s="17" t="inlineStr">
        <is>
          <t>30.10.2024 00:06:25</t>
        </is>
      </c>
      <c r="M40" s="19" t="inlineStr">
        <is>
          <t>0 sec</t>
        </is>
      </c>
      <c r="N40" s="17" t="inlineStr">
        <is>
          <t xml:space="preserve">        330K           330K             8K</t>
        </is>
      </c>
      <c r="O40" s="17" t="inlineStr">
        <is>
          <t>36FN7NGmULKqSy4PoSRUBFQ7XBVxNMmWLhXohKmypump</t>
        </is>
      </c>
      <c r="P40" s="17">
        <f>HYPERLINK("https://dexscreener.com/solana/36FN7NGmULKqSy4PoSRUBFQ7XBVxNMmWLhXohKmypump", "View")</f>
        <v/>
      </c>
    </row>
    <row r="41">
      <c r="A41" s="20" t="inlineStr">
        <is>
          <t>Delrey</t>
        </is>
      </c>
      <c r="B41" s="21" t="n">
        <v>370352</v>
      </c>
      <c r="C41" s="21" t="n">
        <v>0</v>
      </c>
      <c r="D41" s="21" t="inlineStr">
        <is>
          <t>0.000710</t>
        </is>
      </c>
      <c r="E41" s="21" t="inlineStr">
        <is>
          <t>0.038 SOL</t>
        </is>
      </c>
      <c r="F41" s="21" t="inlineStr">
        <is>
          <t>0.000 SOL</t>
        </is>
      </c>
      <c r="G41" s="18" t="inlineStr">
        <is>
          <t>-0.039 SOL</t>
        </is>
      </c>
      <c r="H41" s="18" t="inlineStr">
        <is>
          <t>0.00%</t>
        </is>
      </c>
      <c r="I41" s="21" t="inlineStr">
        <is>
          <t>370,352</t>
        </is>
      </c>
      <c r="J41" s="21" t="n">
        <v>1</v>
      </c>
      <c r="K41" s="21" t="n">
        <v>0</v>
      </c>
      <c r="L41" s="21" t="inlineStr">
        <is>
          <t>29.10.2024 21:00:56</t>
        </is>
      </c>
      <c r="M41" s="19" t="inlineStr">
        <is>
          <t>0 sec</t>
        </is>
      </c>
      <c r="N41" s="21" t="inlineStr">
        <is>
          <t xml:space="preserve">         18K            18K             5K</t>
        </is>
      </c>
      <c r="O41" s="21" t="inlineStr">
        <is>
          <t>7CikmYdm5NDb4edDuJh2cpjiihBbbNiALobekcpUpump</t>
        </is>
      </c>
      <c r="P41" s="21">
        <f>HYPERLINK("https://photon-sol.tinyastro.io/en/lp/7CikmYdm5NDb4edDuJh2cpjiihBbbNiALobekcpUpump?handle=676050794bc1b1657a56b", "View")</f>
        <v/>
      </c>
    </row>
    <row r="42">
      <c r="A42" s="16" t="inlineStr">
        <is>
          <t>฿itcoin</t>
        </is>
      </c>
      <c r="B42" s="17" t="n">
        <v>179680</v>
      </c>
      <c r="C42" s="17" t="n">
        <v>179680</v>
      </c>
      <c r="D42" s="17" t="inlineStr">
        <is>
          <t>0.001410</t>
        </is>
      </c>
      <c r="E42" s="17" t="inlineStr">
        <is>
          <t>0.034 SOL</t>
        </is>
      </c>
      <c r="F42" s="17" t="inlineStr">
        <is>
          <t>0.009 SOL</t>
        </is>
      </c>
      <c r="G42" s="23" t="inlineStr">
        <is>
          <t>-0.026 SOL</t>
        </is>
      </c>
      <c r="H42" s="23" t="inlineStr">
        <is>
          <t>-74.22%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29.10.2024 19:58:12</t>
        </is>
      </c>
      <c r="M42" s="17" t="inlineStr">
        <is>
          <t>3 min</t>
        </is>
      </c>
      <c r="N42" s="17" t="inlineStr">
        <is>
          <t xml:space="preserve">         33K             9K             5K</t>
        </is>
      </c>
      <c r="O42" s="17" t="inlineStr">
        <is>
          <t>HpDFmLyMnxafwZZEPiJ65JZYvPxgCN5txusaAEvnpump</t>
        </is>
      </c>
      <c r="P42" s="17">
        <f>HYPERLINK("https://photon-sol.tinyastro.io/en/lp/HpDFmLyMnxafwZZEPiJ65JZYvPxgCN5txusaAEvnpump?handle=676050794bc1b1657a56b", "View")</f>
        <v/>
      </c>
    </row>
    <row r="43">
      <c r="A43" s="20" t="inlineStr">
        <is>
          <t>Bitcoin</t>
        </is>
      </c>
      <c r="B43" s="21" t="n">
        <v>292038</v>
      </c>
      <c r="C43" s="21" t="n">
        <v>0</v>
      </c>
      <c r="D43" s="21" t="inlineStr">
        <is>
          <t>0.000710</t>
        </is>
      </c>
      <c r="E43" s="21" t="inlineStr">
        <is>
          <t>0.019 SOL</t>
        </is>
      </c>
      <c r="F43" s="21" t="inlineStr">
        <is>
          <t>0.000 SOL</t>
        </is>
      </c>
      <c r="G43" s="18" t="inlineStr">
        <is>
          <t>-0.020 SOL</t>
        </is>
      </c>
      <c r="H43" s="18" t="inlineStr">
        <is>
          <t>0.00%</t>
        </is>
      </c>
      <c r="I43" s="21" t="inlineStr">
        <is>
          <t>292,038</t>
        </is>
      </c>
      <c r="J43" s="21" t="n">
        <v>1</v>
      </c>
      <c r="K43" s="21" t="n">
        <v>0</v>
      </c>
      <c r="L43" s="21" t="inlineStr">
        <is>
          <t>29.10.2024 19:58:01</t>
        </is>
      </c>
      <c r="M43" s="19" t="inlineStr">
        <is>
          <t>0 sec</t>
        </is>
      </c>
      <c r="N43" s="21" t="inlineStr">
        <is>
          <t xml:space="preserve">         12K            12K             5K</t>
        </is>
      </c>
      <c r="O43" s="21" t="inlineStr">
        <is>
          <t>7SVT3X6CdbDS7VLZLndBGcoSJcss9gNhSnfHFfzapump</t>
        </is>
      </c>
      <c r="P43" s="21">
        <f>HYPERLINK("https://photon-sol.tinyastro.io/en/lp/7SVT3X6CdbDS7VLZLndBGcoSJcss9gNhSnfHFfzapump?handle=676050794bc1b1657a56b", "View")</f>
        <v/>
      </c>
    </row>
    <row r="44">
      <c r="A44" s="16" t="inlineStr">
        <is>
          <t>KANO</t>
        </is>
      </c>
      <c r="B44" s="17" t="n">
        <v>921990</v>
      </c>
      <c r="C44" s="17" t="n">
        <v>460995</v>
      </c>
      <c r="D44" s="17" t="inlineStr">
        <is>
          <t>0.001410</t>
        </is>
      </c>
      <c r="E44" s="17" t="inlineStr">
        <is>
          <t>0.141 SOL</t>
        </is>
      </c>
      <c r="F44" s="17" t="inlineStr">
        <is>
          <t>0.013 SOL</t>
        </is>
      </c>
      <c r="G44" s="23" t="inlineStr">
        <is>
          <t>-0.129 SOL</t>
        </is>
      </c>
      <c r="H44" s="23" t="inlineStr">
        <is>
          <t>-90.69%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29.10.2024 17:54:09</t>
        </is>
      </c>
      <c r="M44" s="17" t="inlineStr">
        <is>
          <t>20 min</t>
        </is>
      </c>
      <c r="N44" s="17" t="inlineStr">
        <is>
          <t xml:space="preserve">         26K            26K             5K</t>
        </is>
      </c>
      <c r="O44" s="17" t="inlineStr">
        <is>
          <t>7LoZyi93eNYz7WYWs3N7gxzPf3mLRj68wy82Tfu2pump</t>
        </is>
      </c>
      <c r="P44" s="17">
        <f>HYPERLINK("https://photon-sol.tinyastro.io/en/lp/7LoZyi93eNYz7WYWs3N7gxzPf3mLRj68wy82Tfu2pump?handle=676050794bc1b1657a56b", "View")</f>
        <v/>
      </c>
    </row>
    <row r="45">
      <c r="A45" s="20" t="inlineStr">
        <is>
          <t>Qcats</t>
        </is>
      </c>
      <c r="B45" s="21" t="n">
        <v>1030731</v>
      </c>
      <c r="C45" s="21" t="n">
        <v>515365</v>
      </c>
      <c r="D45" s="21" t="inlineStr">
        <is>
          <t>0.001410</t>
        </is>
      </c>
      <c r="E45" s="21" t="inlineStr">
        <is>
          <t>0.133 SOL</t>
        </is>
      </c>
      <c r="F45" s="21" t="inlineStr">
        <is>
          <t>0.024 SOL</t>
        </is>
      </c>
      <c r="G45" s="23" t="inlineStr">
        <is>
          <t>-0.111 SOL</t>
        </is>
      </c>
      <c r="H45" s="23" t="inlineStr">
        <is>
          <t>-82.43%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29.10.2024 17:53:56</t>
        </is>
      </c>
      <c r="M45" s="21" t="inlineStr">
        <is>
          <t>7 min</t>
        </is>
      </c>
      <c r="N45" s="21" t="inlineStr">
        <is>
          <t xml:space="preserve">         23K            23K             5K</t>
        </is>
      </c>
      <c r="O45" s="21" t="inlineStr">
        <is>
          <t>95kXx8ZyrRQfNHaHfDD6KyfR7gisCMSnmVrZU2QbPSaq</t>
        </is>
      </c>
      <c r="P45" s="21">
        <f>HYPERLINK("https://photon-sol.tinyastro.io/en/lp/95kXx8ZyrRQfNHaHfDD6KyfR7gisCMSnmVrZU2QbPSaq?handle=676050794bc1b1657a56b", "View")</f>
        <v/>
      </c>
    </row>
    <row r="46">
      <c r="A46" s="16" t="inlineStr">
        <is>
          <t>holy shit</t>
        </is>
      </c>
      <c r="B46" s="17" t="n">
        <v>41150</v>
      </c>
      <c r="C46" s="17" t="n">
        <v>0</v>
      </c>
      <c r="D46" s="17" t="inlineStr">
        <is>
          <t>0.000710</t>
        </is>
      </c>
      <c r="E46" s="17" t="inlineStr">
        <is>
          <t>0.100 SOL</t>
        </is>
      </c>
      <c r="F46" s="17" t="inlineStr">
        <is>
          <t>0.000 SOL</t>
        </is>
      </c>
      <c r="G46" s="18" t="inlineStr">
        <is>
          <t>-0.101 SOL</t>
        </is>
      </c>
      <c r="H46" s="18" t="inlineStr">
        <is>
          <t>0.00%</t>
        </is>
      </c>
      <c r="I46" s="17" t="inlineStr">
        <is>
          <t>41,150</t>
        </is>
      </c>
      <c r="J46" s="17" t="n">
        <v>1</v>
      </c>
      <c r="K46" s="17" t="n">
        <v>0</v>
      </c>
      <c r="L46" s="17" t="inlineStr">
        <is>
          <t>29.10.2024 17:09:59</t>
        </is>
      </c>
      <c r="M46" s="19" t="inlineStr">
        <is>
          <t>0 sec</t>
        </is>
      </c>
      <c r="N46" s="17" t="inlineStr">
        <is>
          <t xml:space="preserve">        426K           426K             8K</t>
        </is>
      </c>
      <c r="O46" s="17" t="inlineStr">
        <is>
          <t>6iB7vcB6bcB5BGVf2gFXTvH2DfUeCiaT4FE9VYBQpump</t>
        </is>
      </c>
      <c r="P46" s="17">
        <f>HYPERLINK("https://dexscreener.com/solana/6iB7vcB6bcB5BGVf2gFXTvH2DfUeCiaT4FE9VYBQpump", "View")</f>
        <v/>
      </c>
    </row>
    <row r="47">
      <c r="A47" s="20" t="inlineStr">
        <is>
          <t>HC</t>
        </is>
      </c>
      <c r="B47" s="21" t="n">
        <v>36979</v>
      </c>
      <c r="C47" s="21" t="n">
        <v>0</v>
      </c>
      <c r="D47" s="21" t="inlineStr">
        <is>
          <t>0.000710</t>
        </is>
      </c>
      <c r="E47" s="21" t="inlineStr">
        <is>
          <t>0.100 SOL</t>
        </is>
      </c>
      <c r="F47" s="21" t="inlineStr">
        <is>
          <t>0.000 SOL</t>
        </is>
      </c>
      <c r="G47" s="18" t="inlineStr">
        <is>
          <t>-0.101 SOL</t>
        </is>
      </c>
      <c r="H47" s="18" t="inlineStr">
        <is>
          <t>0.00%</t>
        </is>
      </c>
      <c r="I47" s="21" t="inlineStr">
        <is>
          <t>36,979</t>
        </is>
      </c>
      <c r="J47" s="21" t="n">
        <v>1</v>
      </c>
      <c r="K47" s="21" t="n">
        <v>0</v>
      </c>
      <c r="L47" s="21" t="inlineStr">
        <is>
          <t>29.10.2024 16:57:17</t>
        </is>
      </c>
      <c r="M47" s="19" t="inlineStr">
        <is>
          <t>0 sec</t>
        </is>
      </c>
      <c r="N47" s="21" t="inlineStr">
        <is>
          <t xml:space="preserve">        474K           474K             8K</t>
        </is>
      </c>
      <c r="O47" s="21" t="inlineStr">
        <is>
          <t>6YHvVQ5B7tBbwmG4tU4ESbRKQKeiVBoE3q6u6sCWpump</t>
        </is>
      </c>
      <c r="P47" s="21">
        <f>HYPERLINK("https://dexscreener.com/solana/6YHvVQ5B7tBbwmG4tU4ESbRKQKeiVBoE3q6u6sCWpump", "View")</f>
        <v/>
      </c>
    </row>
    <row r="48">
      <c r="A48" s="16" t="inlineStr">
        <is>
          <t>Hanno</t>
        </is>
      </c>
      <c r="B48" s="17" t="n">
        <v>535748</v>
      </c>
      <c r="C48" s="17" t="n">
        <v>0</v>
      </c>
      <c r="D48" s="17" t="inlineStr">
        <is>
          <t>0.000710</t>
        </is>
      </c>
      <c r="E48" s="17" t="inlineStr">
        <is>
          <t>0.035 SOL</t>
        </is>
      </c>
      <c r="F48" s="17" t="inlineStr">
        <is>
          <t>0.000 SOL</t>
        </is>
      </c>
      <c r="G48" s="18" t="inlineStr">
        <is>
          <t>-0.035 SOL</t>
        </is>
      </c>
      <c r="H48" s="18" t="inlineStr">
        <is>
          <t>0.00%</t>
        </is>
      </c>
      <c r="I48" s="17" t="inlineStr">
        <is>
          <t>535,748</t>
        </is>
      </c>
      <c r="J48" s="17" t="n">
        <v>1</v>
      </c>
      <c r="K48" s="17" t="n">
        <v>0</v>
      </c>
      <c r="L48" s="17" t="inlineStr">
        <is>
          <t>29.10.2024 16:45:39</t>
        </is>
      </c>
      <c r="M48" s="19" t="inlineStr">
        <is>
          <t>0 sec</t>
        </is>
      </c>
      <c r="N48" s="17" t="inlineStr">
        <is>
          <t xml:space="preserve">         11K            11K             4K</t>
        </is>
      </c>
      <c r="O48" s="17" t="inlineStr">
        <is>
          <t>HzPd7yoaFNYZKCXepstCr7u8QuMhXF1aBS7NjxNppump</t>
        </is>
      </c>
      <c r="P48" s="17">
        <f>HYPERLINK("https://dexscreener.com/solana/HzPd7yoaFNYZKCXepstCr7u8QuMhXF1aBS7NjxNppump", "View")</f>
        <v/>
      </c>
    </row>
    <row r="49">
      <c r="A49" s="20" t="inlineStr">
        <is>
          <t>ddog</t>
        </is>
      </c>
      <c r="B49" s="21" t="n">
        <v>39188</v>
      </c>
      <c r="C49" s="21" t="n">
        <v>0</v>
      </c>
      <c r="D49" s="21" t="inlineStr">
        <is>
          <t>0.000710</t>
        </is>
      </c>
      <c r="E49" s="21" t="inlineStr">
        <is>
          <t>0.100 SOL</t>
        </is>
      </c>
      <c r="F49" s="21" t="inlineStr">
        <is>
          <t>0.000 SOL</t>
        </is>
      </c>
      <c r="G49" s="18" t="inlineStr">
        <is>
          <t>-0.101 SOL</t>
        </is>
      </c>
      <c r="H49" s="18" t="inlineStr">
        <is>
          <t>0.00%</t>
        </is>
      </c>
      <c r="I49" s="21" t="inlineStr">
        <is>
          <t>39,188</t>
        </is>
      </c>
      <c r="J49" s="21" t="n">
        <v>1</v>
      </c>
      <c r="K49" s="21" t="n">
        <v>0</v>
      </c>
      <c r="L49" s="21" t="inlineStr">
        <is>
          <t>29.10.2024 16:39:57</t>
        </is>
      </c>
      <c r="M49" s="19" t="inlineStr">
        <is>
          <t>0 sec</t>
        </is>
      </c>
      <c r="N49" s="21" t="inlineStr">
        <is>
          <t xml:space="preserve">        448K           448K             8K</t>
        </is>
      </c>
      <c r="O49" s="21" t="inlineStr">
        <is>
          <t>EJdD2Tx4MWzbhjMRAHpTPt7xHTr9wKyDqQtnXH2wpump</t>
        </is>
      </c>
      <c r="P49" s="21">
        <f>HYPERLINK("https://dexscreener.com/solana/EJdD2Tx4MWzbhjMRAHpTPt7xHTr9wKyDqQtnXH2wpump", "View")</f>
        <v/>
      </c>
    </row>
    <row r="50">
      <c r="A50" s="16" t="inlineStr">
        <is>
          <t>FRIDGE</t>
        </is>
      </c>
      <c r="B50" s="17" t="n">
        <v>956718</v>
      </c>
      <c r="C50" s="17" t="n">
        <v>934760</v>
      </c>
      <c r="D50" s="17" t="inlineStr">
        <is>
          <t>0.008570</t>
        </is>
      </c>
      <c r="E50" s="17" t="inlineStr">
        <is>
          <t>0.133 SOL</t>
        </is>
      </c>
      <c r="F50" s="17" t="inlineStr">
        <is>
          <t>1.928 SOL</t>
        </is>
      </c>
      <c r="G50" s="24" t="inlineStr">
        <is>
          <t>1.787 SOL</t>
        </is>
      </c>
      <c r="H50" s="24" t="inlineStr">
        <is>
          <t>1263.76%</t>
        </is>
      </c>
      <c r="I50" s="17" t="inlineStr">
        <is>
          <t>N/A</t>
        </is>
      </c>
      <c r="J50" s="17" t="n">
        <v>2</v>
      </c>
      <c r="K50" s="17" t="n">
        <v>11</v>
      </c>
      <c r="L50" s="17" t="inlineStr">
        <is>
          <t>29.10.2024 16:16:50</t>
        </is>
      </c>
      <c r="M50" s="17" t="inlineStr">
        <is>
          <t>11 hours</t>
        </is>
      </c>
      <c r="N50" s="17" t="inlineStr">
        <is>
          <t xml:space="preserve">          4M            19K             2M</t>
        </is>
      </c>
      <c r="O50" s="17" t="inlineStr">
        <is>
          <t>EswvJvhPy8A8rWPdLJ5ATYW6cY5x483oS4QWWroZpump</t>
        </is>
      </c>
      <c r="P50" s="17">
        <f>HYPERLINK("https://photon-sol.tinyastro.io/en/lp/EswvJvhPy8A8rWPdLJ5ATYW6cY5x483oS4QWWroZpump?handle=676050794bc1b1657a56b", "View")</f>
        <v/>
      </c>
    </row>
    <row r="51">
      <c r="A51" s="20" t="inlineStr">
        <is>
          <t>ARIES</t>
        </is>
      </c>
      <c r="B51" s="21" t="n">
        <v>578928</v>
      </c>
      <c r="C51" s="21" t="n">
        <v>0</v>
      </c>
      <c r="D51" s="21" t="inlineStr">
        <is>
          <t>0.000710</t>
        </is>
      </c>
      <c r="E51" s="21" t="inlineStr">
        <is>
          <t>0.030 SOL</t>
        </is>
      </c>
      <c r="F51" s="21" t="inlineStr">
        <is>
          <t>0.000 SOL</t>
        </is>
      </c>
      <c r="G51" s="18" t="inlineStr">
        <is>
          <t>-0.030 SOL</t>
        </is>
      </c>
      <c r="H51" s="18" t="inlineStr">
        <is>
          <t>0.00%</t>
        </is>
      </c>
      <c r="I51" s="21" t="inlineStr">
        <is>
          <t>578,928</t>
        </is>
      </c>
      <c r="J51" s="21" t="n">
        <v>1</v>
      </c>
      <c r="K51" s="21" t="n">
        <v>0</v>
      </c>
      <c r="L51" s="21" t="inlineStr">
        <is>
          <t>29.10.2024 16:08:17</t>
        </is>
      </c>
      <c r="M51" s="19" t="inlineStr">
        <is>
          <t>0 sec</t>
        </is>
      </c>
      <c r="N51" s="21" t="inlineStr">
        <is>
          <t xml:space="preserve">          9K             9K             4K</t>
        </is>
      </c>
      <c r="O51" s="21" t="inlineStr">
        <is>
          <t>DyjxrHGPiZYeanHJpSQS8gENSPfZgaqh1MdR4AoFpump</t>
        </is>
      </c>
      <c r="P51" s="21">
        <f>HYPERLINK("https://dexscreener.com/solana/DyjxrHGPiZYeanHJpSQS8gENSPfZgaqh1MdR4AoFpump", "View")</f>
        <v/>
      </c>
    </row>
    <row r="52">
      <c r="A52" s="16" t="inlineStr">
        <is>
          <t>Frida</t>
        </is>
      </c>
      <c r="B52" s="17" t="n">
        <v>789664</v>
      </c>
      <c r="C52" s="17" t="n">
        <v>0</v>
      </c>
      <c r="D52" s="17" t="inlineStr">
        <is>
          <t>0.000710</t>
        </is>
      </c>
      <c r="E52" s="17" t="inlineStr">
        <is>
          <t>0.099 SOL</t>
        </is>
      </c>
      <c r="F52" s="17" t="inlineStr">
        <is>
          <t>0.000 SOL</t>
        </is>
      </c>
      <c r="G52" s="18" t="inlineStr">
        <is>
          <t>-0.100 SOL</t>
        </is>
      </c>
      <c r="H52" s="18" t="inlineStr">
        <is>
          <t>0.00%</t>
        </is>
      </c>
      <c r="I52" s="17" t="inlineStr">
        <is>
          <t>789,664</t>
        </is>
      </c>
      <c r="J52" s="17" t="n">
        <v>1</v>
      </c>
      <c r="K52" s="17" t="n">
        <v>0</v>
      </c>
      <c r="L52" s="17" t="inlineStr">
        <is>
          <t>29.10.2024 16:03:34</t>
        </is>
      </c>
      <c r="M52" s="19" t="inlineStr">
        <is>
          <t>0 sec</t>
        </is>
      </c>
      <c r="N52" s="17" t="inlineStr">
        <is>
          <t xml:space="preserve">         23K            23K             4K</t>
        </is>
      </c>
      <c r="O52" s="17" t="inlineStr">
        <is>
          <t>F8guQLPX3QfWwMTZ8SveQ7TAEYccyCDsayUh5ZoGpump</t>
        </is>
      </c>
      <c r="P52" s="17">
        <f>HYPERLINK("https://dexscreener.com/solana/F8guQLPX3QfWwMTZ8SveQ7TAEYccyCDsayUh5ZoGpump", "View")</f>
        <v/>
      </c>
    </row>
    <row r="53">
      <c r="A53" s="20" t="inlineStr">
        <is>
          <t>BILL</t>
        </is>
      </c>
      <c r="B53" s="21" t="n">
        <v>74417</v>
      </c>
      <c r="C53" s="21" t="n">
        <v>0</v>
      </c>
      <c r="D53" s="21" t="inlineStr">
        <is>
          <t>0.000710</t>
        </is>
      </c>
      <c r="E53" s="21" t="inlineStr">
        <is>
          <t>0.150 SOL</t>
        </is>
      </c>
      <c r="F53" s="21" t="inlineStr">
        <is>
          <t>0.000 SOL</t>
        </is>
      </c>
      <c r="G53" s="18" t="inlineStr">
        <is>
          <t>-0.151 SOL</t>
        </is>
      </c>
      <c r="H53" s="18" t="inlineStr">
        <is>
          <t>0.00%</t>
        </is>
      </c>
      <c r="I53" s="21" t="inlineStr">
        <is>
          <t>74,417</t>
        </is>
      </c>
      <c r="J53" s="21" t="n">
        <v>1</v>
      </c>
      <c r="K53" s="21" t="n">
        <v>0</v>
      </c>
      <c r="L53" s="21" t="inlineStr">
        <is>
          <t>29.10.2024 15:47:14</t>
        </is>
      </c>
      <c r="M53" s="19" t="inlineStr">
        <is>
          <t>0 sec</t>
        </is>
      </c>
      <c r="N53" s="21" t="inlineStr">
        <is>
          <t xml:space="preserve">        355K           355K             7K</t>
        </is>
      </c>
      <c r="O53" s="21" t="inlineStr">
        <is>
          <t>Ca8AnVoDbwv31gddMHVyNLpHWYkGRRQFoXCcfe4gpump</t>
        </is>
      </c>
      <c r="P53" s="21">
        <f>HYPERLINK("https://dexscreener.com/solana/Ca8AnVoDbwv31gddMHVyNLpHWYkGRRQFoXCcfe4gpump", "View")</f>
        <v/>
      </c>
    </row>
    <row r="54">
      <c r="A54" s="16" t="inlineStr">
        <is>
          <t>GTA</t>
        </is>
      </c>
      <c r="B54" s="17" t="n">
        <v>80165</v>
      </c>
      <c r="C54" s="17" t="n">
        <v>32066</v>
      </c>
      <c r="D54" s="17" t="inlineStr">
        <is>
          <t>0.002120</t>
        </is>
      </c>
      <c r="E54" s="17" t="inlineStr">
        <is>
          <t>0.150 SOL</t>
        </is>
      </c>
      <c r="F54" s="17" t="inlineStr">
        <is>
          <t>0.156 SOL</t>
        </is>
      </c>
      <c r="G54" s="22" t="inlineStr">
        <is>
          <t>0.004 SOL</t>
        </is>
      </c>
      <c r="H54" s="22" t="inlineStr">
        <is>
          <t>2.66%</t>
        </is>
      </c>
      <c r="I54" s="17" t="inlineStr">
        <is>
          <t>N/A</t>
        </is>
      </c>
      <c r="J54" s="17" t="n">
        <v>1</v>
      </c>
      <c r="K54" s="17" t="n">
        <v>2</v>
      </c>
      <c r="L54" s="17" t="inlineStr">
        <is>
          <t>29.10.2024 15:05:29</t>
        </is>
      </c>
      <c r="M54" s="17" t="inlineStr">
        <is>
          <t>34 min</t>
        </is>
      </c>
      <c r="N54" s="17" t="inlineStr">
        <is>
          <t xml:space="preserve">        328K           697K           276K</t>
        </is>
      </c>
      <c r="O54" s="17" t="inlineStr">
        <is>
          <t>9HjsPutyGGPpxnRn4ibH1hTfPvitAY5EPvtAwGFkpump</t>
        </is>
      </c>
      <c r="P54" s="17">
        <f>HYPERLINK("https://dexscreener.com/solana/9HjsPutyGGPpxnRn4ibH1hTfPvitAY5EPvtAwGFkpump", "View")</f>
        <v/>
      </c>
    </row>
    <row r="55">
      <c r="A55" s="20" t="inlineStr">
        <is>
          <t>Rippus</t>
        </is>
      </c>
      <c r="B55" s="21" t="n">
        <v>46005</v>
      </c>
      <c r="C55" s="21" t="n">
        <v>0</v>
      </c>
      <c r="D55" s="21" t="inlineStr">
        <is>
          <t>0.000710</t>
        </is>
      </c>
      <c r="E55" s="21" t="inlineStr">
        <is>
          <t>0.100 SOL</t>
        </is>
      </c>
      <c r="F55" s="21" t="inlineStr">
        <is>
          <t>0.000 SOL</t>
        </is>
      </c>
      <c r="G55" s="18" t="inlineStr">
        <is>
          <t>-0.101 SOL</t>
        </is>
      </c>
      <c r="H55" s="18" t="inlineStr">
        <is>
          <t>0.00%</t>
        </is>
      </c>
      <c r="I55" s="21" t="inlineStr">
        <is>
          <t>46,005</t>
        </is>
      </c>
      <c r="J55" s="21" t="n">
        <v>1</v>
      </c>
      <c r="K55" s="21" t="n">
        <v>0</v>
      </c>
      <c r="L55" s="21" t="inlineStr">
        <is>
          <t>29.10.2024 15:01:57</t>
        </is>
      </c>
      <c r="M55" s="19" t="inlineStr">
        <is>
          <t>0 sec</t>
        </is>
      </c>
      <c r="N55" s="21" t="inlineStr">
        <is>
          <t xml:space="preserve">        381K           381K            13K</t>
        </is>
      </c>
      <c r="O55" s="21" t="inlineStr">
        <is>
          <t>9AFJZo69ATfqf6qms3kd2hyDg7wKt1MHhr6dg8Tspump</t>
        </is>
      </c>
      <c r="P55" s="21">
        <f>HYPERLINK("https://dexscreener.com/solana/9AFJZo69ATfqf6qms3kd2hyDg7wKt1MHhr6dg8Tspump", "View")</f>
        <v/>
      </c>
    </row>
    <row r="56">
      <c r="A56" s="16" t="inlineStr">
        <is>
          <t>gs</t>
        </is>
      </c>
      <c r="B56" s="17" t="n">
        <v>206194</v>
      </c>
      <c r="C56" s="17" t="n">
        <v>0</v>
      </c>
      <c r="D56" s="17" t="inlineStr">
        <is>
          <t>0.000710</t>
        </is>
      </c>
      <c r="E56" s="17" t="inlineStr">
        <is>
          <t>0.100 SOL</t>
        </is>
      </c>
      <c r="F56" s="17" t="inlineStr">
        <is>
          <t>0.000 SOL</t>
        </is>
      </c>
      <c r="G56" s="18" t="inlineStr">
        <is>
          <t>-0.101 SOL</t>
        </is>
      </c>
      <c r="H56" s="18" t="inlineStr">
        <is>
          <t>0.00%</t>
        </is>
      </c>
      <c r="I56" s="17" t="inlineStr">
        <is>
          <t>206,194</t>
        </is>
      </c>
      <c r="J56" s="17" t="n">
        <v>1</v>
      </c>
      <c r="K56" s="17" t="n">
        <v>0</v>
      </c>
      <c r="L56" s="17" t="inlineStr">
        <is>
          <t>29.10.2024 14:57:12</t>
        </is>
      </c>
      <c r="M56" s="19" t="inlineStr">
        <is>
          <t>0 sec</t>
        </is>
      </c>
      <c r="N56" s="17" t="inlineStr">
        <is>
          <t xml:space="preserve">         84K            84K             4K</t>
        </is>
      </c>
      <c r="O56" s="17" t="inlineStr">
        <is>
          <t>CBAZNZrZtiBB3GToBqCZ9sRiXZV1z81F6ncH9Exqpump</t>
        </is>
      </c>
      <c r="P56" s="17">
        <f>HYPERLINK("https://dexscreener.com/solana/CBAZNZrZtiBB3GToBqCZ9sRiXZV1z81F6ncH9Exqpump", "View")</f>
        <v/>
      </c>
    </row>
    <row r="57">
      <c r="A57" s="20" t="inlineStr">
        <is>
          <t>pixy</t>
        </is>
      </c>
      <c r="B57" s="21" t="n">
        <v>65957</v>
      </c>
      <c r="C57" s="21" t="n">
        <v>65957</v>
      </c>
      <c r="D57" s="21" t="inlineStr">
        <is>
          <t>0.001410</t>
        </is>
      </c>
      <c r="E57" s="21" t="inlineStr">
        <is>
          <t>0.100 SOL</t>
        </is>
      </c>
      <c r="F57" s="21" t="inlineStr">
        <is>
          <t>0.006 SOL</t>
        </is>
      </c>
      <c r="G57" s="23" t="inlineStr">
        <is>
          <t>-0.096 SOL</t>
        </is>
      </c>
      <c r="H57" s="23" t="inlineStr">
        <is>
          <t>-94.55%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29.10.2024 14:08:36</t>
        </is>
      </c>
      <c r="M57" s="21" t="inlineStr">
        <is>
          <t>1 hours</t>
        </is>
      </c>
      <c r="N57" s="21" t="inlineStr">
        <is>
          <t xml:space="preserve">        267K           267K             7K</t>
        </is>
      </c>
      <c r="O57" s="21" t="inlineStr">
        <is>
          <t>EegQmCFNWdhZsh75XUdW2TaM8S13LAGf6JzNgHpxpump</t>
        </is>
      </c>
      <c r="P57" s="21">
        <f>HYPERLINK("https://dexscreener.com/solana/EegQmCFNWdhZsh75XUdW2TaM8S13LAGf6JzNgHpxpump", "View")</f>
        <v/>
      </c>
    </row>
    <row r="58">
      <c r="A58" s="16" t="inlineStr">
        <is>
          <t>TOS</t>
        </is>
      </c>
      <c r="B58" s="17" t="n">
        <v>136276</v>
      </c>
      <c r="C58" s="17" t="n">
        <v>0</v>
      </c>
      <c r="D58" s="17" t="inlineStr">
        <is>
          <t>0.000710</t>
        </is>
      </c>
      <c r="E58" s="17" t="inlineStr">
        <is>
          <t>0.100 SOL</t>
        </is>
      </c>
      <c r="F58" s="17" t="inlineStr">
        <is>
          <t>0.000 SOL</t>
        </is>
      </c>
      <c r="G58" s="18" t="inlineStr">
        <is>
          <t>-0.101 SOL</t>
        </is>
      </c>
      <c r="H58" s="18" t="inlineStr">
        <is>
          <t>0.00%</t>
        </is>
      </c>
      <c r="I58" s="17" t="inlineStr">
        <is>
          <t>136,276</t>
        </is>
      </c>
      <c r="J58" s="17" t="n">
        <v>1</v>
      </c>
      <c r="K58" s="17" t="n">
        <v>0</v>
      </c>
      <c r="L58" s="17" t="inlineStr">
        <is>
          <t>29.10.2024 12:18:57</t>
        </is>
      </c>
      <c r="M58" s="19" t="inlineStr">
        <is>
          <t>0 sec</t>
        </is>
      </c>
      <c r="N58" s="17" t="inlineStr">
        <is>
          <t xml:space="preserve">        128K           128K            17K</t>
        </is>
      </c>
      <c r="O58" s="17" t="inlineStr">
        <is>
          <t>HcSHefAEHNtxbDASQEeMrjjF26FFjMFV7pqfifBXpump</t>
        </is>
      </c>
      <c r="P58" s="17">
        <f>HYPERLINK("https://dexscreener.com/solana/HcSHefAEHNtxbDASQEeMrjjF26FFjMFV7pqfifBXpump", "View")</f>
        <v/>
      </c>
    </row>
    <row r="59">
      <c r="A59" s="20" t="inlineStr">
        <is>
          <t>RURIK</t>
        </is>
      </c>
      <c r="B59" s="21" t="n">
        <v>89898</v>
      </c>
      <c r="C59" s="21" t="n">
        <v>0</v>
      </c>
      <c r="D59" s="21" t="inlineStr">
        <is>
          <t>0.000710</t>
        </is>
      </c>
      <c r="E59" s="21" t="inlineStr">
        <is>
          <t>0.100 SOL</t>
        </is>
      </c>
      <c r="F59" s="21" t="inlineStr">
        <is>
          <t>0.000 SOL</t>
        </is>
      </c>
      <c r="G59" s="18" t="inlineStr">
        <is>
          <t>-0.101 SOL</t>
        </is>
      </c>
      <c r="H59" s="18" t="inlineStr">
        <is>
          <t>0.00%</t>
        </is>
      </c>
      <c r="I59" s="21" t="inlineStr">
        <is>
          <t>89,898</t>
        </is>
      </c>
      <c r="J59" s="21" t="n">
        <v>1</v>
      </c>
      <c r="K59" s="21" t="n">
        <v>0</v>
      </c>
      <c r="L59" s="21" t="inlineStr">
        <is>
          <t>29.10.2024 09:51:36</t>
        </is>
      </c>
      <c r="M59" s="19" t="inlineStr">
        <is>
          <t>0 sec</t>
        </is>
      </c>
      <c r="N59" s="21" t="inlineStr">
        <is>
          <t xml:space="preserve">        195K           195K             6K</t>
        </is>
      </c>
      <c r="O59" s="21" t="inlineStr">
        <is>
          <t>HEYEkK75ZTh5CBbozwWbxJBsjUVygtzuetCxXUjmpump</t>
        </is>
      </c>
      <c r="P59" s="21">
        <f>HYPERLINK("https://dexscreener.com/solana/HEYEkK75ZTh5CBbozwWbxJBsjUVygtzuetCxXUjmpump", "View")</f>
        <v/>
      </c>
    </row>
    <row r="60">
      <c r="A60" s="16" t="inlineStr">
        <is>
          <t>ANDY</t>
        </is>
      </c>
      <c r="B60" s="17" t="n">
        <v>308867</v>
      </c>
      <c r="C60" s="17" t="n">
        <v>193042</v>
      </c>
      <c r="D60" s="17" t="inlineStr">
        <is>
          <t>0.002120</t>
        </is>
      </c>
      <c r="E60" s="17" t="inlineStr">
        <is>
          <t>0.050 SOL</t>
        </is>
      </c>
      <c r="F60" s="17" t="inlineStr">
        <is>
          <t>0.033 SOL</t>
        </is>
      </c>
      <c r="G60" s="25" t="inlineStr">
        <is>
          <t>-0.019 SOL</t>
        </is>
      </c>
      <c r="H60" s="25" t="inlineStr">
        <is>
          <t>-36.46%</t>
        </is>
      </c>
      <c r="I60" s="17" t="inlineStr">
        <is>
          <t>N/A</t>
        </is>
      </c>
      <c r="J60" s="17" t="n">
        <v>1</v>
      </c>
      <c r="K60" s="17" t="n">
        <v>2</v>
      </c>
      <c r="L60" s="17" t="inlineStr">
        <is>
          <t>29.10.2024 09:38:39</t>
        </is>
      </c>
      <c r="M60" s="17" t="inlineStr">
        <is>
          <t>5 min</t>
        </is>
      </c>
      <c r="N60" s="17" t="inlineStr">
        <is>
          <t xml:space="preserve">         28K            26K             8K</t>
        </is>
      </c>
      <c r="O60" s="17" t="inlineStr">
        <is>
          <t>EyDSYZM8RYQUc7ux41dNmR7BRk7tMzYnWmYeiKzCpump</t>
        </is>
      </c>
      <c r="P60" s="17">
        <f>HYPERLINK("https://dexscreener.com/solana/EyDSYZM8RYQUc7ux41dNmR7BRk7tMzYnWmYeiKzCpump", "View")</f>
        <v/>
      </c>
    </row>
    <row r="61">
      <c r="A61" s="20" t="inlineStr">
        <is>
          <t>ANDY</t>
        </is>
      </c>
      <c r="B61" s="21" t="n">
        <v>119759</v>
      </c>
      <c r="C61" s="21" t="n">
        <v>29940</v>
      </c>
      <c r="D61" s="21" t="inlineStr">
        <is>
          <t>0.001410</t>
        </is>
      </c>
      <c r="E61" s="21" t="inlineStr">
        <is>
          <t>0.075 SOL</t>
        </is>
      </c>
      <c r="F61" s="21" t="inlineStr">
        <is>
          <t>0.019 SOL</t>
        </is>
      </c>
      <c r="G61" s="23" t="inlineStr">
        <is>
          <t>-0.057 SOL</t>
        </is>
      </c>
      <c r="H61" s="23" t="inlineStr">
        <is>
          <t>-75.18%</t>
        </is>
      </c>
      <c r="I61" s="21" t="inlineStr">
        <is>
          <t>N/A</t>
        </is>
      </c>
      <c r="J61" s="21" t="n">
        <v>1</v>
      </c>
      <c r="K61" s="21" t="n">
        <v>1</v>
      </c>
      <c r="L61" s="21" t="inlineStr">
        <is>
          <t>29.10.2024 09:35:17</t>
        </is>
      </c>
      <c r="M61" s="19" t="inlineStr">
        <is>
          <t>37 sec</t>
        </is>
      </c>
      <c r="N61" s="21" t="inlineStr">
        <is>
          <t xml:space="preserve">        111K           111K            17K</t>
        </is>
      </c>
      <c r="O61" s="21" t="inlineStr">
        <is>
          <t>YmmJAazPFQzoodwCfwphWQ2449gqncDTqvC5TtJpump</t>
        </is>
      </c>
      <c r="P61" s="21">
        <f>HYPERLINK("https://dexscreener.com/solana/YmmJAazPFQzoodwCfwphWQ2449gqncDTqvC5TtJpump", "View")</f>
        <v/>
      </c>
    </row>
    <row r="62">
      <c r="A62" s="16" t="inlineStr">
        <is>
          <t>FREEANDY</t>
        </is>
      </c>
      <c r="B62" s="17" t="n">
        <v>183982</v>
      </c>
      <c r="C62" s="17" t="n">
        <v>137986</v>
      </c>
      <c r="D62" s="17" t="inlineStr">
        <is>
          <t>0.001410</t>
        </is>
      </c>
      <c r="E62" s="17" t="inlineStr">
        <is>
          <t>0.075 SOL</t>
        </is>
      </c>
      <c r="F62" s="17" t="inlineStr">
        <is>
          <t>0.023 SOL</t>
        </is>
      </c>
      <c r="G62" s="23" t="inlineStr">
        <is>
          <t>-0.053 SOL</t>
        </is>
      </c>
      <c r="H62" s="23" t="inlineStr">
        <is>
          <t>-69.86%</t>
        </is>
      </c>
      <c r="I62" s="17" t="inlineStr">
        <is>
          <t>N/A</t>
        </is>
      </c>
      <c r="J62" s="17" t="n">
        <v>1</v>
      </c>
      <c r="K62" s="17" t="n">
        <v>1</v>
      </c>
      <c r="L62" s="17" t="inlineStr">
        <is>
          <t>29.10.2024 07:40:35</t>
        </is>
      </c>
      <c r="M62" s="17" t="inlineStr">
        <is>
          <t>2 min</t>
        </is>
      </c>
      <c r="N62" s="17" t="inlineStr">
        <is>
          <t xml:space="preserve">         72K            72K             6K</t>
        </is>
      </c>
      <c r="O62" s="17" t="inlineStr">
        <is>
          <t>7Gry9KMXfcaRv67GdNjTgqWSD6VhNDYdcaLm6pr7pump</t>
        </is>
      </c>
      <c r="P62" s="17">
        <f>HYPERLINK("https://dexscreener.com/solana/7Gry9KMXfcaRv67GdNjTgqWSD6VhNDYdcaLm6pr7pump", "View")</f>
        <v/>
      </c>
    </row>
    <row r="63">
      <c r="A63" s="20" t="inlineStr">
        <is>
          <t>SL</t>
        </is>
      </c>
      <c r="B63" s="21" t="n">
        <v>33872</v>
      </c>
      <c r="C63" s="21" t="n">
        <v>23661</v>
      </c>
      <c r="D63" s="21" t="inlineStr">
        <is>
          <t>0.002930</t>
        </is>
      </c>
      <c r="E63" s="21" t="inlineStr">
        <is>
          <t>0.075 SOL</t>
        </is>
      </c>
      <c r="F63" s="21" t="inlineStr">
        <is>
          <t>0.308 SOL</t>
        </is>
      </c>
      <c r="G63" s="24" t="inlineStr">
        <is>
          <t>0.230 SOL</t>
        </is>
      </c>
      <c r="H63" s="24" t="inlineStr">
        <is>
          <t>295.28%</t>
        </is>
      </c>
      <c r="I63" s="21" t="inlineStr">
        <is>
          <t>N/A</t>
        </is>
      </c>
      <c r="J63" s="21" t="n">
        <v>1</v>
      </c>
      <c r="K63" s="21" t="n">
        <v>4</v>
      </c>
      <c r="L63" s="21" t="inlineStr">
        <is>
          <t>29.10.2024 07:04:08</t>
        </is>
      </c>
      <c r="M63" s="21" t="inlineStr">
        <is>
          <t>1 days</t>
        </is>
      </c>
      <c r="N63" s="21" t="inlineStr">
        <is>
          <t xml:space="preserve">        388K             2M             1M</t>
        </is>
      </c>
      <c r="O63" s="21" t="inlineStr">
        <is>
          <t>7wUwkXo8Qjt3cYM8BaHHHeyfDY7ZSn7qvod92pNupump</t>
        </is>
      </c>
      <c r="P63" s="21">
        <f>HYPERLINK("https://dexscreener.com/solana/7wUwkXo8Qjt3cYM8BaHHHeyfDY7ZSn7qvod92pNupump", "View")</f>
        <v/>
      </c>
    </row>
    <row r="64">
      <c r="A64" s="16" t="inlineStr">
        <is>
          <t>miluce</t>
        </is>
      </c>
      <c r="B64" s="17" t="n">
        <v>697734</v>
      </c>
      <c r="C64" s="17" t="n">
        <v>348867</v>
      </c>
      <c r="D64" s="17" t="inlineStr">
        <is>
          <t>0.001410</t>
        </is>
      </c>
      <c r="E64" s="17" t="inlineStr">
        <is>
          <t>0.085 SOL</t>
        </is>
      </c>
      <c r="F64" s="17" t="inlineStr">
        <is>
          <t>0.238 SOL</t>
        </is>
      </c>
      <c r="G64" s="24" t="inlineStr">
        <is>
          <t>0.151 SOL</t>
        </is>
      </c>
      <c r="H64" s="24" t="inlineStr">
        <is>
          <t>173.98%</t>
        </is>
      </c>
      <c r="I64" s="17" t="inlineStr">
        <is>
          <t>N/A</t>
        </is>
      </c>
      <c r="J64" s="17" t="n">
        <v>1</v>
      </c>
      <c r="K64" s="17" t="n">
        <v>1</v>
      </c>
      <c r="L64" s="17" t="inlineStr">
        <is>
          <t>29.10.2024 06:48:55</t>
        </is>
      </c>
      <c r="M64" s="17" t="inlineStr">
        <is>
          <t>3 min</t>
        </is>
      </c>
      <c r="N64" s="17" t="inlineStr">
        <is>
          <t xml:space="preserve">         20K            20K            14K</t>
        </is>
      </c>
      <c r="O64" s="17" t="inlineStr">
        <is>
          <t>GYCvL5ikdJbTq6b2DDq8DffYwFNbs4hWySMUiqfHpump</t>
        </is>
      </c>
      <c r="P64" s="17">
        <f>HYPERLINK("https://photon-sol.tinyastro.io/en/lp/GYCvL5ikdJbTq6b2DDq8DffYwFNbs4hWySMUiqfHpump?handle=676050794bc1b1657a56b", "View")</f>
        <v/>
      </c>
    </row>
    <row r="65">
      <c r="A65" s="20" t="inlineStr">
        <is>
          <t>Miggy</t>
        </is>
      </c>
      <c r="B65" s="21" t="n">
        <v>103236</v>
      </c>
      <c r="C65" s="21" t="n">
        <v>0</v>
      </c>
      <c r="D65" s="21" t="inlineStr">
        <is>
          <t>0.000710</t>
        </is>
      </c>
      <c r="E65" s="21" t="inlineStr">
        <is>
          <t>0.100 SOL</t>
        </is>
      </c>
      <c r="F65" s="21" t="inlineStr">
        <is>
          <t>0.000 SOL</t>
        </is>
      </c>
      <c r="G65" s="18" t="inlineStr">
        <is>
          <t>-0.101 SOL</t>
        </is>
      </c>
      <c r="H65" s="18" t="inlineStr">
        <is>
          <t>0.00%</t>
        </is>
      </c>
      <c r="I65" s="21" t="inlineStr">
        <is>
          <t>103,236</t>
        </is>
      </c>
      <c r="J65" s="21" t="n">
        <v>1</v>
      </c>
      <c r="K65" s="21" t="n">
        <v>0</v>
      </c>
      <c r="L65" s="21" t="inlineStr">
        <is>
          <t>29.10.2024 05:42:36</t>
        </is>
      </c>
      <c r="M65" s="19" t="inlineStr">
        <is>
          <t>0 sec</t>
        </is>
      </c>
      <c r="N65" s="21" t="inlineStr">
        <is>
          <t xml:space="preserve">        170K           170K             4K</t>
        </is>
      </c>
      <c r="O65" s="21" t="inlineStr">
        <is>
          <t>58ofVUi8HEDL22i6BMgv4Xycirs7uHgLVqfRiXS7pump</t>
        </is>
      </c>
      <c r="P65" s="21">
        <f>HYPERLINK("https://dexscreener.com/solana/58ofVUi8HEDL22i6BMgv4Xycirs7uHgLVqfRiXS7pump", "View")</f>
        <v/>
      </c>
    </row>
    <row r="66">
      <c r="A66" s="16" t="inlineStr">
        <is>
          <t>WOAT</t>
        </is>
      </c>
      <c r="B66" s="17" t="n">
        <v>50139</v>
      </c>
      <c r="C66" s="17" t="n">
        <v>50139</v>
      </c>
      <c r="D66" s="17" t="inlineStr">
        <is>
          <t>0.001410</t>
        </is>
      </c>
      <c r="E66" s="17" t="inlineStr">
        <is>
          <t>0.075 SOL</t>
        </is>
      </c>
      <c r="F66" s="17" t="inlineStr">
        <is>
          <t>0.075 SOL</t>
        </is>
      </c>
      <c r="G66" s="25" t="inlineStr">
        <is>
          <t>-0.002 SOL</t>
        </is>
      </c>
      <c r="H66" s="25" t="inlineStr">
        <is>
          <t>-2.30%</t>
        </is>
      </c>
      <c r="I66" s="17" t="inlineStr">
        <is>
          <t>N/A</t>
        </is>
      </c>
      <c r="J66" s="17" t="n">
        <v>1</v>
      </c>
      <c r="K66" s="17" t="n">
        <v>1</v>
      </c>
      <c r="L66" s="17" t="inlineStr">
        <is>
          <t>29.10.2024 05:29:45</t>
        </is>
      </c>
      <c r="M66" s="19" t="inlineStr">
        <is>
          <t>26 sec</t>
        </is>
      </c>
      <c r="N66" s="17" t="inlineStr">
        <is>
          <t xml:space="preserve">        263K           262K            11K</t>
        </is>
      </c>
      <c r="O66" s="17" t="inlineStr">
        <is>
          <t>6qocE7eQhug7pE7CggAvdNJJMtkHjKaVYRSND7Bwpump</t>
        </is>
      </c>
      <c r="P66" s="17">
        <f>HYPERLINK("https://dexscreener.com/solana/6qocE7eQhug7pE7CggAvdNJJMtkHjKaVYRSND7Bwpump", "View")</f>
        <v/>
      </c>
    </row>
    <row r="67">
      <c r="A67" s="20" t="inlineStr">
        <is>
          <t>Gemma-7b</t>
        </is>
      </c>
      <c r="B67" s="21" t="n">
        <v>103549</v>
      </c>
      <c r="C67" s="21" t="n">
        <v>0</v>
      </c>
      <c r="D67" s="21" t="inlineStr">
        <is>
          <t>0.000710</t>
        </is>
      </c>
      <c r="E67" s="21" t="inlineStr">
        <is>
          <t>0.100 SOL</t>
        </is>
      </c>
      <c r="F67" s="21" t="inlineStr">
        <is>
          <t>0.000 SOL</t>
        </is>
      </c>
      <c r="G67" s="18" t="inlineStr">
        <is>
          <t>-0.101 SOL</t>
        </is>
      </c>
      <c r="H67" s="18" t="inlineStr">
        <is>
          <t>0.00%</t>
        </is>
      </c>
      <c r="I67" s="21" t="inlineStr">
        <is>
          <t>103,549</t>
        </is>
      </c>
      <c r="J67" s="21" t="n">
        <v>1</v>
      </c>
      <c r="K67" s="21" t="n">
        <v>0</v>
      </c>
      <c r="L67" s="21" t="inlineStr">
        <is>
          <t>29.10.2024 04:51:20</t>
        </is>
      </c>
      <c r="M67" s="19" t="inlineStr">
        <is>
          <t>0 sec</t>
        </is>
      </c>
      <c r="N67" s="21" t="inlineStr">
        <is>
          <t xml:space="preserve">        170K           170K             4K</t>
        </is>
      </c>
      <c r="O67" s="21" t="inlineStr">
        <is>
          <t>AFmnF7gsWVmKCvcLM4xFgsZfz4JNLw53d3uAZYLWpump</t>
        </is>
      </c>
      <c r="P67" s="21">
        <f>HYPERLINK("https://dexscreener.com/solana/AFmnF7gsWVmKCvcLM4xFgsZfz4JNLw53d3uAZYLWpump", "View")</f>
        <v/>
      </c>
    </row>
    <row r="68">
      <c r="A68" s="16" t="inlineStr">
        <is>
          <t>▪</t>
        </is>
      </c>
      <c r="B68" s="17" t="n">
        <v>1148779</v>
      </c>
      <c r="C68" s="17" t="n">
        <v>1148779</v>
      </c>
      <c r="D68" s="17" t="inlineStr">
        <is>
          <t>0.001410</t>
        </is>
      </c>
      <c r="E68" s="17" t="inlineStr">
        <is>
          <t>0.127 SOL</t>
        </is>
      </c>
      <c r="F68" s="17" t="inlineStr">
        <is>
          <t>0.081 SOL</t>
        </is>
      </c>
      <c r="G68" s="25" t="inlineStr">
        <is>
          <t>-0.047 SOL</t>
        </is>
      </c>
      <c r="H68" s="25" t="inlineStr">
        <is>
          <t>-36.35%</t>
        </is>
      </c>
      <c r="I68" s="17" t="inlineStr">
        <is>
          <t>N/A</t>
        </is>
      </c>
      <c r="J68" s="17" t="n">
        <v>1</v>
      </c>
      <c r="K68" s="17" t="n">
        <v>1</v>
      </c>
      <c r="L68" s="17" t="inlineStr">
        <is>
          <t>29.10.2024 03:55:19</t>
        </is>
      </c>
      <c r="M68" s="17" t="inlineStr">
        <is>
          <t>2 min</t>
        </is>
      </c>
      <c r="N68" s="17" t="inlineStr">
        <is>
          <t xml:space="preserve">         19K            12K             5K</t>
        </is>
      </c>
      <c r="O68" s="17" t="inlineStr">
        <is>
          <t>AM39r2DmfbW21ECRULSobP9wx6Vzveamf4Vg4gY4pump</t>
        </is>
      </c>
      <c r="P68" s="17">
        <f>HYPERLINK("https://photon-sol.tinyastro.io/en/lp/AM39r2DmfbW21ECRULSobP9wx6Vzveamf4Vg4gY4pump?handle=676050794bc1b1657a56b", "View")</f>
        <v/>
      </c>
    </row>
    <row r="69">
      <c r="A69" s="20" t="inlineStr">
        <is>
          <t>TAW</t>
        </is>
      </c>
      <c r="B69" s="21" t="n">
        <v>352365</v>
      </c>
      <c r="C69" s="21" t="n">
        <v>213569</v>
      </c>
      <c r="D69" s="21" t="inlineStr">
        <is>
          <t>0.002120</t>
        </is>
      </c>
      <c r="E69" s="21" t="inlineStr">
        <is>
          <t>0.200 SOL</t>
        </is>
      </c>
      <c r="F69" s="21" t="inlineStr">
        <is>
          <t>0.050 SOL</t>
        </is>
      </c>
      <c r="G69" s="23" t="inlineStr">
        <is>
          <t>-0.152 SOL</t>
        </is>
      </c>
      <c r="H69" s="23" t="inlineStr">
        <is>
          <t>-75.19%</t>
        </is>
      </c>
      <c r="I69" s="21" t="inlineStr">
        <is>
          <t>N/A</t>
        </is>
      </c>
      <c r="J69" s="21" t="n">
        <v>2</v>
      </c>
      <c r="K69" s="21" t="n">
        <v>1</v>
      </c>
      <c r="L69" s="21" t="inlineStr">
        <is>
          <t>29.10.2024 03:43:56</t>
        </is>
      </c>
      <c r="M69" s="21" t="inlineStr">
        <is>
          <t>29 min</t>
        </is>
      </c>
      <c r="N69" s="21" t="inlineStr">
        <is>
          <t xml:space="preserve">         83K           126K            11K</t>
        </is>
      </c>
      <c r="O69" s="21" t="inlineStr">
        <is>
          <t>7458jTLdMTuqtfHg1eiPY3vUvDX6RgKZAntATVPDpump</t>
        </is>
      </c>
      <c r="P69" s="21">
        <f>HYPERLINK("https://dexscreener.com/solana/7458jTLdMTuqtfHg1eiPY3vUvDX6RgKZAntATVPDpump", "View")</f>
        <v/>
      </c>
    </row>
    <row r="70">
      <c r="A70" s="16" t="inlineStr">
        <is>
          <t>Xin</t>
        </is>
      </c>
      <c r="B70" s="17" t="n">
        <v>1194981</v>
      </c>
      <c r="C70" s="17" t="n">
        <v>1194981</v>
      </c>
      <c r="D70" s="17" t="inlineStr">
        <is>
          <t>0.001410</t>
        </is>
      </c>
      <c r="E70" s="17" t="inlineStr">
        <is>
          <t>0.106 SOL</t>
        </is>
      </c>
      <c r="F70" s="17" t="inlineStr">
        <is>
          <t>0.060 SOL</t>
        </is>
      </c>
      <c r="G70" s="25" t="inlineStr">
        <is>
          <t>-0.047 SOL</t>
        </is>
      </c>
      <c r="H70" s="25" t="inlineStr">
        <is>
          <t>-44.00%</t>
        </is>
      </c>
      <c r="I70" s="17" t="inlineStr">
        <is>
          <t>N/A</t>
        </is>
      </c>
      <c r="J70" s="17" t="n">
        <v>1</v>
      </c>
      <c r="K70" s="17" t="n">
        <v>1</v>
      </c>
      <c r="L70" s="17" t="inlineStr">
        <is>
          <t>29.10.2024 03:34:19</t>
        </is>
      </c>
      <c r="M70" s="19" t="inlineStr">
        <is>
          <t>21 sec</t>
        </is>
      </c>
      <c r="N70" s="17" t="inlineStr">
        <is>
          <t xml:space="preserve">         16K             9K             8K</t>
        </is>
      </c>
      <c r="O70" s="17" t="inlineStr">
        <is>
          <t>GZW5vKNpQnLxmzf4fSHZk4UDBRmHvVjLj2M3kNBs2hMm</t>
        </is>
      </c>
      <c r="P70" s="17">
        <f>HYPERLINK("https://photon-sol.tinyastro.io/en/lp/GZW5vKNpQnLxmzf4fSHZk4UDBRmHvVjLj2M3kNBs2hMm?handle=676050794bc1b1657a56b", "View")</f>
        <v/>
      </c>
    </row>
    <row r="71">
      <c r="A71" s="20" t="inlineStr">
        <is>
          <t>AIMC</t>
        </is>
      </c>
      <c r="B71" s="21" t="n">
        <v>58718</v>
      </c>
      <c r="C71" s="21" t="n">
        <v>0</v>
      </c>
      <c r="D71" s="21" t="inlineStr">
        <is>
          <t>0.000710</t>
        </is>
      </c>
      <c r="E71" s="21" t="inlineStr">
        <is>
          <t>0.100 SOL</t>
        </is>
      </c>
      <c r="F71" s="21" t="inlineStr">
        <is>
          <t>0.000 SOL</t>
        </is>
      </c>
      <c r="G71" s="18" t="inlineStr">
        <is>
          <t>-0.101 SOL</t>
        </is>
      </c>
      <c r="H71" s="18" t="inlineStr">
        <is>
          <t>0.00%</t>
        </is>
      </c>
      <c r="I71" s="21" t="inlineStr">
        <is>
          <t>58,718</t>
        </is>
      </c>
      <c r="J71" s="21" t="n">
        <v>1</v>
      </c>
      <c r="K71" s="21" t="n">
        <v>0</v>
      </c>
      <c r="L71" s="21" t="inlineStr">
        <is>
          <t>29.10.2024 03:29:56</t>
        </is>
      </c>
      <c r="M71" s="19" t="inlineStr">
        <is>
          <t>0 sec</t>
        </is>
      </c>
      <c r="N71" s="21" t="inlineStr">
        <is>
          <t xml:space="preserve">        298K           298K             5K</t>
        </is>
      </c>
      <c r="O71" s="21" t="inlineStr">
        <is>
          <t>iByRAnwB6oHjphgaixPkKqno41ida9yqKwwmrsKpump</t>
        </is>
      </c>
      <c r="P71" s="21">
        <f>HYPERLINK("https://dexscreener.com/solana/iByRAnwB6oHjphgaixPkKqno41ida9yqKwwmrsKpump", "View")</f>
        <v/>
      </c>
    </row>
    <row r="72">
      <c r="A72" s="16" t="inlineStr">
        <is>
          <t>fagatar</t>
        </is>
      </c>
      <c r="B72" s="17" t="n">
        <v>968299</v>
      </c>
      <c r="C72" s="17" t="n">
        <v>968299</v>
      </c>
      <c r="D72" s="17" t="inlineStr">
        <is>
          <t>0.001410</t>
        </is>
      </c>
      <c r="E72" s="17" t="inlineStr">
        <is>
          <t>0.118 SOL</t>
        </is>
      </c>
      <c r="F72" s="17" t="inlineStr">
        <is>
          <t>0.071 SOL</t>
        </is>
      </c>
      <c r="G72" s="25" t="inlineStr">
        <is>
          <t>-0.048 SOL</t>
        </is>
      </c>
      <c r="H72" s="25" t="inlineStr">
        <is>
          <t>-40.15%</t>
        </is>
      </c>
      <c r="I72" s="17" t="inlineStr">
        <is>
          <t>N/A</t>
        </is>
      </c>
      <c r="J72" s="17" t="n">
        <v>1</v>
      </c>
      <c r="K72" s="17" t="n">
        <v>1</v>
      </c>
      <c r="L72" s="17" t="inlineStr">
        <is>
          <t>29.10.2024 03:25:06</t>
        </is>
      </c>
      <c r="M72" s="17" t="inlineStr">
        <is>
          <t>3 min</t>
        </is>
      </c>
      <c r="N72" s="17" t="inlineStr">
        <is>
          <t xml:space="preserve">         21K            12K             5K</t>
        </is>
      </c>
      <c r="O72" s="17" t="inlineStr">
        <is>
          <t>H4uen4GmZS8GPTUkiznrUeknKsWfe5gjhzTsCRr1pump</t>
        </is>
      </c>
      <c r="P72" s="17">
        <f>HYPERLINK("https://photon-sol.tinyastro.io/en/lp/H4uen4GmZS8GPTUkiznrUeknKsWfe5gjhzTsCRr1pump?handle=676050794bc1b1657a56b", "View")</f>
        <v/>
      </c>
    </row>
    <row r="73">
      <c r="A73" s="20" t="inlineStr">
        <is>
          <t>ZAYD</t>
        </is>
      </c>
      <c r="B73" s="21" t="n">
        <v>1454117</v>
      </c>
      <c r="C73" s="21" t="n">
        <v>1454117</v>
      </c>
      <c r="D73" s="21" t="inlineStr">
        <is>
          <t>0.002120</t>
        </is>
      </c>
      <c r="E73" s="21" t="inlineStr">
        <is>
          <t>0.105 SOL</t>
        </is>
      </c>
      <c r="F73" s="21" t="inlineStr">
        <is>
          <t>0.084 SOL</t>
        </is>
      </c>
      <c r="G73" s="25" t="inlineStr">
        <is>
          <t>-0.023 SOL</t>
        </is>
      </c>
      <c r="H73" s="25" t="inlineStr">
        <is>
          <t>-21.72%</t>
        </is>
      </c>
      <c r="I73" s="21" t="inlineStr">
        <is>
          <t>N/A</t>
        </is>
      </c>
      <c r="J73" s="21" t="n">
        <v>1</v>
      </c>
      <c r="K73" s="21" t="n">
        <v>2</v>
      </c>
      <c r="L73" s="21" t="inlineStr">
        <is>
          <t>29.10.2024 01:44:04</t>
        </is>
      </c>
      <c r="M73" s="21" t="inlineStr">
        <is>
          <t>8 min</t>
        </is>
      </c>
      <c r="N73" s="21" t="inlineStr">
        <is>
          <t xml:space="preserve">         12K             7K             5K</t>
        </is>
      </c>
      <c r="O73" s="21" t="inlineStr">
        <is>
          <t>G3aCi7HrLkrHXaVeVmhXTg6uXbJpNQHtRmyUkLt2pump</t>
        </is>
      </c>
      <c r="P73" s="21">
        <f>HYPERLINK("https://photon-sol.tinyastro.io/en/lp/G3aCi7HrLkrHXaVeVmhXTg6uXbJpNQHtRmyUkLt2pump?handle=676050794bc1b1657a56b", "View")</f>
        <v/>
      </c>
    </row>
    <row r="74">
      <c r="A74" s="16" t="inlineStr">
        <is>
          <t>Solano</t>
        </is>
      </c>
      <c r="B74" s="17" t="n">
        <v>948800</v>
      </c>
      <c r="C74" s="17" t="n">
        <v>0</v>
      </c>
      <c r="D74" s="17" t="inlineStr">
        <is>
          <t>0.000710</t>
        </is>
      </c>
      <c r="E74" s="17" t="inlineStr">
        <is>
          <t>0.095 SOL</t>
        </is>
      </c>
      <c r="F74" s="17" t="inlineStr">
        <is>
          <t>0.000 SOL</t>
        </is>
      </c>
      <c r="G74" s="18" t="inlineStr">
        <is>
          <t>-0.096 SOL</t>
        </is>
      </c>
      <c r="H74" s="18" t="inlineStr">
        <is>
          <t>0.00%</t>
        </is>
      </c>
      <c r="I74" s="17" t="inlineStr">
        <is>
          <t>948,800</t>
        </is>
      </c>
      <c r="J74" s="17" t="n">
        <v>1</v>
      </c>
      <c r="K74" s="17" t="n">
        <v>0</v>
      </c>
      <c r="L74" s="17" t="inlineStr">
        <is>
          <t>28.10.2024 21:49:39</t>
        </is>
      </c>
      <c r="M74" s="19" t="inlineStr">
        <is>
          <t>0 sec</t>
        </is>
      </c>
      <c r="N74" s="17" t="inlineStr">
        <is>
          <t xml:space="preserve">         18K            18K             6K</t>
        </is>
      </c>
      <c r="O74" s="17" t="inlineStr">
        <is>
          <t>7wYTMHJnxXqJRnnzJb3594mS7LgCXT47AGLhd4hrpump</t>
        </is>
      </c>
      <c r="P74" s="17">
        <f>HYPERLINK("https://photon-sol.tinyastro.io/en/lp/7wYTMHJnxXqJRnnzJb3594mS7LgCXT47AGLhd4hrpump?handle=676050794bc1b1657a56b", "View")</f>
        <v/>
      </c>
    </row>
    <row r="75">
      <c r="A75" s="20" t="inlineStr">
        <is>
          <t>THECAT</t>
        </is>
      </c>
      <c r="B75" s="21" t="n">
        <v>23728</v>
      </c>
      <c r="C75" s="21" t="n">
        <v>23728</v>
      </c>
      <c r="D75" s="21" t="inlineStr">
        <is>
          <t>0.001820</t>
        </is>
      </c>
      <c r="E75" s="21" t="inlineStr">
        <is>
          <t>0.100 SOL</t>
        </is>
      </c>
      <c r="F75" s="21" t="inlineStr">
        <is>
          <t>0.002 SOL</t>
        </is>
      </c>
      <c r="G75" s="23" t="inlineStr">
        <is>
          <t>-0.100 SOL</t>
        </is>
      </c>
      <c r="H75" s="23" t="inlineStr">
        <is>
          <t>-98.22%</t>
        </is>
      </c>
      <c r="I75" s="21" t="inlineStr">
        <is>
          <t>N/A</t>
        </is>
      </c>
      <c r="J75" s="21" t="n">
        <v>1</v>
      </c>
      <c r="K75" s="21" t="n">
        <v>2</v>
      </c>
      <c r="L75" s="21" t="inlineStr">
        <is>
          <t>28.10.2024 18:30:04</t>
        </is>
      </c>
      <c r="M75" s="21" t="inlineStr">
        <is>
          <t>1 hours</t>
        </is>
      </c>
      <c r="N75" s="21" t="inlineStr">
        <is>
          <t xml:space="preserve">        739K           739K           178K</t>
        </is>
      </c>
      <c r="O75" s="21" t="inlineStr">
        <is>
          <t>4JE4tBaHwq9WsqGb4XVq38hGs7PXxd6EwNhUg9y17WGE</t>
        </is>
      </c>
      <c r="P75" s="21">
        <f>HYPERLINK("https://dexscreener.com/solana/4JE4tBaHwq9WsqGb4XVq38hGs7PXxd6EwNhUg9y17WGE", "View")</f>
        <v/>
      </c>
    </row>
    <row r="76">
      <c r="A76" s="16" t="inlineStr">
        <is>
          <t>Colossus</t>
        </is>
      </c>
      <c r="B76" s="17" t="n">
        <v>20301</v>
      </c>
      <c r="C76" s="17" t="n">
        <v>20301</v>
      </c>
      <c r="D76" s="17" t="inlineStr">
        <is>
          <t>0.001410</t>
        </is>
      </c>
      <c r="E76" s="17" t="inlineStr">
        <is>
          <t>0.050 SOL</t>
        </is>
      </c>
      <c r="F76" s="17" t="inlineStr">
        <is>
          <t>0.038 SOL</t>
        </is>
      </c>
      <c r="G76" s="25" t="inlineStr">
        <is>
          <t>-0.013 SOL</t>
        </is>
      </c>
      <c r="H76" s="25" t="inlineStr">
        <is>
          <t>-25.49%</t>
        </is>
      </c>
      <c r="I76" s="17" t="inlineStr">
        <is>
          <t>N/A</t>
        </is>
      </c>
      <c r="J76" s="17" t="n">
        <v>1</v>
      </c>
      <c r="K76" s="17" t="n">
        <v>1</v>
      </c>
      <c r="L76" s="17" t="inlineStr">
        <is>
          <t>28.10.2024 18:05:17</t>
        </is>
      </c>
      <c r="M76" s="17" t="inlineStr">
        <is>
          <t>1 min</t>
        </is>
      </c>
      <c r="N76" s="17" t="inlineStr">
        <is>
          <t xml:space="preserve">        432K           332K           119K</t>
        </is>
      </c>
      <c r="O76" s="17" t="inlineStr">
        <is>
          <t>8SuMAjoZeLGaaekNHP235Dv4soXsrcseFXefT3A9pump</t>
        </is>
      </c>
      <c r="P76" s="17">
        <f>HYPERLINK("https://dexscreener.com/solana/8SuMAjoZeLGaaekNHP235Dv4soXsrcseFXefT3A9pump", "View")</f>
        <v/>
      </c>
    </row>
    <row r="77">
      <c r="A77" s="20" t="inlineStr">
        <is>
          <t>HOLLY</t>
        </is>
      </c>
      <c r="B77" s="21" t="n">
        <v>1933199</v>
      </c>
      <c r="C77" s="21" t="n">
        <v>966599</v>
      </c>
      <c r="D77" s="21" t="inlineStr">
        <is>
          <t>0.001110</t>
        </is>
      </c>
      <c r="E77" s="21" t="inlineStr">
        <is>
          <t>0.080 SOL</t>
        </is>
      </c>
      <c r="F77" s="21" t="inlineStr">
        <is>
          <t>0.000 SOL</t>
        </is>
      </c>
      <c r="G77" s="23" t="inlineStr">
        <is>
          <t>-0.080 SOL</t>
        </is>
      </c>
      <c r="H77" s="23" t="inlineStr">
        <is>
          <t>-99.68%</t>
        </is>
      </c>
      <c r="I77" s="21" t="inlineStr">
        <is>
          <t>N/A</t>
        </is>
      </c>
      <c r="J77" s="21" t="n">
        <v>1</v>
      </c>
      <c r="K77" s="21" t="n">
        <v>1</v>
      </c>
      <c r="L77" s="21" t="inlineStr">
        <is>
          <t>28.10.2024 16:55:29</t>
        </is>
      </c>
      <c r="M77" s="21" t="inlineStr">
        <is>
          <t>20 hours</t>
        </is>
      </c>
      <c r="N77" s="21" t="inlineStr">
        <is>
          <t xml:space="preserve">          7K             7K             6K</t>
        </is>
      </c>
      <c r="O77" s="21" t="inlineStr">
        <is>
          <t>GDFEhJdo8xaTSpasVD7YLb7fSEe8C4pDnRqvPnxSpump</t>
        </is>
      </c>
      <c r="P77" s="21">
        <f>HYPERLINK("https://photon-sol.tinyastro.io/en/lp/GDFEhJdo8xaTSpasVD7YLb7fSEe8C4pDnRqvPnxSpump?handle=676050794bc1b1657a56b", "View")</f>
        <v/>
      </c>
    </row>
    <row r="78">
      <c r="A78" s="16" t="inlineStr">
        <is>
          <t>HOL</t>
        </is>
      </c>
      <c r="B78" s="17" t="n">
        <v>993814</v>
      </c>
      <c r="C78" s="17" t="n">
        <v>0</v>
      </c>
      <c r="D78" s="17" t="inlineStr">
        <is>
          <t>0.000710</t>
        </is>
      </c>
      <c r="E78" s="17" t="inlineStr">
        <is>
          <t>0.105 SOL</t>
        </is>
      </c>
      <c r="F78" s="17" t="inlineStr">
        <is>
          <t>0.000 SOL</t>
        </is>
      </c>
      <c r="G78" s="18" t="inlineStr">
        <is>
          <t>-0.106 SOL</t>
        </is>
      </c>
      <c r="H78" s="18" t="inlineStr">
        <is>
          <t>0.00%</t>
        </is>
      </c>
      <c r="I78" s="17" t="inlineStr">
        <is>
          <t>993,814</t>
        </is>
      </c>
      <c r="J78" s="17" t="n">
        <v>1</v>
      </c>
      <c r="K78" s="17" t="n">
        <v>0</v>
      </c>
      <c r="L78" s="17" t="inlineStr">
        <is>
          <t>28.10.2024 16:03:19</t>
        </is>
      </c>
      <c r="M78" s="19" t="inlineStr">
        <is>
          <t>0 sec</t>
        </is>
      </c>
      <c r="N78" s="17" t="inlineStr">
        <is>
          <t xml:space="preserve">         19K            19K             5K</t>
        </is>
      </c>
      <c r="O78" s="17" t="inlineStr">
        <is>
          <t>HUvjDmYNXL45eaPqi8176ihpYTAMxknr2dUWKN8spump</t>
        </is>
      </c>
      <c r="P78" s="17">
        <f>HYPERLINK("https://photon-sol.tinyastro.io/en/lp/HUvjDmYNXL45eaPqi8176ihpYTAMxknr2dUWKN8spump?handle=676050794bc1b1657a56b", "View")</f>
        <v/>
      </c>
    </row>
    <row r="79">
      <c r="A79" s="20" t="inlineStr">
        <is>
          <t>FISHAI</t>
        </is>
      </c>
      <c r="B79" s="21" t="n">
        <v>620181</v>
      </c>
      <c r="C79" s="21" t="n">
        <v>620181</v>
      </c>
      <c r="D79" s="21" t="inlineStr">
        <is>
          <t>0.001410</t>
        </is>
      </c>
      <c r="E79" s="21" t="inlineStr">
        <is>
          <t>0.062 SOL</t>
        </is>
      </c>
      <c r="F79" s="21" t="inlineStr">
        <is>
          <t>0.037 SOL</t>
        </is>
      </c>
      <c r="G79" s="25" t="inlineStr">
        <is>
          <t>-0.026 SOL</t>
        </is>
      </c>
      <c r="H79" s="25" t="inlineStr">
        <is>
          <t>-40.94%</t>
        </is>
      </c>
      <c r="I79" s="21" t="inlineStr">
        <is>
          <t>N/A</t>
        </is>
      </c>
      <c r="J79" s="21" t="n">
        <v>1</v>
      </c>
      <c r="K79" s="21" t="n">
        <v>1</v>
      </c>
      <c r="L79" s="21" t="inlineStr">
        <is>
          <t>28.10.2024 16:03:19</t>
        </is>
      </c>
      <c r="M79" s="19" t="inlineStr">
        <is>
          <t>50 sec</t>
        </is>
      </c>
      <c r="N79" s="21" t="inlineStr">
        <is>
          <t xml:space="preserve">         18K            11K             5K</t>
        </is>
      </c>
      <c r="O79" s="21" t="inlineStr">
        <is>
          <t>DCqFw7Pu4eMgWdEqNPDuvLRRaRgD2xbJ6pozMED6pump</t>
        </is>
      </c>
      <c r="P79" s="21">
        <f>HYPERLINK("https://photon-sol.tinyastro.io/en/lp/DCqFw7Pu4eMgWdEqNPDuvLRRaRgD2xbJ6pozMED6pump?handle=676050794bc1b1657a56b", "View")</f>
        <v/>
      </c>
    </row>
    <row r="80">
      <c r="A80" s="16" t="inlineStr">
        <is>
          <t>DCF</t>
        </is>
      </c>
      <c r="B80" s="17" t="n">
        <v>1219034</v>
      </c>
      <c r="C80" s="17" t="n">
        <v>1219034</v>
      </c>
      <c r="D80" s="17" t="inlineStr">
        <is>
          <t>0.002820</t>
        </is>
      </c>
      <c r="E80" s="17" t="inlineStr">
        <is>
          <t>0.101 SOL</t>
        </is>
      </c>
      <c r="F80" s="17" t="inlineStr">
        <is>
          <t>0.168 SOL</t>
        </is>
      </c>
      <c r="G80" s="24" t="inlineStr">
        <is>
          <t>0.064 SOL</t>
        </is>
      </c>
      <c r="H80" s="24" t="inlineStr">
        <is>
          <t>61.26%</t>
        </is>
      </c>
      <c r="I80" s="17" t="inlineStr">
        <is>
          <t>N/A</t>
        </is>
      </c>
      <c r="J80" s="17" t="n">
        <v>1</v>
      </c>
      <c r="K80" s="17" t="n">
        <v>3</v>
      </c>
      <c r="L80" s="17" t="inlineStr">
        <is>
          <t>28.10.2024 16:00:12</t>
        </is>
      </c>
      <c r="M80" s="17" t="inlineStr">
        <is>
          <t>2 min</t>
        </is>
      </c>
      <c r="N80" s="17" t="inlineStr">
        <is>
          <t xml:space="preserve">         14K            23K             6K</t>
        </is>
      </c>
      <c r="O80" s="17" t="inlineStr">
        <is>
          <t>5oqmSZe3mYnvda4uuzvif2KGXzx77VzRm8ez4aswpump</t>
        </is>
      </c>
      <c r="P80" s="17">
        <f>HYPERLINK("https://photon-sol.tinyastro.io/en/lp/5oqmSZe3mYnvda4uuzvif2KGXzx77VzRm8ez4aswpump?handle=676050794bc1b1657a56b", "View")</f>
        <v/>
      </c>
    </row>
    <row r="81">
      <c r="A81" s="20" t="inlineStr">
        <is>
          <t>Dolly</t>
        </is>
      </c>
      <c r="B81" s="21" t="n">
        <v>776180</v>
      </c>
      <c r="C81" s="21" t="n">
        <v>0</v>
      </c>
      <c r="D81" s="21" t="inlineStr">
        <is>
          <t>0.000710</t>
        </is>
      </c>
      <c r="E81" s="21" t="inlineStr">
        <is>
          <t>0.111 SOL</t>
        </is>
      </c>
      <c r="F81" s="21" t="inlineStr">
        <is>
          <t>0.000 SOL</t>
        </is>
      </c>
      <c r="G81" s="18" t="inlineStr">
        <is>
          <t>-0.112 SOL</t>
        </is>
      </c>
      <c r="H81" s="18" t="inlineStr">
        <is>
          <t>0.00%</t>
        </is>
      </c>
      <c r="I81" s="21" t="inlineStr">
        <is>
          <t>776,180</t>
        </is>
      </c>
      <c r="J81" s="21" t="n">
        <v>1</v>
      </c>
      <c r="K81" s="21" t="n">
        <v>0</v>
      </c>
      <c r="L81" s="21" t="inlineStr">
        <is>
          <t>28.10.2024 16:00:01</t>
        </is>
      </c>
      <c r="M81" s="19" t="inlineStr">
        <is>
          <t>0 sec</t>
        </is>
      </c>
      <c r="N81" s="21" t="inlineStr">
        <is>
          <t xml:space="preserve">         25K            25K             5K</t>
        </is>
      </c>
      <c r="O81" s="21" t="inlineStr">
        <is>
          <t>embRm6LVgkHiV4cSwHzuoYRMuW5ybk3GtimnPLrpump</t>
        </is>
      </c>
      <c r="P81" s="21">
        <f>HYPERLINK("https://photon-sol.tinyastro.io/en/lp/embRm6LVgkHiV4cSwHzuoYRMuW5ybk3GtimnPLrpump?handle=676050794bc1b1657a56b", "View")</f>
        <v/>
      </c>
    </row>
    <row r="82">
      <c r="A82" s="16" t="inlineStr">
        <is>
          <t>nGPT 𒀭</t>
        </is>
      </c>
      <c r="B82" s="17" t="n">
        <v>2011736</v>
      </c>
      <c r="C82" s="17" t="n">
        <v>0</v>
      </c>
      <c r="D82" s="17" t="inlineStr">
        <is>
          <t>0.000710</t>
        </is>
      </c>
      <c r="E82" s="17" t="inlineStr">
        <is>
          <t>0.097 SOL</t>
        </is>
      </c>
      <c r="F82" s="17" t="inlineStr">
        <is>
          <t>0.000 SOL</t>
        </is>
      </c>
      <c r="G82" s="18" t="inlineStr">
        <is>
          <t>-0.097 SOL</t>
        </is>
      </c>
      <c r="H82" s="18" t="inlineStr">
        <is>
          <t>0.00%</t>
        </is>
      </c>
      <c r="I82" s="17" t="inlineStr">
        <is>
          <t>2,011,736</t>
        </is>
      </c>
      <c r="J82" s="17" t="n">
        <v>1</v>
      </c>
      <c r="K82" s="17" t="n">
        <v>0</v>
      </c>
      <c r="L82" s="17" t="inlineStr">
        <is>
          <t>28.10.2024 15:40:27</t>
        </is>
      </c>
      <c r="M82" s="19" t="inlineStr">
        <is>
          <t>0 sec</t>
        </is>
      </c>
      <c r="N82" s="17" t="inlineStr">
        <is>
          <t xml:space="preserve">          9K             9K             5K</t>
        </is>
      </c>
      <c r="O82" s="17" t="inlineStr">
        <is>
          <t>GqTt3nV6JnhVHSuDFr6DYuLU9zWmwgDc7myeihnQpump</t>
        </is>
      </c>
      <c r="P82" s="17">
        <f>HYPERLINK("https://photon-sol.tinyastro.io/en/lp/GqTt3nV6JnhVHSuDFr6DYuLU9zWmwgDc7myeihnQpump?handle=676050794bc1b1657a56b", "View")</f>
        <v/>
      </c>
    </row>
    <row r="83">
      <c r="A83" s="20" t="inlineStr">
        <is>
          <t>NOBOX</t>
        </is>
      </c>
      <c r="B83" s="21" t="n">
        <v>497840</v>
      </c>
      <c r="C83" s="21" t="n">
        <v>124460</v>
      </c>
      <c r="D83" s="21" t="inlineStr">
        <is>
          <t>0.001410</t>
        </is>
      </c>
      <c r="E83" s="21" t="inlineStr">
        <is>
          <t>0.050 SOL</t>
        </is>
      </c>
      <c r="F83" s="21" t="inlineStr">
        <is>
          <t>0.058 SOL</t>
        </is>
      </c>
      <c r="G83" s="22" t="inlineStr">
        <is>
          <t>0.007 SOL</t>
        </is>
      </c>
      <c r="H83" s="22" t="inlineStr">
        <is>
          <t>14.34%</t>
        </is>
      </c>
      <c r="I83" s="21" t="inlineStr">
        <is>
          <t>N/A</t>
        </is>
      </c>
      <c r="J83" s="21" t="n">
        <v>1</v>
      </c>
      <c r="K83" s="21" t="n">
        <v>1</v>
      </c>
      <c r="L83" s="21" t="inlineStr">
        <is>
          <t>28.10.2024 15:38:23</t>
        </is>
      </c>
      <c r="M83" s="21" t="inlineStr">
        <is>
          <t>11 min</t>
        </is>
      </c>
      <c r="N83" s="21" t="inlineStr">
        <is>
          <t xml:space="preserve">         18K            18K             4K</t>
        </is>
      </c>
      <c r="O83" s="21" t="inlineStr">
        <is>
          <t>738jvbkArGJ5pr969bzTohhfCqqw4x6mnsxoyJY7pump</t>
        </is>
      </c>
      <c r="P83" s="21">
        <f>HYPERLINK("https://dexscreener.com/solana/738jvbkArGJ5pr969bzTohhfCqqw4x6mnsxoyJY7pump", "View")</f>
        <v/>
      </c>
    </row>
    <row r="84">
      <c r="A84" s="16" t="inlineStr">
        <is>
          <t>AI</t>
        </is>
      </c>
      <c r="B84" s="17" t="n">
        <v>2117339</v>
      </c>
      <c r="C84" s="17" t="n">
        <v>1058670</v>
      </c>
      <c r="D84" s="17" t="inlineStr">
        <is>
          <t>0.001110</t>
        </is>
      </c>
      <c r="E84" s="17" t="inlineStr">
        <is>
          <t>0.077 SOL</t>
        </is>
      </c>
      <c r="F84" s="17" t="inlineStr">
        <is>
          <t>0.000 SOL</t>
        </is>
      </c>
      <c r="G84" s="23" t="inlineStr">
        <is>
          <t>-0.077 SOL</t>
        </is>
      </c>
      <c r="H84" s="23" t="inlineStr">
        <is>
          <t>-99.58%</t>
        </is>
      </c>
      <c r="I84" s="17" t="inlineStr">
        <is>
          <t>N/A</t>
        </is>
      </c>
      <c r="J84" s="17" t="n">
        <v>1</v>
      </c>
      <c r="K84" s="17" t="n">
        <v>1</v>
      </c>
      <c r="L84" s="17" t="inlineStr">
        <is>
          <t>28.10.2024 15:27:06</t>
        </is>
      </c>
      <c r="M84" s="17" t="inlineStr">
        <is>
          <t>18 hours</t>
        </is>
      </c>
      <c r="N84" s="17" t="inlineStr">
        <is>
          <t xml:space="preserve">          7K             7K             5K</t>
        </is>
      </c>
      <c r="O84" s="17" t="inlineStr">
        <is>
          <t>4ktEhYgYhP7oYUPYwH4yQFQ8p3Vr3uQ8HMeccJdopump</t>
        </is>
      </c>
      <c r="P84" s="17">
        <f>HYPERLINK("https://photon-sol.tinyastro.io/en/lp/4ktEhYgYhP7oYUPYwH4yQFQ8p3Vr3uQ8HMeccJdopump?handle=676050794bc1b1657a56b", "View")</f>
        <v/>
      </c>
    </row>
    <row r="85">
      <c r="A85" s="20" t="inlineStr">
        <is>
          <t>xavier</t>
        </is>
      </c>
      <c r="B85" s="21" t="n">
        <v>67092</v>
      </c>
      <c r="C85" s="21" t="n">
        <v>0</v>
      </c>
      <c r="D85" s="21" t="inlineStr">
        <is>
          <t>0.000710</t>
        </is>
      </c>
      <c r="E85" s="21" t="inlineStr">
        <is>
          <t>0.075 SOL</t>
        </is>
      </c>
      <c r="F85" s="21" t="inlineStr">
        <is>
          <t>0.000 SOL</t>
        </is>
      </c>
      <c r="G85" s="18" t="inlineStr">
        <is>
          <t>-0.076 SOL</t>
        </is>
      </c>
      <c r="H85" s="18" t="inlineStr">
        <is>
          <t>0.00%</t>
        </is>
      </c>
      <c r="I85" s="21" t="inlineStr">
        <is>
          <t>67,092</t>
        </is>
      </c>
      <c r="J85" s="21" t="n">
        <v>1</v>
      </c>
      <c r="K85" s="21" t="n">
        <v>0</v>
      </c>
      <c r="L85" s="21" t="inlineStr">
        <is>
          <t>28.10.2024 15:24:23</t>
        </is>
      </c>
      <c r="M85" s="19" t="inlineStr">
        <is>
          <t>0 sec</t>
        </is>
      </c>
      <c r="N85" s="21" t="inlineStr">
        <is>
          <t xml:space="preserve">        197K           197K            39K</t>
        </is>
      </c>
      <c r="O85" s="21" t="inlineStr">
        <is>
          <t>69G8CpUVZAxbPMiEBrfCCCH445NwFxH6PzVL693Xpump</t>
        </is>
      </c>
      <c r="P85" s="21">
        <f>HYPERLINK("https://dexscreener.com/solana/69G8CpUVZAxbPMiEBrfCCCH445NwFxH6PzVL693Xpump", "View")</f>
        <v/>
      </c>
    </row>
    <row r="86">
      <c r="A86" s="16" t="inlineStr">
        <is>
          <t>TRENCH</t>
        </is>
      </c>
      <c r="B86" s="17" t="n">
        <v>1294022</v>
      </c>
      <c r="C86" s="17" t="n">
        <v>1294022</v>
      </c>
      <c r="D86" s="17" t="inlineStr">
        <is>
          <t>0.001410</t>
        </is>
      </c>
      <c r="E86" s="17" t="inlineStr">
        <is>
          <t>0.082 SOL</t>
        </is>
      </c>
      <c r="F86" s="17" t="inlineStr">
        <is>
          <t>0.583 SOL</t>
        </is>
      </c>
      <c r="G86" s="24" t="inlineStr">
        <is>
          <t>0.499 SOL</t>
        </is>
      </c>
      <c r="H86" s="24" t="inlineStr">
        <is>
          <t>597.54%</t>
        </is>
      </c>
      <c r="I86" s="17" t="inlineStr">
        <is>
          <t>N/A</t>
        </is>
      </c>
      <c r="J86" s="17" t="n">
        <v>1</v>
      </c>
      <c r="K86" s="17" t="n">
        <v>1</v>
      </c>
      <c r="L86" s="17" t="inlineStr">
        <is>
          <t>28.10.2024 15:22:02</t>
        </is>
      </c>
      <c r="M86" s="17" t="inlineStr">
        <is>
          <t>20 min</t>
        </is>
      </c>
      <c r="N86" s="17" t="inlineStr">
        <is>
          <t xml:space="preserve">         11K            11K             8K</t>
        </is>
      </c>
      <c r="O86" s="17" t="inlineStr">
        <is>
          <t>AnQCNde4nXGG4vT6XGpYJc7tyh1cjwyjC3raeRxnNN4F</t>
        </is>
      </c>
      <c r="P86" s="17">
        <f>HYPERLINK("https://photon-sol.tinyastro.io/en/lp/AnQCNde4nXGG4vT6XGpYJc7tyh1cjwyjC3raeRxnNN4F?handle=676050794bc1b1657a56b", "View")</f>
        <v/>
      </c>
    </row>
    <row r="87">
      <c r="A87" s="20" t="inlineStr">
        <is>
          <t>SirFloyd</t>
        </is>
      </c>
      <c r="B87" s="21" t="n">
        <v>629267</v>
      </c>
      <c r="C87" s="21" t="n">
        <v>471950</v>
      </c>
      <c r="D87" s="21" t="inlineStr">
        <is>
          <t>0.001410</t>
        </is>
      </c>
      <c r="E87" s="21" t="inlineStr">
        <is>
          <t>0.105 SOL</t>
        </is>
      </c>
      <c r="F87" s="21" t="inlineStr">
        <is>
          <t>0.032 SOL</t>
        </is>
      </c>
      <c r="G87" s="23" t="inlineStr">
        <is>
          <t>-0.074 SOL</t>
        </is>
      </c>
      <c r="H87" s="23" t="inlineStr">
        <is>
          <t>-69.72%</t>
        </is>
      </c>
      <c r="I87" s="21" t="inlineStr">
        <is>
          <t>N/A</t>
        </is>
      </c>
      <c r="J87" s="21" t="n">
        <v>1</v>
      </c>
      <c r="K87" s="21" t="n">
        <v>1</v>
      </c>
      <c r="L87" s="21" t="inlineStr">
        <is>
          <t>28.10.2024 15:20:17</t>
        </is>
      </c>
      <c r="M87" s="21" t="inlineStr">
        <is>
          <t>2 min</t>
        </is>
      </c>
      <c r="N87" s="21" t="inlineStr">
        <is>
          <t xml:space="preserve">         30K            30K             5K</t>
        </is>
      </c>
      <c r="O87" s="21" t="inlineStr">
        <is>
          <t>sjk6fNpHQEeWvk9sJrKEqTTLVZePbFqyeJSqB7kpump</t>
        </is>
      </c>
      <c r="P87" s="21">
        <f>HYPERLINK("https://photon-sol.tinyastro.io/en/lp/sjk6fNpHQEeWvk9sJrKEqTTLVZePbFqyeJSqB7kpump?handle=676050794bc1b1657a56b", "View")</f>
        <v/>
      </c>
    </row>
    <row r="88">
      <c r="A88" s="16" t="inlineStr">
        <is>
          <t>LUNIX</t>
        </is>
      </c>
      <c r="B88" s="17" t="n">
        <v>467678</v>
      </c>
      <c r="C88" s="17" t="n">
        <v>467678</v>
      </c>
      <c r="D88" s="17" t="inlineStr">
        <is>
          <t>0.002820</t>
        </is>
      </c>
      <c r="E88" s="17" t="inlineStr">
        <is>
          <t>0.100 SOL</t>
        </is>
      </c>
      <c r="F88" s="17" t="inlineStr">
        <is>
          <t>0.381 SOL</t>
        </is>
      </c>
      <c r="G88" s="24" t="inlineStr">
        <is>
          <t>0.278 SOL</t>
        </is>
      </c>
      <c r="H88" s="24" t="inlineStr">
        <is>
          <t>270.38%</t>
        </is>
      </c>
      <c r="I88" s="17" t="inlineStr">
        <is>
          <t>N/A</t>
        </is>
      </c>
      <c r="J88" s="17" t="n">
        <v>1</v>
      </c>
      <c r="K88" s="17" t="n">
        <v>3</v>
      </c>
      <c r="L88" s="17" t="inlineStr">
        <is>
          <t>28.10.2024 15:17:47</t>
        </is>
      </c>
      <c r="M88" s="17" t="inlineStr">
        <is>
          <t>6 min</t>
        </is>
      </c>
      <c r="N88" s="17" t="inlineStr">
        <is>
          <t xml:space="preserve">         37K            37K             4K</t>
        </is>
      </c>
      <c r="O88" s="17" t="inlineStr">
        <is>
          <t>DsDzFKro1PRxCX2CAuAKaYuc9uHRhmgtbrYLwWa3pump</t>
        </is>
      </c>
      <c r="P88" s="17">
        <f>HYPERLINK("https://photon-sol.tinyastro.io/en/lp/DsDzFKro1PRxCX2CAuAKaYuc9uHRhmgtbrYLwWa3pump?handle=676050794bc1b1657a56b", "View")</f>
        <v/>
      </c>
    </row>
    <row r="89">
      <c r="A89" s="20" t="inlineStr">
        <is>
          <t>AllAI</t>
        </is>
      </c>
      <c r="B89" s="21" t="n">
        <v>1646010</v>
      </c>
      <c r="C89" s="21" t="n">
        <v>0</v>
      </c>
      <c r="D89" s="21" t="inlineStr">
        <is>
          <t>0.000710</t>
        </is>
      </c>
      <c r="E89" s="21" t="inlineStr">
        <is>
          <t>0.107 SOL</t>
        </is>
      </c>
      <c r="F89" s="21" t="inlineStr">
        <is>
          <t>0.000 SOL</t>
        </is>
      </c>
      <c r="G89" s="18" t="inlineStr">
        <is>
          <t>-0.107 SOL</t>
        </is>
      </c>
      <c r="H89" s="18" t="inlineStr">
        <is>
          <t>0.00%</t>
        </is>
      </c>
      <c r="I89" s="21" t="inlineStr">
        <is>
          <t>1,646,010</t>
        </is>
      </c>
      <c r="J89" s="21" t="n">
        <v>1</v>
      </c>
      <c r="K89" s="21" t="n">
        <v>0</v>
      </c>
      <c r="L89" s="21" t="inlineStr">
        <is>
          <t>28.10.2024 15:15:05</t>
        </is>
      </c>
      <c r="M89" s="19" t="inlineStr">
        <is>
          <t>0 sec</t>
        </is>
      </c>
      <c r="N89" s="21" t="inlineStr">
        <is>
          <t xml:space="preserve">         11K            11K             5K</t>
        </is>
      </c>
      <c r="O89" s="21" t="inlineStr">
        <is>
          <t>GQobcP4xokNpNK9oKghwDdeACtsw4AyP3Lpq7ghjpump</t>
        </is>
      </c>
      <c r="P89" s="21">
        <f>HYPERLINK("https://photon-sol.tinyastro.io/en/lp/GQobcP4xokNpNK9oKghwDdeACtsw4AyP3Lpq7ghjpump?handle=676050794bc1b1657a56b", "View")</f>
        <v/>
      </c>
    </row>
    <row r="90">
      <c r="A90" s="16" t="inlineStr">
        <is>
          <t>ZOA</t>
        </is>
      </c>
      <c r="B90" s="17" t="n">
        <v>654144</v>
      </c>
      <c r="C90" s="17" t="n">
        <v>623866</v>
      </c>
      <c r="D90" s="17" t="inlineStr">
        <is>
          <t>0.017040</t>
        </is>
      </c>
      <c r="E90" s="17" t="inlineStr">
        <is>
          <t>0.098 SOL</t>
        </is>
      </c>
      <c r="F90" s="17" t="inlineStr">
        <is>
          <t>7.125 SOL</t>
        </is>
      </c>
      <c r="G90" s="24" t="inlineStr">
        <is>
          <t>7.010 SOL</t>
        </is>
      </c>
      <c r="H90" s="24" t="inlineStr">
        <is>
          <t>6068.15%</t>
        </is>
      </c>
      <c r="I90" s="17" t="inlineStr">
        <is>
          <t>N/A</t>
        </is>
      </c>
      <c r="J90" s="17" t="n">
        <v>1</v>
      </c>
      <c r="K90" s="17" t="n">
        <v>27</v>
      </c>
      <c r="L90" s="17" t="inlineStr">
        <is>
          <t>28.10.2024 15:13:15</t>
        </is>
      </c>
      <c r="M90" s="17" t="inlineStr">
        <is>
          <t>17 hours</t>
        </is>
      </c>
      <c r="N90" s="17" t="inlineStr">
        <is>
          <t xml:space="preserve">         26K            26K           297K</t>
        </is>
      </c>
      <c r="O90" s="17" t="inlineStr">
        <is>
          <t>AwcCFuJgUYNYHXm6tHhr7DsXDY6FKvXUt2DFjmgHpump</t>
        </is>
      </c>
      <c r="P90" s="17">
        <f>HYPERLINK("https://photon-sol.tinyastro.io/en/lp/AwcCFuJgUYNYHXm6tHhr7DsXDY6FKvXUt2DFjmgHpump?handle=676050794bc1b1657a56b", "View")</f>
        <v/>
      </c>
    </row>
    <row r="91">
      <c r="A91" s="20" t="inlineStr">
        <is>
          <t>AvatarOS</t>
        </is>
      </c>
      <c r="B91" s="21" t="n">
        <v>84694</v>
      </c>
      <c r="C91" s="21" t="n">
        <v>42347</v>
      </c>
      <c r="D91" s="21" t="inlineStr">
        <is>
          <t>0.001820</t>
        </is>
      </c>
      <c r="E91" s="21" t="inlineStr">
        <is>
          <t>0.085 SOL</t>
        </is>
      </c>
      <c r="F91" s="21" t="inlineStr">
        <is>
          <t>0.053 SOL</t>
        </is>
      </c>
      <c r="G91" s="25" t="inlineStr">
        <is>
          <t>-0.034 SOL</t>
        </is>
      </c>
      <c r="H91" s="25" t="inlineStr">
        <is>
          <t>-38.98%</t>
        </is>
      </c>
      <c r="I91" s="21" t="inlineStr">
        <is>
          <t>N/A</t>
        </is>
      </c>
      <c r="J91" s="21" t="n">
        <v>2</v>
      </c>
      <c r="K91" s="21" t="n">
        <v>1</v>
      </c>
      <c r="L91" s="21" t="inlineStr">
        <is>
          <t>28.10.2024 14:52:56</t>
        </is>
      </c>
      <c r="M91" s="21" t="inlineStr">
        <is>
          <t>1 hours</t>
        </is>
      </c>
      <c r="N91" s="21" t="inlineStr">
        <is>
          <t xml:space="preserve">        167K           302K             8K</t>
        </is>
      </c>
      <c r="O91" s="21" t="inlineStr">
        <is>
          <t>8q3PiifMQxnjs1NAETVXw8xMVN8q3Zfuoops9BSjpump</t>
        </is>
      </c>
      <c r="P91" s="21">
        <f>HYPERLINK("https://dexscreener.com/solana/8q3PiifMQxnjs1NAETVXw8xMVN8q3Zfuoops9BSjpump", "View")</f>
        <v/>
      </c>
    </row>
    <row r="92">
      <c r="A92" s="16" t="inlineStr">
        <is>
          <t>LARPAI</t>
        </is>
      </c>
      <c r="B92" s="17" t="n">
        <v>34464</v>
      </c>
      <c r="C92" s="17" t="n">
        <v>0</v>
      </c>
      <c r="D92" s="17" t="inlineStr">
        <is>
          <t>0.000710</t>
        </is>
      </c>
      <c r="E92" s="17" t="inlineStr">
        <is>
          <t>0.100 SOL</t>
        </is>
      </c>
      <c r="F92" s="17" t="inlineStr">
        <is>
          <t>0.000 SOL</t>
        </is>
      </c>
      <c r="G92" s="18" t="inlineStr">
        <is>
          <t>-0.101 SOL</t>
        </is>
      </c>
      <c r="H92" s="18" t="inlineStr">
        <is>
          <t>0.00%</t>
        </is>
      </c>
      <c r="I92" s="17" t="inlineStr">
        <is>
          <t>34,464</t>
        </is>
      </c>
      <c r="J92" s="17" t="n">
        <v>1</v>
      </c>
      <c r="K92" s="17" t="n">
        <v>0</v>
      </c>
      <c r="L92" s="17" t="inlineStr">
        <is>
          <t>28.10.2024 14:35:03</t>
        </is>
      </c>
      <c r="M92" s="19" t="inlineStr">
        <is>
          <t>0 sec</t>
        </is>
      </c>
      <c r="N92" s="17" t="inlineStr">
        <is>
          <t xml:space="preserve">        509K           509K            14K</t>
        </is>
      </c>
      <c r="O92" s="17" t="inlineStr">
        <is>
          <t>Z5qTBYTgbK9nezJPSLxuJEpEhDimcJKLq9xN6MF2sh1</t>
        </is>
      </c>
      <c r="P92" s="17">
        <f>HYPERLINK("https://dexscreener.com/solana/Z5qTBYTgbK9nezJPSLxuJEpEhDimcJKLq9xN6MF2sh1", "View")</f>
        <v/>
      </c>
    </row>
    <row r="93">
      <c r="A93" s="20" t="inlineStr">
        <is>
          <t>🎈</t>
        </is>
      </c>
      <c r="B93" s="21" t="n">
        <v>96232</v>
      </c>
      <c r="C93" s="21" t="n">
        <v>0</v>
      </c>
      <c r="D93" s="21" t="inlineStr">
        <is>
          <t>0.000710</t>
        </is>
      </c>
      <c r="E93" s="21" t="inlineStr">
        <is>
          <t>0.075 SOL</t>
        </is>
      </c>
      <c r="F93" s="21" t="inlineStr">
        <is>
          <t>0.000 SOL</t>
        </is>
      </c>
      <c r="G93" s="18" t="inlineStr">
        <is>
          <t>-0.076 SOL</t>
        </is>
      </c>
      <c r="H93" s="18" t="inlineStr">
        <is>
          <t>0.00%</t>
        </is>
      </c>
      <c r="I93" s="21" t="inlineStr">
        <is>
          <t>96,232</t>
        </is>
      </c>
      <c r="J93" s="21" t="n">
        <v>1</v>
      </c>
      <c r="K93" s="21" t="n">
        <v>0</v>
      </c>
      <c r="L93" s="21" t="inlineStr">
        <is>
          <t>28.10.2024 14:20:52</t>
        </is>
      </c>
      <c r="M93" s="19" t="inlineStr">
        <is>
          <t>0 sec</t>
        </is>
      </c>
      <c r="N93" s="21" t="inlineStr">
        <is>
          <t xml:space="preserve">        137K           137K             4K</t>
        </is>
      </c>
      <c r="O93" s="21" t="inlineStr">
        <is>
          <t>DFwNZPHkZWix2LutzYKD5rzpyayKSLY5Uw88pRDypump</t>
        </is>
      </c>
      <c r="P93" s="21">
        <f>HYPERLINK("https://dexscreener.com/solana/DFwNZPHkZWix2LutzYKD5rzpyayKSLY5Uw88pRDypump", "View")</f>
        <v/>
      </c>
    </row>
    <row r="94">
      <c r="A94" s="16" t="inlineStr">
        <is>
          <t>HLLWN</t>
        </is>
      </c>
      <c r="B94" s="17" t="n">
        <v>141728</v>
      </c>
      <c r="C94" s="17" t="n">
        <v>35432</v>
      </c>
      <c r="D94" s="17" t="inlineStr">
        <is>
          <t>0.001410</t>
        </is>
      </c>
      <c r="E94" s="17" t="inlineStr">
        <is>
          <t>0.100 SOL</t>
        </is>
      </c>
      <c r="F94" s="17" t="inlineStr">
        <is>
          <t>0.038 SOL</t>
        </is>
      </c>
      <c r="G94" s="23" t="inlineStr">
        <is>
          <t>-0.064 SOL</t>
        </is>
      </c>
      <c r="H94" s="23" t="inlineStr">
        <is>
          <t>-62.90%</t>
        </is>
      </c>
      <c r="I94" s="17" t="inlineStr">
        <is>
          <t>N/A</t>
        </is>
      </c>
      <c r="J94" s="17" t="n">
        <v>1</v>
      </c>
      <c r="K94" s="17" t="n">
        <v>1</v>
      </c>
      <c r="L94" s="17" t="inlineStr">
        <is>
          <t>28.10.2024 14:02:51</t>
        </is>
      </c>
      <c r="M94" s="17" t="inlineStr">
        <is>
          <t>1 hours</t>
        </is>
      </c>
      <c r="N94" s="17" t="inlineStr">
        <is>
          <t xml:space="preserve">        125K           125K             5K</t>
        </is>
      </c>
      <c r="O94" s="17" t="inlineStr">
        <is>
          <t>CVcAA5iKzvQg5yYrEFs3AoRWZZUgdpNKUEeyaUPpump</t>
        </is>
      </c>
      <c r="P94" s="17">
        <f>HYPERLINK("https://dexscreener.com/solana/CVcAA5iKzvQg5yYrEFs3AoRWZZUgdpNKUEeyaUPpump", "View")</f>
        <v/>
      </c>
    </row>
    <row r="95">
      <c r="A95" s="20" t="inlineStr">
        <is>
          <t>IA</t>
        </is>
      </c>
      <c r="B95" s="21" t="n">
        <v>338053</v>
      </c>
      <c r="C95" s="21" t="n">
        <v>0</v>
      </c>
      <c r="D95" s="21" t="inlineStr">
        <is>
          <t>0.000710</t>
        </is>
      </c>
      <c r="E95" s="21" t="inlineStr">
        <is>
          <t>0.075 SOL</t>
        </is>
      </c>
      <c r="F95" s="21" t="inlineStr">
        <is>
          <t>0.000 SOL</t>
        </is>
      </c>
      <c r="G95" s="18" t="inlineStr">
        <is>
          <t>-0.076 SOL</t>
        </is>
      </c>
      <c r="H95" s="18" t="inlineStr">
        <is>
          <t>0.00%</t>
        </is>
      </c>
      <c r="I95" s="21" t="inlineStr">
        <is>
          <t>338,053</t>
        </is>
      </c>
      <c r="J95" s="21" t="n">
        <v>1</v>
      </c>
      <c r="K95" s="21" t="n">
        <v>0</v>
      </c>
      <c r="L95" s="21" t="inlineStr">
        <is>
          <t>28.10.2024 13:13:59</t>
        </is>
      </c>
      <c r="M95" s="19" t="inlineStr">
        <is>
          <t>0 sec</t>
        </is>
      </c>
      <c r="N95" s="21" t="inlineStr">
        <is>
          <t xml:space="preserve">         39K            39K             4K</t>
        </is>
      </c>
      <c r="O95" s="21" t="inlineStr">
        <is>
          <t>8tASPZToUJYaB8LPK6YftH3TghCX9aQd8v9Tnqgtpump</t>
        </is>
      </c>
      <c r="P95" s="21">
        <f>HYPERLINK("https://dexscreener.com/solana/8tASPZToUJYaB8LPK6YftH3TghCX9aQd8v9Tnqgtpump", "View")</f>
        <v/>
      </c>
    </row>
    <row r="96">
      <c r="A96" s="16" t="inlineStr">
        <is>
          <t>x982a{j:+</t>
        </is>
      </c>
      <c r="B96" s="17" t="n">
        <v>1030070</v>
      </c>
      <c r="C96" s="17" t="n">
        <v>257518</v>
      </c>
      <c r="D96" s="17" t="inlineStr">
        <is>
          <t>0.002120</t>
        </is>
      </c>
      <c r="E96" s="17" t="inlineStr">
        <is>
          <t>0.112 SOL</t>
        </is>
      </c>
      <c r="F96" s="17" t="inlineStr">
        <is>
          <t>0.035 SOL</t>
        </is>
      </c>
      <c r="G96" s="23" t="inlineStr">
        <is>
          <t>-0.079 SOL</t>
        </is>
      </c>
      <c r="H96" s="23" t="inlineStr">
        <is>
          <t>-69.36%</t>
        </is>
      </c>
      <c r="I96" s="17" t="inlineStr">
        <is>
          <t>N/A</t>
        </is>
      </c>
      <c r="J96" s="17" t="n">
        <v>2</v>
      </c>
      <c r="K96" s="17" t="n">
        <v>1</v>
      </c>
      <c r="L96" s="17" t="inlineStr">
        <is>
          <t>28.10.2024 13:05:22</t>
        </is>
      </c>
      <c r="M96" s="17" t="inlineStr">
        <is>
          <t>8 min</t>
        </is>
      </c>
      <c r="N96" s="17" t="inlineStr">
        <is>
          <t xml:space="preserve">         67K            18K             7K</t>
        </is>
      </c>
      <c r="O96" s="17" t="inlineStr">
        <is>
          <t>9RiG5eXy9zExjCFuY9npNrSSzZestokgSP4mgpCiK9f8</t>
        </is>
      </c>
      <c r="P96" s="17">
        <f>HYPERLINK("https://photon-sol.tinyastro.io/en/lp/9RiG5eXy9zExjCFuY9npNrSSzZestokgSP4mgpCiK9f8?handle=676050794bc1b1657a56b", "View")</f>
        <v/>
      </c>
    </row>
    <row r="97">
      <c r="A97" s="20" t="inlineStr">
        <is>
          <t>CLEMENTINE</t>
        </is>
      </c>
      <c r="B97" s="21" t="n">
        <v>1494585</v>
      </c>
      <c r="C97" s="21" t="n">
        <v>0</v>
      </c>
      <c r="D97" s="21" t="inlineStr">
        <is>
          <t>0.001410</t>
        </is>
      </c>
      <c r="E97" s="21" t="inlineStr">
        <is>
          <t>0.101 SOL</t>
        </is>
      </c>
      <c r="F97" s="21" t="inlineStr">
        <is>
          <t>0.000 SOL</t>
        </is>
      </c>
      <c r="G97" s="18" t="inlineStr">
        <is>
          <t>-0.102 SOL</t>
        </is>
      </c>
      <c r="H97" s="18" t="inlineStr">
        <is>
          <t>0.00%</t>
        </is>
      </c>
      <c r="I97" s="21" t="inlineStr">
        <is>
          <t>1,494,585</t>
        </is>
      </c>
      <c r="J97" s="21" t="n">
        <v>2</v>
      </c>
      <c r="K97" s="21" t="n">
        <v>0</v>
      </c>
      <c r="L97" s="21" t="inlineStr">
        <is>
          <t>28.10.2024 12:47:27</t>
        </is>
      </c>
      <c r="M97" s="21" t="inlineStr">
        <is>
          <t>1 min</t>
        </is>
      </c>
      <c r="N97" s="21" t="inlineStr">
        <is>
          <t xml:space="preserve">         21K             9K             5K</t>
        </is>
      </c>
      <c r="O97" s="21" t="inlineStr">
        <is>
          <t>B2QYkRZURXV4DbWMGnJhmqij6QNp7sRWx4jHY4hkpump</t>
        </is>
      </c>
      <c r="P97" s="21">
        <f>HYPERLINK("https://photon-sol.tinyastro.io/en/lp/B2QYkRZURXV4DbWMGnJhmqij6QNp7sRWx4jHY4hkpump?handle=676050794bc1b1657a56b", "View")</f>
        <v/>
      </c>
    </row>
    <row r="98">
      <c r="A98" s="16" t="inlineStr">
        <is>
          <t>Rik</t>
        </is>
      </c>
      <c r="B98" s="17" t="n">
        <v>201467</v>
      </c>
      <c r="C98" s="17" t="n">
        <v>0</v>
      </c>
      <c r="D98" s="17" t="inlineStr">
        <is>
          <t>0.000710</t>
        </is>
      </c>
      <c r="E98" s="17" t="inlineStr">
        <is>
          <t>0.100 SOL</t>
        </is>
      </c>
      <c r="F98" s="17" t="inlineStr">
        <is>
          <t>0.000 SOL</t>
        </is>
      </c>
      <c r="G98" s="18" t="inlineStr">
        <is>
          <t>-0.101 SOL</t>
        </is>
      </c>
      <c r="H98" s="18" t="inlineStr">
        <is>
          <t>0.00%</t>
        </is>
      </c>
      <c r="I98" s="17" t="inlineStr">
        <is>
          <t>201,467</t>
        </is>
      </c>
      <c r="J98" s="17" t="n">
        <v>1</v>
      </c>
      <c r="K98" s="17" t="n">
        <v>0</v>
      </c>
      <c r="L98" s="17" t="inlineStr">
        <is>
          <t>28.10.2024 12:41:48</t>
        </is>
      </c>
      <c r="M98" s="19" t="inlineStr">
        <is>
          <t>0 sec</t>
        </is>
      </c>
      <c r="N98" s="17" t="inlineStr">
        <is>
          <t xml:space="preserve">         88K            88K             4K</t>
        </is>
      </c>
      <c r="O98" s="17" t="inlineStr">
        <is>
          <t>3qYVvs3NT2tvBwYe5KSmDMZDWwVbAsJq6aTAC95opump</t>
        </is>
      </c>
      <c r="P98" s="17">
        <f>HYPERLINK("https://dexscreener.com/solana/3qYVvs3NT2tvBwYe5KSmDMZDWwVbAsJq6aTAC95opump", "View")</f>
        <v/>
      </c>
    </row>
    <row r="99">
      <c r="A99" s="20" t="inlineStr">
        <is>
          <t>GOTCH</t>
        </is>
      </c>
      <c r="B99" s="21" t="n">
        <v>70180</v>
      </c>
      <c r="C99" s="21" t="n">
        <v>0</v>
      </c>
      <c r="D99" s="21" t="inlineStr">
        <is>
          <t>0.000710</t>
        </is>
      </c>
      <c r="E99" s="21" t="inlineStr">
        <is>
          <t>0.100 SOL</t>
        </is>
      </c>
      <c r="F99" s="21" t="inlineStr">
        <is>
          <t>0.000 SOL</t>
        </is>
      </c>
      <c r="G99" s="18" t="inlineStr">
        <is>
          <t>-0.101 SOL</t>
        </is>
      </c>
      <c r="H99" s="18" t="inlineStr">
        <is>
          <t>0.00%</t>
        </is>
      </c>
      <c r="I99" s="21" t="inlineStr">
        <is>
          <t>70,180</t>
        </is>
      </c>
      <c r="J99" s="21" t="n">
        <v>1</v>
      </c>
      <c r="K99" s="21" t="n">
        <v>0</v>
      </c>
      <c r="L99" s="21" t="inlineStr">
        <is>
          <t>28.10.2024 12:10:28</t>
        </is>
      </c>
      <c r="M99" s="19" t="inlineStr">
        <is>
          <t>0 sec</t>
        </is>
      </c>
      <c r="N99" s="21" t="inlineStr">
        <is>
          <t xml:space="preserve">        249K           249K             6K</t>
        </is>
      </c>
      <c r="O99" s="21" t="inlineStr">
        <is>
          <t>78ao5qrL3WPJ1u6i6cjQMi4iCzq43YECPyNMT2cpump</t>
        </is>
      </c>
      <c r="P99" s="21">
        <f>HYPERLINK("https://dexscreener.com/solana/78ao5qrL3WPJ1u6i6cjQMi4iCzq43YECPyNMT2cpump", "View")</f>
        <v/>
      </c>
    </row>
    <row r="100">
      <c r="A100" s="16" t="inlineStr">
        <is>
          <t>TT</t>
        </is>
      </c>
      <c r="B100" s="17" t="n">
        <v>577404</v>
      </c>
      <c r="C100" s="17" t="n">
        <v>577404</v>
      </c>
      <c r="D100" s="17" t="inlineStr">
        <is>
          <t>0.001410</t>
        </is>
      </c>
      <c r="E100" s="17" t="inlineStr">
        <is>
          <t>0.112 SOL</t>
        </is>
      </c>
      <c r="F100" s="17" t="inlineStr">
        <is>
          <t>0.127 SOL</t>
        </is>
      </c>
      <c r="G100" s="22" t="inlineStr">
        <is>
          <t>0.013 SOL</t>
        </is>
      </c>
      <c r="H100" s="22" t="inlineStr">
        <is>
          <t>11.57%</t>
        </is>
      </c>
      <c r="I100" s="17" t="inlineStr">
        <is>
          <t>N/A</t>
        </is>
      </c>
      <c r="J100" s="17" t="n">
        <v>1</v>
      </c>
      <c r="K100" s="17" t="n">
        <v>1</v>
      </c>
      <c r="L100" s="17" t="inlineStr">
        <is>
          <t>28.10.2024 06:47:18</t>
        </is>
      </c>
      <c r="M100" s="19" t="inlineStr">
        <is>
          <t>52 sec</t>
        </is>
      </c>
      <c r="N100" s="17" t="inlineStr">
        <is>
          <t xml:space="preserve">         33K            39K             5K</t>
        </is>
      </c>
      <c r="O100" s="17" t="inlineStr">
        <is>
          <t>3aQGUbyruXP9cFvsjcoVSpmGJ33XLACPqfzgD89Xpump</t>
        </is>
      </c>
      <c r="P100" s="17">
        <f>HYPERLINK("https://photon-sol.tinyastro.io/en/lp/3aQGUbyruXP9cFvsjcoVSpmGJ33XLACPqfzgD89Xpump?handle=676050794bc1b1657a56b", "View")</f>
        <v/>
      </c>
    </row>
    <row r="101">
      <c r="A101" s="20" t="inlineStr">
        <is>
          <t>CRYPTOIDS</t>
        </is>
      </c>
      <c r="B101" s="21" t="n">
        <v>32404</v>
      </c>
      <c r="C101" s="21" t="n">
        <v>0</v>
      </c>
      <c r="D101" s="21" t="inlineStr">
        <is>
          <t>0.000710</t>
        </is>
      </c>
      <c r="E101" s="21" t="inlineStr">
        <is>
          <t>0.075 SOL</t>
        </is>
      </c>
      <c r="F101" s="21" t="inlineStr">
        <is>
          <t>0.000 SOL</t>
        </is>
      </c>
      <c r="G101" s="18" t="inlineStr">
        <is>
          <t>-0.076 SOL</t>
        </is>
      </c>
      <c r="H101" s="18" t="inlineStr">
        <is>
          <t>0.00%</t>
        </is>
      </c>
      <c r="I101" s="21" t="inlineStr">
        <is>
          <t>32,404</t>
        </is>
      </c>
      <c r="J101" s="21" t="n">
        <v>1</v>
      </c>
      <c r="K101" s="21" t="n">
        <v>0</v>
      </c>
      <c r="L101" s="21" t="inlineStr">
        <is>
          <t>28.10.2024 05:20:19</t>
        </is>
      </c>
      <c r="M101" s="19" t="inlineStr">
        <is>
          <t>0 sec</t>
        </is>
      </c>
      <c r="N101" s="21" t="inlineStr">
        <is>
          <t xml:space="preserve">        406K           406K             4K</t>
        </is>
      </c>
      <c r="O101" s="21" t="inlineStr">
        <is>
          <t>14aD1cQRLTxDNJAtvkPx8iqqssjHqjRLXAL5wPaipump</t>
        </is>
      </c>
      <c r="P101" s="21">
        <f>HYPERLINK("https://dexscreener.com/solana/14aD1cQRLTxDNJAtvkPx8iqqssjHqjRLXAL5wPaipump", "View")</f>
        <v/>
      </c>
    </row>
    <row r="102">
      <c r="A102" s="16" t="inlineStr">
        <is>
          <t>Toad</t>
        </is>
      </c>
      <c r="B102" s="17" t="n">
        <v>28427</v>
      </c>
      <c r="C102" s="17" t="n">
        <v>0</v>
      </c>
      <c r="D102" s="17" t="inlineStr">
        <is>
          <t>0.000710</t>
        </is>
      </c>
      <c r="E102" s="17" t="inlineStr">
        <is>
          <t>0.075 SOL</t>
        </is>
      </c>
      <c r="F102" s="17" t="inlineStr">
        <is>
          <t>0.000 SOL</t>
        </is>
      </c>
      <c r="G102" s="18" t="inlineStr">
        <is>
          <t>-0.076 SOL</t>
        </is>
      </c>
      <c r="H102" s="18" t="inlineStr">
        <is>
          <t>0.00%</t>
        </is>
      </c>
      <c r="I102" s="17" t="inlineStr">
        <is>
          <t>28,427</t>
        </is>
      </c>
      <c r="J102" s="17" t="n">
        <v>1</v>
      </c>
      <c r="K102" s="17" t="n">
        <v>0</v>
      </c>
      <c r="L102" s="17" t="inlineStr">
        <is>
          <t>28.10.2024 02:44:23</t>
        </is>
      </c>
      <c r="M102" s="19" t="inlineStr">
        <is>
          <t>0 sec</t>
        </is>
      </c>
      <c r="N102" s="17" t="inlineStr">
        <is>
          <t xml:space="preserve">        464K           464K            73K</t>
        </is>
      </c>
      <c r="O102" s="17" t="inlineStr">
        <is>
          <t>7xn2T1x7xw5quHmzy2YvFWyFUNwp75fsw5bxiXGRpump</t>
        </is>
      </c>
      <c r="P102" s="17">
        <f>HYPERLINK("https://dexscreener.com/solana/7xn2T1x7xw5quHmzy2YvFWyFUNwp75fsw5bxiXGRpump", "View")</f>
        <v/>
      </c>
    </row>
    <row r="103">
      <c r="A103" s="20" t="inlineStr">
        <is>
          <t>DARIUS</t>
        </is>
      </c>
      <c r="B103" s="21" t="n">
        <v>108002</v>
      </c>
      <c r="C103" s="21" t="n">
        <v>0</v>
      </c>
      <c r="D103" s="21" t="inlineStr">
        <is>
          <t>0.000710</t>
        </is>
      </c>
      <c r="E103" s="21" t="inlineStr">
        <is>
          <t>0.075 SOL</t>
        </is>
      </c>
      <c r="F103" s="21" t="inlineStr">
        <is>
          <t>0.000 SOL</t>
        </is>
      </c>
      <c r="G103" s="18" t="inlineStr">
        <is>
          <t>-0.076 SOL</t>
        </is>
      </c>
      <c r="H103" s="18" t="inlineStr">
        <is>
          <t>0.00%</t>
        </is>
      </c>
      <c r="I103" s="21" t="inlineStr">
        <is>
          <t>108,002</t>
        </is>
      </c>
      <c r="J103" s="21" t="n">
        <v>1</v>
      </c>
      <c r="K103" s="21" t="n">
        <v>0</v>
      </c>
      <c r="L103" s="21" t="inlineStr">
        <is>
          <t>28.10.2024 02:33:39</t>
        </is>
      </c>
      <c r="M103" s="19" t="inlineStr">
        <is>
          <t>0 sec</t>
        </is>
      </c>
      <c r="N103" s="21" t="inlineStr">
        <is>
          <t xml:space="preserve">        121K           121K           130K</t>
        </is>
      </c>
      <c r="O103" s="21" t="inlineStr">
        <is>
          <t>8QXM6vf7E1TUJ9MvFf8p6BDWCYwBLYd9T26MPiprsX3w</t>
        </is>
      </c>
      <c r="P103" s="21">
        <f>HYPERLINK("https://dexscreener.com/solana/8QXM6vf7E1TUJ9MvFf8p6BDWCYwBLYd9T26MPiprsX3w", "View")</f>
        <v/>
      </c>
    </row>
    <row r="104">
      <c r="A104" s="16" t="inlineStr">
        <is>
          <t>MEMEMAXI</t>
        </is>
      </c>
      <c r="B104" s="17" t="n">
        <v>41078</v>
      </c>
      <c r="C104" s="17" t="n">
        <v>10270</v>
      </c>
      <c r="D104" s="17" t="inlineStr">
        <is>
          <t>0.001410</t>
        </is>
      </c>
      <c r="E104" s="17" t="inlineStr">
        <is>
          <t>0.075 SOL</t>
        </is>
      </c>
      <c r="F104" s="17" t="inlineStr">
        <is>
          <t>0.037 SOL</t>
        </is>
      </c>
      <c r="G104" s="23" t="inlineStr">
        <is>
          <t>-0.039 SOL</t>
        </is>
      </c>
      <c r="H104" s="23" t="inlineStr">
        <is>
          <t>-51.47%</t>
        </is>
      </c>
      <c r="I104" s="17" t="inlineStr">
        <is>
          <t>N/A</t>
        </is>
      </c>
      <c r="J104" s="17" t="n">
        <v>1</v>
      </c>
      <c r="K104" s="17" t="n">
        <v>1</v>
      </c>
      <c r="L104" s="17" t="inlineStr">
        <is>
          <t>27.10.2024 22:49:05</t>
        </is>
      </c>
      <c r="M104" s="17" t="inlineStr">
        <is>
          <t>1 hours</t>
        </is>
      </c>
      <c r="N104" s="17" t="inlineStr">
        <is>
          <t xml:space="preserve">        321K           321K            12K</t>
        </is>
      </c>
      <c r="O104" s="17" t="inlineStr">
        <is>
          <t>Cc4sinjiaruP69C7Eotftsu2AjFHAaKZyGtpaLbApump</t>
        </is>
      </c>
      <c r="P104" s="17">
        <f>HYPERLINK("https://dexscreener.com/solana/Cc4sinjiaruP69C7Eotftsu2AjFHAaKZyGtpaLbApump", "View")</f>
        <v/>
      </c>
    </row>
    <row r="105">
      <c r="A105" s="20" t="inlineStr">
        <is>
          <t>Profit</t>
        </is>
      </c>
      <c r="B105" s="21" t="n">
        <v>269366</v>
      </c>
      <c r="C105" s="21" t="n">
        <v>0</v>
      </c>
      <c r="D105" s="21" t="inlineStr">
        <is>
          <t>0.000710</t>
        </is>
      </c>
      <c r="E105" s="21" t="inlineStr">
        <is>
          <t>0.085 SOL</t>
        </is>
      </c>
      <c r="F105" s="21" t="inlineStr">
        <is>
          <t>0.000 SOL</t>
        </is>
      </c>
      <c r="G105" s="18" t="inlineStr">
        <is>
          <t>-0.085 SOL</t>
        </is>
      </c>
      <c r="H105" s="18" t="inlineStr">
        <is>
          <t>0.00%</t>
        </is>
      </c>
      <c r="I105" s="21" t="inlineStr">
        <is>
          <t>269,366</t>
        </is>
      </c>
      <c r="J105" s="21" t="n">
        <v>1</v>
      </c>
      <c r="K105" s="21" t="n">
        <v>0</v>
      </c>
      <c r="L105" s="21" t="inlineStr">
        <is>
          <t>27.10.2024 22:36:48</t>
        </is>
      </c>
      <c r="M105" s="19" t="inlineStr">
        <is>
          <t>0 sec</t>
        </is>
      </c>
      <c r="N105" s="21" t="inlineStr">
        <is>
          <t xml:space="preserve">         54K            54K             6K</t>
        </is>
      </c>
      <c r="O105" s="21" t="inlineStr">
        <is>
          <t>F56SaheWy5U96xHnGaR8GAZiTpwp3kFrRZcBbHWtpump</t>
        </is>
      </c>
      <c r="P105" s="21">
        <f>HYPERLINK("https://photon-sol.tinyastro.io/en/lp/F56SaheWy5U96xHnGaR8GAZiTpwp3kFrRZcBbHWtpump?handle=676050794bc1b1657a56b", "View")</f>
        <v/>
      </c>
    </row>
    <row r="106">
      <c r="A106" s="16" t="inlineStr">
        <is>
          <t>FOREVER</t>
        </is>
      </c>
      <c r="B106" s="17" t="n">
        <v>855111</v>
      </c>
      <c r="C106" s="17" t="n">
        <v>855111</v>
      </c>
      <c r="D106" s="17" t="inlineStr">
        <is>
          <t>0.001410</t>
        </is>
      </c>
      <c r="E106" s="17" t="inlineStr">
        <is>
          <t>0.088 SOL</t>
        </is>
      </c>
      <c r="F106" s="17" t="inlineStr">
        <is>
          <t>0.068 SOL</t>
        </is>
      </c>
      <c r="G106" s="25" t="inlineStr">
        <is>
          <t>-0.022 SOL</t>
        </is>
      </c>
      <c r="H106" s="25" t="inlineStr">
        <is>
          <t>-24.18%</t>
        </is>
      </c>
      <c r="I106" s="17" t="inlineStr">
        <is>
          <t>N/A</t>
        </is>
      </c>
      <c r="J106" s="17" t="n">
        <v>1</v>
      </c>
      <c r="K106" s="17" t="n">
        <v>1</v>
      </c>
      <c r="L106" s="17" t="inlineStr">
        <is>
          <t>27.10.2024 22:19:21</t>
        </is>
      </c>
      <c r="M106" s="19" t="inlineStr">
        <is>
          <t>13 sec</t>
        </is>
      </c>
      <c r="N106" s="17" t="inlineStr">
        <is>
          <t xml:space="preserve">         18K            14K             5K</t>
        </is>
      </c>
      <c r="O106" s="17" t="inlineStr">
        <is>
          <t>6Kt6fyL87dPcyjaehBsMNAQ3PKSCPTJyPM67ZgNGpump</t>
        </is>
      </c>
      <c r="P106" s="17">
        <f>HYPERLINK("https://photon-sol.tinyastro.io/en/lp/6Kt6fyL87dPcyjaehBsMNAQ3PKSCPTJyPM67ZgNGpump?handle=676050794bc1b1657a56b", "View")</f>
        <v/>
      </c>
    </row>
    <row r="107">
      <c r="A107" s="20" t="inlineStr">
        <is>
          <t>SALMON</t>
        </is>
      </c>
      <c r="B107" s="21" t="n">
        <v>56493</v>
      </c>
      <c r="C107" s="21" t="n">
        <v>0</v>
      </c>
      <c r="D107" s="21" t="inlineStr">
        <is>
          <t>0.000710</t>
        </is>
      </c>
      <c r="E107" s="21" t="inlineStr">
        <is>
          <t>0.075 SOL</t>
        </is>
      </c>
      <c r="F107" s="21" t="inlineStr">
        <is>
          <t>0.000 SOL</t>
        </is>
      </c>
      <c r="G107" s="18" t="inlineStr">
        <is>
          <t>-0.076 SOL</t>
        </is>
      </c>
      <c r="H107" s="18" t="inlineStr">
        <is>
          <t>0.00%</t>
        </is>
      </c>
      <c r="I107" s="21" t="inlineStr">
        <is>
          <t>56,493</t>
        </is>
      </c>
      <c r="J107" s="21" t="n">
        <v>1</v>
      </c>
      <c r="K107" s="21" t="n">
        <v>0</v>
      </c>
      <c r="L107" s="21" t="inlineStr">
        <is>
          <t>27.10.2024 21:44:48</t>
        </is>
      </c>
      <c r="M107" s="19" t="inlineStr">
        <is>
          <t>0 sec</t>
        </is>
      </c>
      <c r="N107" s="21" t="inlineStr">
        <is>
          <t xml:space="preserve">        225K           225K             5K</t>
        </is>
      </c>
      <c r="O107" s="21" t="inlineStr">
        <is>
          <t>Ay4Br5jCE3UqmhrSDysdAjo9c4F5vMjf7pHQh78Jpump</t>
        </is>
      </c>
      <c r="P107" s="21">
        <f>HYPERLINK("https://dexscreener.com/solana/Ay4Br5jCE3UqmhrSDysdAjo9c4F5vMjf7pHQh78Jpump", "View")</f>
        <v/>
      </c>
    </row>
    <row r="108">
      <c r="A108" s="16" t="inlineStr">
        <is>
          <t>BURNEY</t>
        </is>
      </c>
      <c r="B108" s="17" t="n">
        <v>304236</v>
      </c>
      <c r="C108" s="17" t="n">
        <v>133080</v>
      </c>
      <c r="D108" s="17" t="inlineStr">
        <is>
          <t>0.002120</t>
        </is>
      </c>
      <c r="E108" s="17" t="inlineStr">
        <is>
          <t>0.089 SOL</t>
        </is>
      </c>
      <c r="F108" s="17" t="inlineStr">
        <is>
          <t>0.166 SOL</t>
        </is>
      </c>
      <c r="G108" s="24" t="inlineStr">
        <is>
          <t>0.075 SOL</t>
        </is>
      </c>
      <c r="H108" s="24" t="inlineStr">
        <is>
          <t>82.51%</t>
        </is>
      </c>
      <c r="I108" s="17" t="inlineStr">
        <is>
          <t>N/A</t>
        </is>
      </c>
      <c r="J108" s="17" t="n">
        <v>1</v>
      </c>
      <c r="K108" s="17" t="n">
        <v>2</v>
      </c>
      <c r="L108" s="17" t="inlineStr">
        <is>
          <t>27.10.2024 21:28:46</t>
        </is>
      </c>
      <c r="M108" s="17" t="inlineStr">
        <is>
          <t>3 min</t>
        </is>
      </c>
      <c r="N108" s="17" t="inlineStr">
        <is>
          <t xml:space="preserve">         51K           162K             4K</t>
        </is>
      </c>
      <c r="O108" s="17" t="inlineStr">
        <is>
          <t>31pyJGWmd9nxb3UN4cmhpZZeeMHXWcf6Nh8VU2vPpump</t>
        </is>
      </c>
      <c r="P108" s="17">
        <f>HYPERLINK("https://photon-sol.tinyastro.io/en/lp/31pyJGWmd9nxb3UN4cmhpZZeeMHXWcf6Nh8VU2vPpump?handle=676050794bc1b1657a56b", "View")</f>
        <v/>
      </c>
    </row>
    <row r="109">
      <c r="A109" s="20" t="inlineStr">
        <is>
          <t>BURNEY</t>
        </is>
      </c>
      <c r="B109" s="21" t="n">
        <v>1219545</v>
      </c>
      <c r="C109" s="21" t="n">
        <v>0</v>
      </c>
      <c r="D109" s="21" t="inlineStr">
        <is>
          <t>0.000710</t>
        </is>
      </c>
      <c r="E109" s="21" t="inlineStr">
        <is>
          <t>0.084 SOL</t>
        </is>
      </c>
      <c r="F109" s="21" t="inlineStr">
        <is>
          <t>0.000 SOL</t>
        </is>
      </c>
      <c r="G109" s="18" t="inlineStr">
        <is>
          <t>-0.084 SOL</t>
        </is>
      </c>
      <c r="H109" s="18" t="inlineStr">
        <is>
          <t>0.00%</t>
        </is>
      </c>
      <c r="I109" s="21" t="inlineStr">
        <is>
          <t>1,219,545</t>
        </is>
      </c>
      <c r="J109" s="21" t="n">
        <v>1</v>
      </c>
      <c r="K109" s="21" t="n">
        <v>0</v>
      </c>
      <c r="L109" s="21" t="inlineStr">
        <is>
          <t>27.10.2024 21:26:08</t>
        </is>
      </c>
      <c r="M109" s="19" t="inlineStr">
        <is>
          <t>0 sec</t>
        </is>
      </c>
      <c r="N109" s="21" t="inlineStr">
        <is>
          <t xml:space="preserve">         12K            12K             6K</t>
        </is>
      </c>
      <c r="O109" s="21" t="inlineStr">
        <is>
          <t>HjVucq5tfxXJYmssCT5mm3kUG18UtEVViAmiMmyUpump</t>
        </is>
      </c>
      <c r="P109" s="21">
        <f>HYPERLINK("https://photon-sol.tinyastro.io/en/lp/HjVucq5tfxXJYmssCT5mm3kUG18UtEVViAmiMmyUpump?handle=676050794bc1b1657a56b", "View")</f>
        <v/>
      </c>
    </row>
    <row r="110">
      <c r="A110" s="16" t="inlineStr">
        <is>
          <t>STFU</t>
        </is>
      </c>
      <c r="B110" s="17" t="n">
        <v>836574</v>
      </c>
      <c r="C110" s="17" t="n">
        <v>836574</v>
      </c>
      <c r="D110" s="17" t="inlineStr">
        <is>
          <t>0.001410</t>
        </is>
      </c>
      <c r="E110" s="17" t="inlineStr">
        <is>
          <t>0.075 SOL</t>
        </is>
      </c>
      <c r="F110" s="17" t="inlineStr">
        <is>
          <t>0.134 SOL</t>
        </is>
      </c>
      <c r="G110" s="24" t="inlineStr">
        <is>
          <t>0.057 SOL</t>
        </is>
      </c>
      <c r="H110" s="24" t="inlineStr">
        <is>
          <t>75.03%</t>
        </is>
      </c>
      <c r="I110" s="17" t="inlineStr">
        <is>
          <t>N/A</t>
        </is>
      </c>
      <c r="J110" s="17" t="n">
        <v>1</v>
      </c>
      <c r="K110" s="17" t="n">
        <v>1</v>
      </c>
      <c r="L110" s="17" t="inlineStr">
        <is>
          <t>27.10.2024 20:48:49</t>
        </is>
      </c>
      <c r="M110" s="19" t="inlineStr">
        <is>
          <t>22 sec</t>
        </is>
      </c>
      <c r="N110" s="17" t="inlineStr">
        <is>
          <t xml:space="preserve">         16K            28K             3K</t>
        </is>
      </c>
      <c r="O110" s="17" t="inlineStr">
        <is>
          <t>FQfeJYLmD7wf6YyV29E1bjzxX7JeGKavmwociXWipump</t>
        </is>
      </c>
      <c r="P110" s="17">
        <f>HYPERLINK("https://dexscreener.com/solana/FQfeJYLmD7wf6YyV29E1bjzxX7JeGKavmwociXWipump", "View")</f>
        <v/>
      </c>
    </row>
    <row r="111">
      <c r="A111" s="20" t="inlineStr">
        <is>
          <t>SHUTUP</t>
        </is>
      </c>
      <c r="B111" s="21" t="n">
        <v>443557</v>
      </c>
      <c r="C111" s="21" t="n">
        <v>0</v>
      </c>
      <c r="D111" s="21" t="inlineStr">
        <is>
          <t>0.000710</t>
        </is>
      </c>
      <c r="E111" s="21" t="inlineStr">
        <is>
          <t>0.095 SOL</t>
        </is>
      </c>
      <c r="F111" s="21" t="inlineStr">
        <is>
          <t>0.000 SOL</t>
        </is>
      </c>
      <c r="G111" s="18" t="inlineStr">
        <is>
          <t>-0.095 SOL</t>
        </is>
      </c>
      <c r="H111" s="18" t="inlineStr">
        <is>
          <t>0.00%</t>
        </is>
      </c>
      <c r="I111" s="21" t="inlineStr">
        <is>
          <t>443,557</t>
        </is>
      </c>
      <c r="J111" s="21" t="n">
        <v>1</v>
      </c>
      <c r="K111" s="21" t="n">
        <v>0</v>
      </c>
      <c r="L111" s="21" t="inlineStr">
        <is>
          <t>27.10.2024 20:47:45</t>
        </is>
      </c>
      <c r="M111" s="19" t="inlineStr">
        <is>
          <t>0 sec</t>
        </is>
      </c>
      <c r="N111" s="21" t="inlineStr">
        <is>
          <t xml:space="preserve">         37K            37K             5K</t>
        </is>
      </c>
      <c r="O111" s="21" t="inlineStr">
        <is>
          <t>9Hh3Kxo4oarGr5kA4uciKPEaFm3spqqNFfvPJALrpump</t>
        </is>
      </c>
      <c r="P111" s="21">
        <f>HYPERLINK("https://photon-sol.tinyastro.io/en/lp/9Hh3Kxo4oarGr5kA4uciKPEaFm3spqqNFfvPJALrpump?handle=676050794bc1b1657a56b", "View")</f>
        <v/>
      </c>
    </row>
    <row r="112">
      <c r="A112" s="16" t="inlineStr">
        <is>
          <t>@AI</t>
        </is>
      </c>
      <c r="B112" s="17" t="n">
        <v>606187</v>
      </c>
      <c r="C112" s="17" t="n">
        <v>303093</v>
      </c>
      <c r="D112" s="17" t="inlineStr">
        <is>
          <t>0.001410</t>
        </is>
      </c>
      <c r="E112" s="17" t="inlineStr">
        <is>
          <t>0.087 SOL</t>
        </is>
      </c>
      <c r="F112" s="17" t="inlineStr">
        <is>
          <t>0.071 SOL</t>
        </is>
      </c>
      <c r="G112" s="25" t="inlineStr">
        <is>
          <t>-0.018 SOL</t>
        </is>
      </c>
      <c r="H112" s="25" t="inlineStr">
        <is>
          <t>-20.51%</t>
        </is>
      </c>
      <c r="I112" s="17" t="inlineStr">
        <is>
          <t>N/A</t>
        </is>
      </c>
      <c r="J112" s="17" t="n">
        <v>1</v>
      </c>
      <c r="K112" s="17" t="n">
        <v>1</v>
      </c>
      <c r="L112" s="17" t="inlineStr">
        <is>
          <t>27.10.2024 20:35:32</t>
        </is>
      </c>
      <c r="M112" s="17" t="inlineStr">
        <is>
          <t>3 min</t>
        </is>
      </c>
      <c r="N112" s="17" t="inlineStr">
        <is>
          <t xml:space="preserve">         25K            40K             5K</t>
        </is>
      </c>
      <c r="O112" s="17" t="inlineStr">
        <is>
          <t>2DrfBeGy3iXWgmUfwxqPcA4QHkR3aPmDquu1dj5Zpump</t>
        </is>
      </c>
      <c r="P112" s="17">
        <f>HYPERLINK("https://photon-sol.tinyastro.io/en/lp/2DrfBeGy3iXWgmUfwxqPcA4QHkR3aPmDquu1dj5Zpump?handle=676050794bc1b1657a56b", "View")</f>
        <v/>
      </c>
    </row>
    <row r="113">
      <c r="A113" s="20" t="inlineStr">
        <is>
          <t>PUMPAI</t>
        </is>
      </c>
      <c r="B113" s="21" t="n">
        <v>56191</v>
      </c>
      <c r="C113" s="21" t="n">
        <v>46191</v>
      </c>
      <c r="D113" s="21" t="inlineStr">
        <is>
          <t>0.002730</t>
        </is>
      </c>
      <c r="E113" s="21" t="inlineStr">
        <is>
          <t>0.075 SOL</t>
        </is>
      </c>
      <c r="F113" s="21" t="inlineStr">
        <is>
          <t>0.565 SOL</t>
        </is>
      </c>
      <c r="G113" s="24" t="inlineStr">
        <is>
          <t>0.488 SOL</t>
        </is>
      </c>
      <c r="H113" s="24" t="inlineStr">
        <is>
          <t>627.42%</t>
        </is>
      </c>
      <c r="I113" s="21" t="inlineStr">
        <is>
          <t>N/A</t>
        </is>
      </c>
      <c r="J113" s="21" t="n">
        <v>1</v>
      </c>
      <c r="K113" s="21" t="n">
        <v>5</v>
      </c>
      <c r="L113" s="21" t="inlineStr">
        <is>
          <t>27.10.2024 10:02:37</t>
        </is>
      </c>
      <c r="M113" s="21" t="inlineStr">
        <is>
          <t>7 hours</t>
        </is>
      </c>
      <c r="N113" s="21" t="inlineStr">
        <is>
          <t xml:space="preserve">        234K             2M            32K</t>
        </is>
      </c>
      <c r="O113" s="21" t="inlineStr">
        <is>
          <t>hf8aYwMK2cYv7t4uUhUAqpdwTS3sja2z9RJMQZ2pump</t>
        </is>
      </c>
      <c r="P113" s="21">
        <f>HYPERLINK("https://dexscreener.com/solana/hf8aYwMK2cYv7t4uUhUAqpdwTS3sja2z9RJMQZ2pump", "View")</f>
        <v/>
      </c>
    </row>
    <row r="114">
      <c r="A114" s="16" t="inlineStr">
        <is>
          <t>Cuttlefish</t>
        </is>
      </c>
      <c r="B114" s="17" t="n">
        <v>43032</v>
      </c>
      <c r="C114" s="17" t="n">
        <v>0</v>
      </c>
      <c r="D114" s="17" t="inlineStr">
        <is>
          <t>0.000710</t>
        </is>
      </c>
      <c r="E114" s="17" t="inlineStr">
        <is>
          <t>0.075 SOL</t>
        </is>
      </c>
      <c r="F114" s="17" t="inlineStr">
        <is>
          <t>0.000 SOL</t>
        </is>
      </c>
      <c r="G114" s="18" t="inlineStr">
        <is>
          <t>-0.076 SOL</t>
        </is>
      </c>
      <c r="H114" s="18" t="inlineStr">
        <is>
          <t>0.00%</t>
        </is>
      </c>
      <c r="I114" s="17" t="inlineStr">
        <is>
          <t>43,032</t>
        </is>
      </c>
      <c r="J114" s="17" t="n">
        <v>1</v>
      </c>
      <c r="K114" s="17" t="n">
        <v>0</v>
      </c>
      <c r="L114" s="17" t="inlineStr">
        <is>
          <t>27.10.2024 07:53:04</t>
        </is>
      </c>
      <c r="M114" s="19" t="inlineStr">
        <is>
          <t>0 sec</t>
        </is>
      </c>
      <c r="N114" s="17" t="inlineStr">
        <is>
          <t xml:space="preserve">        306K           306K            15K</t>
        </is>
      </c>
      <c r="O114" s="17" t="inlineStr">
        <is>
          <t>pcEgPrpHFuFCmSSfWUykJfQv7AUfUD1xbhw71oHy7om</t>
        </is>
      </c>
      <c r="P114" s="17">
        <f>HYPERLINK("https://dexscreener.com/solana/pcEgPrpHFuFCmSSfWUykJfQv7AUfUD1xbhw71oHy7om", "View")</f>
        <v/>
      </c>
    </row>
    <row r="115">
      <c r="A115" s="20" t="inlineStr">
        <is>
          <t>Chalice</t>
        </is>
      </c>
      <c r="B115" s="21" t="n">
        <v>176225</v>
      </c>
      <c r="C115" s="21" t="n">
        <v>0</v>
      </c>
      <c r="D115" s="21" t="inlineStr">
        <is>
          <t>0.000710</t>
        </is>
      </c>
      <c r="E115" s="21" t="inlineStr">
        <is>
          <t>0.075 SOL</t>
        </is>
      </c>
      <c r="F115" s="21" t="inlineStr">
        <is>
          <t>0.000 SOL</t>
        </is>
      </c>
      <c r="G115" s="18" t="inlineStr">
        <is>
          <t>-0.076 SOL</t>
        </is>
      </c>
      <c r="H115" s="18" t="inlineStr">
        <is>
          <t>0.00%</t>
        </is>
      </c>
      <c r="I115" s="21" t="inlineStr">
        <is>
          <t>176,225</t>
        </is>
      </c>
      <c r="J115" s="21" t="n">
        <v>1</v>
      </c>
      <c r="K115" s="21" t="n">
        <v>0</v>
      </c>
      <c r="L115" s="21" t="inlineStr">
        <is>
          <t>27.10.2024 07:14:29</t>
        </is>
      </c>
      <c r="M115" s="19" t="inlineStr">
        <is>
          <t>0 sec</t>
        </is>
      </c>
      <c r="N115" s="21" t="inlineStr">
        <is>
          <t xml:space="preserve">         76K            76K             5K</t>
        </is>
      </c>
      <c r="O115" s="21" t="inlineStr">
        <is>
          <t>6qKWDik7U58LDtW9LVNFL13NkAxBqqJbSBauoSVUpump</t>
        </is>
      </c>
      <c r="P115" s="21">
        <f>HYPERLINK("https://dexscreener.com/solana/6qKWDik7U58LDtW9LVNFL13NkAxBqqJbSBauoSVUpump", "View")</f>
        <v/>
      </c>
    </row>
    <row r="116">
      <c r="A116" s="16" t="inlineStr">
        <is>
          <t>NuCouché</t>
        </is>
      </c>
      <c r="B116" s="17" t="n">
        <v>25936</v>
      </c>
      <c r="C116" s="17" t="n">
        <v>0</v>
      </c>
      <c r="D116" s="17" t="inlineStr">
        <is>
          <t>0.000710</t>
        </is>
      </c>
      <c r="E116" s="17" t="inlineStr">
        <is>
          <t>0.100 SOL</t>
        </is>
      </c>
      <c r="F116" s="17" t="inlineStr">
        <is>
          <t>0.000 SOL</t>
        </is>
      </c>
      <c r="G116" s="18" t="inlineStr">
        <is>
          <t>-0.101 SOL</t>
        </is>
      </c>
      <c r="H116" s="18" t="inlineStr">
        <is>
          <t>0.00%</t>
        </is>
      </c>
      <c r="I116" s="17" t="inlineStr">
        <is>
          <t>25,936</t>
        </is>
      </c>
      <c r="J116" s="17" t="n">
        <v>1</v>
      </c>
      <c r="K116" s="17" t="n">
        <v>0</v>
      </c>
      <c r="L116" s="17" t="inlineStr">
        <is>
          <t>27.10.2024 07:10:01</t>
        </is>
      </c>
      <c r="M116" s="19" t="inlineStr">
        <is>
          <t>0 sec</t>
        </is>
      </c>
      <c r="N116" s="17" t="inlineStr">
        <is>
          <t xml:space="preserve">        678K           678K            14K</t>
        </is>
      </c>
      <c r="O116" s="17" t="inlineStr">
        <is>
          <t>9rLGTvxXEhhdyZtJA34pFV21oZhsi3MRho9hv54vpump</t>
        </is>
      </c>
      <c r="P116" s="17">
        <f>HYPERLINK("https://dexscreener.com/solana/9rLGTvxXEhhdyZtJA34pFV21oZhsi3MRho9hv54vpump", "View")</f>
        <v/>
      </c>
    </row>
    <row r="117">
      <c r="A117" s="20" t="inlineStr">
        <is>
          <t>NexCoin</t>
        </is>
      </c>
      <c r="B117" s="21" t="n">
        <v>1751775</v>
      </c>
      <c r="C117" s="21" t="n">
        <v>0</v>
      </c>
      <c r="D117" s="21" t="inlineStr">
        <is>
          <t>0.000710</t>
        </is>
      </c>
      <c r="E117" s="21" t="inlineStr">
        <is>
          <t>0.075 SOL</t>
        </is>
      </c>
      <c r="F117" s="21" t="inlineStr">
        <is>
          <t>0.000 SOL</t>
        </is>
      </c>
      <c r="G117" s="18" t="inlineStr">
        <is>
          <t>-0.076 SOL</t>
        </is>
      </c>
      <c r="H117" s="18" t="inlineStr">
        <is>
          <t>0.00%</t>
        </is>
      </c>
      <c r="I117" s="21" t="inlineStr">
        <is>
          <t>1,751,775</t>
        </is>
      </c>
      <c r="J117" s="21" t="n">
        <v>1</v>
      </c>
      <c r="K117" s="21" t="n">
        <v>0</v>
      </c>
      <c r="L117" s="21" t="inlineStr">
        <is>
          <t>27.10.2024 05:37:37</t>
        </is>
      </c>
      <c r="M117" s="19" t="inlineStr">
        <is>
          <t>0 sec</t>
        </is>
      </c>
      <c r="N117" s="21" t="inlineStr">
        <is>
          <t xml:space="preserve">          7K             7K             5K</t>
        </is>
      </c>
      <c r="O117" s="21" t="inlineStr">
        <is>
          <t>FApzaVYXjGqibTvzJKGhSNscQDFYH3JDnRpcpAfypump</t>
        </is>
      </c>
      <c r="P117" s="21">
        <f>HYPERLINK("https://dexscreener.com/solana/FApzaVYXjGqibTvzJKGhSNscQDFYH3JDnRpcpAfypump", "View")</f>
        <v/>
      </c>
    </row>
    <row r="118">
      <c r="A118" s="16" t="inlineStr">
        <is>
          <t>✨</t>
        </is>
      </c>
      <c r="B118" s="17" t="n">
        <v>1472668</v>
      </c>
      <c r="C118" s="17" t="n">
        <v>0</v>
      </c>
      <c r="D118" s="17" t="inlineStr">
        <is>
          <t>0.000710</t>
        </is>
      </c>
      <c r="E118" s="17" t="inlineStr">
        <is>
          <t>0.075 SOL</t>
        </is>
      </c>
      <c r="F118" s="17" t="inlineStr">
        <is>
          <t>0.000 SOL</t>
        </is>
      </c>
      <c r="G118" s="18" t="inlineStr">
        <is>
          <t>-0.076 SOL</t>
        </is>
      </c>
      <c r="H118" s="18" t="inlineStr">
        <is>
          <t>0.00%</t>
        </is>
      </c>
      <c r="I118" s="17" t="inlineStr">
        <is>
          <t>1,472,668</t>
        </is>
      </c>
      <c r="J118" s="17" t="n">
        <v>1</v>
      </c>
      <c r="K118" s="17" t="n">
        <v>0</v>
      </c>
      <c r="L118" s="17" t="inlineStr">
        <is>
          <t>27.10.2024 05:31:56</t>
        </is>
      </c>
      <c r="M118" s="19" t="inlineStr">
        <is>
          <t>0 sec</t>
        </is>
      </c>
      <c r="N118" s="17" t="inlineStr">
        <is>
          <t xml:space="preserve">          9K             9K             5K</t>
        </is>
      </c>
      <c r="O118" s="17" t="inlineStr">
        <is>
          <t>8KapfTcDKMMCN1xujKvDFPA4QSbRci9nSkpyYxoMpump</t>
        </is>
      </c>
      <c r="P118" s="17">
        <f>HYPERLINK("https://dexscreener.com/solana/8KapfTcDKMMCN1xujKvDFPA4QSbRci9nSkpyYxoMpump", "View")</f>
        <v/>
      </c>
    </row>
    <row r="119">
      <c r="A119" s="20" t="inlineStr">
        <is>
          <t>Samantha</t>
        </is>
      </c>
      <c r="B119" s="21" t="n">
        <v>1561760</v>
      </c>
      <c r="C119" s="21" t="n">
        <v>0</v>
      </c>
      <c r="D119" s="21" t="inlineStr">
        <is>
          <t>0.000710</t>
        </is>
      </c>
      <c r="E119" s="21" t="inlineStr">
        <is>
          <t>0.075 SOL</t>
        </is>
      </c>
      <c r="F119" s="21" t="inlineStr">
        <is>
          <t>0.000 SOL</t>
        </is>
      </c>
      <c r="G119" s="18" t="inlineStr">
        <is>
          <t>-0.076 SOL</t>
        </is>
      </c>
      <c r="H119" s="18" t="inlineStr">
        <is>
          <t>0.00%</t>
        </is>
      </c>
      <c r="I119" s="21" t="inlineStr">
        <is>
          <t>1,561,760</t>
        </is>
      </c>
      <c r="J119" s="21" t="n">
        <v>1</v>
      </c>
      <c r="K119" s="21" t="n">
        <v>0</v>
      </c>
      <c r="L119" s="21" t="inlineStr">
        <is>
          <t>27.10.2024 05:29:46</t>
        </is>
      </c>
      <c r="M119" s="19" t="inlineStr">
        <is>
          <t>0 sec</t>
        </is>
      </c>
      <c r="N119" s="21" t="inlineStr">
        <is>
          <t xml:space="preserve">          9K             9K             4K</t>
        </is>
      </c>
      <c r="O119" s="21" t="inlineStr">
        <is>
          <t>BWaMsm4AaCEpMXV9iQsyZtwRemVBty5z4HS8oxbApump</t>
        </is>
      </c>
      <c r="P119" s="21">
        <f>HYPERLINK("https://dexscreener.com/solana/BWaMsm4AaCEpMXV9iQsyZtwRemVBty5z4HS8oxbApump", "View")</f>
        <v/>
      </c>
    </row>
    <row r="120">
      <c r="A120" s="16" t="inlineStr">
        <is>
          <t>SOLOM</t>
        </is>
      </c>
      <c r="B120" s="17" t="n">
        <v>57592</v>
      </c>
      <c r="C120" s="17" t="n">
        <v>0</v>
      </c>
      <c r="D120" s="17" t="inlineStr">
        <is>
          <t>0.000710</t>
        </is>
      </c>
      <c r="E120" s="17" t="inlineStr">
        <is>
          <t>0.075 SOL</t>
        </is>
      </c>
      <c r="F120" s="17" t="inlineStr">
        <is>
          <t>0.000 SOL</t>
        </is>
      </c>
      <c r="G120" s="18" t="inlineStr">
        <is>
          <t>-0.076 SOL</t>
        </is>
      </c>
      <c r="H120" s="18" t="inlineStr">
        <is>
          <t>0.00%</t>
        </is>
      </c>
      <c r="I120" s="17" t="inlineStr">
        <is>
          <t>57,592</t>
        </is>
      </c>
      <c r="J120" s="17" t="n">
        <v>1</v>
      </c>
      <c r="K120" s="17" t="n">
        <v>0</v>
      </c>
      <c r="L120" s="17" t="inlineStr">
        <is>
          <t>26.10.2024 15:13:25</t>
        </is>
      </c>
      <c r="M120" s="19" t="inlineStr">
        <is>
          <t>0 sec</t>
        </is>
      </c>
      <c r="N120" s="17" t="inlineStr">
        <is>
          <t xml:space="preserve">        199K           199K             5K</t>
        </is>
      </c>
      <c r="O120" s="17" t="inlineStr">
        <is>
          <t>34pGiw5uBRq98c3AB468ds1AHcpnWN7zoFy6actWpump</t>
        </is>
      </c>
      <c r="P120" s="17">
        <f>HYPERLINK("https://dexscreener.com/solana/34pGiw5uBRq98c3AB468ds1AHcpnWN7zoFy6actWpump", "View")</f>
        <v/>
      </c>
    </row>
    <row r="121">
      <c r="A121" s="20" t="inlineStr">
        <is>
          <t>DAVE</t>
        </is>
      </c>
      <c r="B121" s="21" t="n">
        <v>322138</v>
      </c>
      <c r="C121" s="21" t="n">
        <v>0</v>
      </c>
      <c r="D121" s="21" t="inlineStr">
        <is>
          <t>0.000710</t>
        </is>
      </c>
      <c r="E121" s="21" t="inlineStr">
        <is>
          <t>0.093 SOL</t>
        </is>
      </c>
      <c r="F121" s="21" t="inlineStr">
        <is>
          <t>0.000 SOL</t>
        </is>
      </c>
      <c r="G121" s="18" t="inlineStr">
        <is>
          <t>-0.093 SOL</t>
        </is>
      </c>
      <c r="H121" s="18" t="inlineStr">
        <is>
          <t>0.00%</t>
        </is>
      </c>
      <c r="I121" s="21" t="inlineStr">
        <is>
          <t>322,138</t>
        </is>
      </c>
      <c r="J121" s="21" t="n">
        <v>1</v>
      </c>
      <c r="K121" s="21" t="n">
        <v>0</v>
      </c>
      <c r="L121" s="21" t="inlineStr">
        <is>
          <t>26.10.2024 14:47:39</t>
        </is>
      </c>
      <c r="M121" s="19" t="inlineStr">
        <is>
          <t>0 sec</t>
        </is>
      </c>
      <c r="N121" s="21" t="inlineStr">
        <is>
          <t xml:space="preserve">         51K            51K             5K</t>
        </is>
      </c>
      <c r="O121" s="21" t="inlineStr">
        <is>
          <t>BrPjSkpdWfgz5XXPoVbDfGxLSiKbzYz76NdvuTqJ8e7H</t>
        </is>
      </c>
      <c r="P121" s="21">
        <f>HYPERLINK("https://photon-sol.tinyastro.io/en/lp/BrPjSkpdWfgz5XXPoVbDfGxLSiKbzYz76NdvuTqJ8e7H?handle=676050794bc1b1657a56b", "View")</f>
        <v/>
      </c>
    </row>
    <row r="122">
      <c r="A122" s="16" t="inlineStr">
        <is>
          <t>choccy</t>
        </is>
      </c>
      <c r="B122" s="17" t="n">
        <v>35668</v>
      </c>
      <c r="C122" s="17" t="n">
        <v>3500</v>
      </c>
      <c r="D122" s="17" t="inlineStr">
        <is>
          <t>0.001110</t>
        </is>
      </c>
      <c r="E122" s="17" t="inlineStr">
        <is>
          <t>0.075 SOL</t>
        </is>
      </c>
      <c r="F122" s="17" t="inlineStr">
        <is>
          <t>0.031 SOL</t>
        </is>
      </c>
      <c r="G122" s="23" t="inlineStr">
        <is>
          <t>-0.045 SOL</t>
        </is>
      </c>
      <c r="H122" s="23" t="inlineStr">
        <is>
          <t>-58.82%</t>
        </is>
      </c>
      <c r="I122" s="17" t="inlineStr">
        <is>
          <t>N/A</t>
        </is>
      </c>
      <c r="J122" s="17" t="n">
        <v>1</v>
      </c>
      <c r="K122" s="17" t="n">
        <v>1</v>
      </c>
      <c r="L122" s="17" t="inlineStr">
        <is>
          <t>26.10.2024 14:29:50</t>
        </is>
      </c>
      <c r="M122" s="17" t="inlineStr">
        <is>
          <t>1 days</t>
        </is>
      </c>
      <c r="N122" s="17" t="inlineStr">
        <is>
          <t xml:space="preserve">        369K           369K           313K</t>
        </is>
      </c>
      <c r="O122" s="17" t="inlineStr">
        <is>
          <t>DFy12AkbxKnR2s2gaYz1AvxgxqGDrMEjjzK1GG3Ypump</t>
        </is>
      </c>
      <c r="P122" s="17">
        <f>HYPERLINK("https://dexscreener.com/solana/DFy12AkbxKnR2s2gaYz1AvxgxqGDrMEjjzK1GG3Ypump", "View")</f>
        <v/>
      </c>
    </row>
    <row r="123">
      <c r="A123" s="20" t="inlineStr">
        <is>
          <t>GlaDoS</t>
        </is>
      </c>
      <c r="B123" s="21" t="n">
        <v>25958</v>
      </c>
      <c r="C123" s="21" t="n">
        <v>0</v>
      </c>
      <c r="D123" s="21" t="inlineStr">
        <is>
          <t>0.000710</t>
        </is>
      </c>
      <c r="E123" s="21" t="inlineStr">
        <is>
          <t>0.075 SOL</t>
        </is>
      </c>
      <c r="F123" s="21" t="inlineStr">
        <is>
          <t>0.000 SOL</t>
        </is>
      </c>
      <c r="G123" s="18" t="inlineStr">
        <is>
          <t>-0.076 SOL</t>
        </is>
      </c>
      <c r="H123" s="18" t="inlineStr">
        <is>
          <t>0.00%</t>
        </is>
      </c>
      <c r="I123" s="21" t="inlineStr">
        <is>
          <t>25,958</t>
        </is>
      </c>
      <c r="J123" s="21" t="n">
        <v>1</v>
      </c>
      <c r="K123" s="21" t="n">
        <v>0</v>
      </c>
      <c r="L123" s="21" t="inlineStr">
        <is>
          <t>26.10.2024 12:51:38</t>
        </is>
      </c>
      <c r="M123" s="19" t="inlineStr">
        <is>
          <t>0 sec</t>
        </is>
      </c>
      <c r="N123" s="21" t="inlineStr">
        <is>
          <t xml:space="preserve">        508K           508K            10K</t>
        </is>
      </c>
      <c r="O123" s="21" t="inlineStr">
        <is>
          <t>zGSm7WWkUgV6NqrU47nC1iLheZsWaRMyFnzVKTUpump</t>
        </is>
      </c>
      <c r="P123" s="21">
        <f>HYPERLINK("https://dexscreener.com/solana/zGSm7WWkUgV6NqrU47nC1iLheZsWaRMyFnzVKTUpump", "View")</f>
        <v/>
      </c>
    </row>
    <row r="124">
      <c r="A124" s="16" t="inlineStr">
        <is>
          <t>glados-137</t>
        </is>
      </c>
      <c r="B124" s="17" t="n">
        <v>35017</v>
      </c>
      <c r="C124" s="17" t="n">
        <v>0</v>
      </c>
      <c r="D124" s="17" t="inlineStr">
        <is>
          <t>0.001410</t>
        </is>
      </c>
      <c r="E124" s="17" t="inlineStr">
        <is>
          <t>0.085 SOL</t>
        </is>
      </c>
      <c r="F124" s="17" t="inlineStr">
        <is>
          <t>0.000 SOL</t>
        </is>
      </c>
      <c r="G124" s="18" t="inlineStr">
        <is>
          <t>-0.086 SOL</t>
        </is>
      </c>
      <c r="H124" s="18" t="inlineStr">
        <is>
          <t>0.00%</t>
        </is>
      </c>
      <c r="I124" s="17" t="inlineStr">
        <is>
          <t>35,017</t>
        </is>
      </c>
      <c r="J124" s="17" t="n">
        <v>2</v>
      </c>
      <c r="K124" s="17" t="n">
        <v>0</v>
      </c>
      <c r="L124" s="17" t="inlineStr">
        <is>
          <t>26.10.2024 12:07:50</t>
        </is>
      </c>
      <c r="M124" s="17" t="inlineStr">
        <is>
          <t>54 min</t>
        </is>
      </c>
      <c r="N124" s="17" t="inlineStr">
        <is>
          <t xml:space="preserve">        425K           439K            31K</t>
        </is>
      </c>
      <c r="O124" s="17" t="inlineStr">
        <is>
          <t>5AFpf9H8CPpmHe9gmwZYQPtup3MDZ887PUxvY1yapump</t>
        </is>
      </c>
      <c r="P124" s="17">
        <f>HYPERLINK("https://dexscreener.com/solana/5AFpf9H8CPpmHe9gmwZYQPtup3MDZ887PUxvY1yapump", "View")</f>
        <v/>
      </c>
    </row>
    <row r="125">
      <c r="A125" s="20" t="inlineStr">
        <is>
          <t>CRYPT</t>
        </is>
      </c>
      <c r="B125" s="21" t="n">
        <v>129127</v>
      </c>
      <c r="C125" s="21" t="n">
        <v>0</v>
      </c>
      <c r="D125" s="21" t="inlineStr">
        <is>
          <t>0.000710</t>
        </is>
      </c>
      <c r="E125" s="21" t="inlineStr">
        <is>
          <t>0.075 SOL</t>
        </is>
      </c>
      <c r="F125" s="21" t="inlineStr">
        <is>
          <t>0.000 SOL</t>
        </is>
      </c>
      <c r="G125" s="18" t="inlineStr">
        <is>
          <t>-0.076 SOL</t>
        </is>
      </c>
      <c r="H125" s="18" t="inlineStr">
        <is>
          <t>0.00%</t>
        </is>
      </c>
      <c r="I125" s="21" t="inlineStr">
        <is>
          <t>129,127</t>
        </is>
      </c>
      <c r="J125" s="21" t="n">
        <v>1</v>
      </c>
      <c r="K125" s="21" t="n">
        <v>0</v>
      </c>
      <c r="L125" s="21" t="inlineStr">
        <is>
          <t>26.10.2024 09:47:48</t>
        </is>
      </c>
      <c r="M125" s="19" t="inlineStr">
        <is>
          <t>0 sec</t>
        </is>
      </c>
      <c r="N125" s="21" t="inlineStr">
        <is>
          <t xml:space="preserve">        102K           102K             4K</t>
        </is>
      </c>
      <c r="O125" s="21" t="inlineStr">
        <is>
          <t>HcpuhTEUBYoA4WeRMQE2zeRKNNFmWVcjRRzbYkFopump</t>
        </is>
      </c>
      <c r="P125" s="21">
        <f>HYPERLINK("https://dexscreener.com/solana/HcpuhTEUBYoA4WeRMQE2zeRKNNFmWVcjRRzbYkFopump", "View")</f>
        <v/>
      </c>
    </row>
    <row r="126">
      <c r="A126" s="16" t="inlineStr">
        <is>
          <t>KYUUJA</t>
        </is>
      </c>
      <c r="B126" s="17" t="n">
        <v>163642</v>
      </c>
      <c r="C126" s="17" t="n">
        <v>0</v>
      </c>
      <c r="D126" s="17" t="inlineStr">
        <is>
          <t>0.001410</t>
        </is>
      </c>
      <c r="E126" s="17" t="inlineStr">
        <is>
          <t>0.085 SOL</t>
        </is>
      </c>
      <c r="F126" s="17" t="inlineStr">
        <is>
          <t>0.000 SOL</t>
        </is>
      </c>
      <c r="G126" s="18" t="inlineStr">
        <is>
          <t>-0.086 SOL</t>
        </is>
      </c>
      <c r="H126" s="18" t="inlineStr">
        <is>
          <t>0.00%</t>
        </is>
      </c>
      <c r="I126" s="17" t="inlineStr">
        <is>
          <t>163,642</t>
        </is>
      </c>
      <c r="J126" s="17" t="n">
        <v>2</v>
      </c>
      <c r="K126" s="17" t="n">
        <v>0</v>
      </c>
      <c r="L126" s="17" t="inlineStr">
        <is>
          <t>26.10.2024 07:03:53</t>
        </is>
      </c>
      <c r="M126" s="17" t="inlineStr">
        <is>
          <t>1 hours</t>
        </is>
      </c>
      <c r="N126" s="17" t="inlineStr">
        <is>
          <t xml:space="preserve">        104K            47K            13K</t>
        </is>
      </c>
      <c r="O126" s="17" t="inlineStr">
        <is>
          <t>6BbsRCdCSN5ta2MaFmfuzsbu7FKrNHTvT656Bntzpump</t>
        </is>
      </c>
      <c r="P126" s="17">
        <f>HYPERLINK("https://dexscreener.com/solana/6BbsRCdCSN5ta2MaFmfuzsbu7FKrNHTvT656Bntzpump", "View")</f>
        <v/>
      </c>
    </row>
    <row r="127">
      <c r="A127" s="20" t="inlineStr">
        <is>
          <t>KYUUJA</t>
        </is>
      </c>
      <c r="B127" s="21" t="n">
        <v>334854</v>
      </c>
      <c r="C127" s="21" t="n">
        <v>0</v>
      </c>
      <c r="D127" s="21" t="inlineStr">
        <is>
          <t>0.000710</t>
        </is>
      </c>
      <c r="E127" s="21" t="inlineStr">
        <is>
          <t>0.095 SOL</t>
        </is>
      </c>
      <c r="F127" s="21" t="inlineStr">
        <is>
          <t>0.000 SOL</t>
        </is>
      </c>
      <c r="G127" s="18" t="inlineStr">
        <is>
          <t>-0.095 SOL</t>
        </is>
      </c>
      <c r="H127" s="18" t="inlineStr">
        <is>
          <t>0.00%</t>
        </is>
      </c>
      <c r="I127" s="21" t="inlineStr">
        <is>
          <t>334,854</t>
        </is>
      </c>
      <c r="J127" s="21" t="n">
        <v>1</v>
      </c>
      <c r="K127" s="21" t="n">
        <v>0</v>
      </c>
      <c r="L127" s="21" t="inlineStr">
        <is>
          <t>26.10.2024 04:50:06</t>
        </is>
      </c>
      <c r="M127" s="19" t="inlineStr">
        <is>
          <t>0 sec</t>
        </is>
      </c>
      <c r="N127" s="21" t="inlineStr">
        <is>
          <t xml:space="preserve">         49K            49K             6K</t>
        </is>
      </c>
      <c r="O127" s="21" t="inlineStr">
        <is>
          <t>2Bm2xQRgSS5GLRm8eXj3Xe8WzFq9noEkx4MmGsHBpump</t>
        </is>
      </c>
      <c r="P127" s="21">
        <f>HYPERLINK("https://photon-sol.tinyastro.io/en/lp/2Bm2xQRgSS5GLRm8eXj3Xe8WzFq9noEkx4MmGsHBpump?handle=676050794bc1b1657a56b", "View")</f>
        <v/>
      </c>
    </row>
    <row r="128">
      <c r="A128" s="16" t="inlineStr">
        <is>
          <t>PLINY</t>
        </is>
      </c>
      <c r="B128" s="17" t="n">
        <v>72355</v>
      </c>
      <c r="C128" s="17" t="n">
        <v>0</v>
      </c>
      <c r="D128" s="17" t="inlineStr">
        <is>
          <t>0.000710</t>
        </is>
      </c>
      <c r="E128" s="17" t="inlineStr">
        <is>
          <t>0.075 SOL</t>
        </is>
      </c>
      <c r="F128" s="17" t="inlineStr">
        <is>
          <t>0.000 SOL</t>
        </is>
      </c>
      <c r="G128" s="18" t="inlineStr">
        <is>
          <t>-0.076 SOL</t>
        </is>
      </c>
      <c r="H128" s="18" t="inlineStr">
        <is>
          <t>0.00%</t>
        </is>
      </c>
      <c r="I128" s="17" t="inlineStr">
        <is>
          <t>72,355</t>
        </is>
      </c>
      <c r="J128" s="17" t="n">
        <v>1</v>
      </c>
      <c r="K128" s="17" t="n">
        <v>0</v>
      </c>
      <c r="L128" s="17" t="inlineStr">
        <is>
          <t>26.10.2024 03:18:31</t>
        </is>
      </c>
      <c r="M128" s="19" t="inlineStr">
        <is>
          <t>0 sec</t>
        </is>
      </c>
      <c r="N128" s="17" t="inlineStr">
        <is>
          <t xml:space="preserve">        183K           183K            60K</t>
        </is>
      </c>
      <c r="O128" s="17" t="inlineStr">
        <is>
          <t>6MYhpb3FocZSdJS3V5krpbfMp45JxD5jXdtPfkwUpump</t>
        </is>
      </c>
      <c r="P128" s="17">
        <f>HYPERLINK("https://dexscreener.com/solana/6MYhpb3FocZSdJS3V5krpbfMp45JxD5jXdtPfkwUpump", "View")</f>
        <v/>
      </c>
    </row>
    <row r="129">
      <c r="A129" s="20" t="inlineStr">
        <is>
          <t>HAX</t>
        </is>
      </c>
      <c r="B129" s="21" t="n">
        <v>234808</v>
      </c>
      <c r="C129" s="21" t="n">
        <v>0</v>
      </c>
      <c r="D129" s="21" t="inlineStr">
        <is>
          <t>0.000710</t>
        </is>
      </c>
      <c r="E129" s="21" t="inlineStr">
        <is>
          <t>0.081 SOL</t>
        </is>
      </c>
      <c r="F129" s="21" t="inlineStr">
        <is>
          <t>0.000 SOL</t>
        </is>
      </c>
      <c r="G129" s="18" t="inlineStr">
        <is>
          <t>-0.082 SOL</t>
        </is>
      </c>
      <c r="H129" s="18" t="inlineStr">
        <is>
          <t>0.00%</t>
        </is>
      </c>
      <c r="I129" s="21" t="inlineStr">
        <is>
          <t>234,808</t>
        </is>
      </c>
      <c r="J129" s="21" t="n">
        <v>1</v>
      </c>
      <c r="K129" s="21" t="n">
        <v>0</v>
      </c>
      <c r="L129" s="21" t="inlineStr">
        <is>
          <t>26.10.2024 01:59:23</t>
        </is>
      </c>
      <c r="M129" s="19" t="inlineStr">
        <is>
          <t>0 sec</t>
        </is>
      </c>
      <c r="N129" s="21" t="inlineStr">
        <is>
          <t xml:space="preserve">         61K            61K             7K</t>
        </is>
      </c>
      <c r="O129" s="21" t="inlineStr">
        <is>
          <t>8p1axiyVkUL5zTQREb8zGU2DqaiLUkG4TjDHayhVpump</t>
        </is>
      </c>
      <c r="P129" s="21">
        <f>HYPERLINK("https://photon-sol.tinyastro.io/en/lp/8p1axiyVkUL5zTQREb8zGU2DqaiLUkG4TjDHayhVpump?handle=676050794bc1b1657a56b", "View")</f>
        <v/>
      </c>
    </row>
    <row r="130">
      <c r="A130" s="16" t="inlineStr">
        <is>
          <t>web</t>
        </is>
      </c>
      <c r="B130" s="17" t="n">
        <v>180013</v>
      </c>
      <c r="C130" s="17" t="n">
        <v>0</v>
      </c>
      <c r="D130" s="17" t="inlineStr">
        <is>
          <t>0.000710</t>
        </is>
      </c>
      <c r="E130" s="17" t="inlineStr">
        <is>
          <t>0.075 SOL</t>
        </is>
      </c>
      <c r="F130" s="17" t="inlineStr">
        <is>
          <t>0.000 SOL</t>
        </is>
      </c>
      <c r="G130" s="18" t="inlineStr">
        <is>
          <t>-0.076 SOL</t>
        </is>
      </c>
      <c r="H130" s="18" t="inlineStr">
        <is>
          <t>0.00%</t>
        </is>
      </c>
      <c r="I130" s="17" t="inlineStr">
        <is>
          <t>180,013</t>
        </is>
      </c>
      <c r="J130" s="17" t="n">
        <v>1</v>
      </c>
      <c r="K130" s="17" t="n">
        <v>0</v>
      </c>
      <c r="L130" s="17" t="inlineStr">
        <is>
          <t>25.10.2024 16:16:27</t>
        </is>
      </c>
      <c r="M130" s="19" t="inlineStr">
        <is>
          <t>0 sec</t>
        </is>
      </c>
      <c r="N130" s="17" t="inlineStr">
        <is>
          <t xml:space="preserve">         74K            74K             6K</t>
        </is>
      </c>
      <c r="O130" s="17" t="inlineStr">
        <is>
          <t>AKjkUfgVvbmc9LfvniaaaeVJfEpYbKFDonA76fuWpump</t>
        </is>
      </c>
      <c r="P130" s="17">
        <f>HYPERLINK("https://dexscreener.com/solana/AKjkUfgVvbmc9LfvniaaaeVJfEpYbKFDonA76fuWpump", "View")</f>
        <v/>
      </c>
    </row>
    <row r="131">
      <c r="A131" s="20" t="inlineStr">
        <is>
          <t>YOUSIM</t>
        </is>
      </c>
      <c r="B131" s="21" t="n">
        <v>25239</v>
      </c>
      <c r="C131" s="21" t="n">
        <v>25239</v>
      </c>
      <c r="D131" s="21" t="inlineStr">
        <is>
          <t>0.002930</t>
        </is>
      </c>
      <c r="E131" s="21" t="inlineStr">
        <is>
          <t>0.110 SOL</t>
        </is>
      </c>
      <c r="F131" s="21" t="inlineStr">
        <is>
          <t>0.182 SOL</t>
        </is>
      </c>
      <c r="G131" s="24" t="inlineStr">
        <is>
          <t>0.069 SOL</t>
        </is>
      </c>
      <c r="H131" s="24" t="inlineStr">
        <is>
          <t>61.30%</t>
        </is>
      </c>
      <c r="I131" s="21" t="inlineStr">
        <is>
          <t>N/A</t>
        </is>
      </c>
      <c r="J131" s="21" t="n">
        <v>3</v>
      </c>
      <c r="K131" s="21" t="n">
        <v>2</v>
      </c>
      <c r="L131" s="21" t="inlineStr">
        <is>
          <t>24.10.2024 17:55:35</t>
        </is>
      </c>
      <c r="M131" s="21" t="inlineStr">
        <is>
          <t>1 hours</t>
        </is>
      </c>
      <c r="N131" s="21" t="inlineStr">
        <is>
          <t xml:space="preserve">        625K           678K            10M</t>
        </is>
      </c>
      <c r="O131" s="21" t="inlineStr">
        <is>
          <t>66gsTs88mXJ5L4AtJnWqFW6H2L5YQDRy4W41y6zbpump</t>
        </is>
      </c>
      <c r="P131" s="21">
        <f>HYPERLINK("https://dexscreener.com/solana/66gsTs88mXJ5L4AtJnWqFW6H2L5YQDRy4W41y6zbpump", "View")</f>
        <v/>
      </c>
    </row>
    <row r="132">
      <c r="A132" s="16" t="inlineStr">
        <is>
          <t>Gape</t>
        </is>
      </c>
      <c r="B132" s="17" t="n">
        <v>24066</v>
      </c>
      <c r="C132" s="17" t="n">
        <v>0</v>
      </c>
      <c r="D132" s="17" t="inlineStr">
        <is>
          <t>0.000710</t>
        </is>
      </c>
      <c r="E132" s="17" t="inlineStr">
        <is>
          <t>0.075 SOL</t>
        </is>
      </c>
      <c r="F132" s="17" t="inlineStr">
        <is>
          <t>0.000 SOL</t>
        </is>
      </c>
      <c r="G132" s="18" t="inlineStr">
        <is>
          <t>-0.076 SOL</t>
        </is>
      </c>
      <c r="H132" s="18" t="inlineStr">
        <is>
          <t>0.00%</t>
        </is>
      </c>
      <c r="I132" s="17" t="inlineStr">
        <is>
          <t>24,066</t>
        </is>
      </c>
      <c r="J132" s="17" t="n">
        <v>1</v>
      </c>
      <c r="K132" s="17" t="n">
        <v>0</v>
      </c>
      <c r="L132" s="17" t="inlineStr">
        <is>
          <t>24.10.2024 13:56:32</t>
        </is>
      </c>
      <c r="M132" s="19" t="inlineStr">
        <is>
          <t>0 sec</t>
        </is>
      </c>
      <c r="N132" s="17" t="inlineStr">
        <is>
          <t xml:space="preserve">        548K           548K            20K</t>
        </is>
      </c>
      <c r="O132" s="17" t="inlineStr">
        <is>
          <t>58JkF2Nj981v6yxM2aQMpoeL2MaA7dA3SGcGuRyepump</t>
        </is>
      </c>
      <c r="P132" s="17">
        <f>HYPERLINK("https://dexscreener.com/solana/58JkF2Nj981v6yxM2aQMpoeL2MaA7dA3SGcGuRyepump", "View")</f>
        <v/>
      </c>
    </row>
    <row r="133">
      <c r="A133" s="20" t="inlineStr">
        <is>
          <t>gape</t>
        </is>
      </c>
      <c r="B133" s="21" t="n">
        <v>97499</v>
      </c>
      <c r="C133" s="21" t="n">
        <v>0</v>
      </c>
      <c r="D133" s="21" t="inlineStr">
        <is>
          <t>0.001410</t>
        </is>
      </c>
      <c r="E133" s="21" t="inlineStr">
        <is>
          <t>0.125 SOL</t>
        </is>
      </c>
      <c r="F133" s="21" t="inlineStr">
        <is>
          <t>0.000 SOL</t>
        </is>
      </c>
      <c r="G133" s="18" t="inlineStr">
        <is>
          <t>-0.126 SOL</t>
        </is>
      </c>
      <c r="H133" s="18" t="inlineStr">
        <is>
          <t>0.00%</t>
        </is>
      </c>
      <c r="I133" s="21" t="inlineStr">
        <is>
          <t>97,499</t>
        </is>
      </c>
      <c r="J133" s="21" t="n">
        <v>2</v>
      </c>
      <c r="K133" s="21" t="n">
        <v>0</v>
      </c>
      <c r="L133" s="21" t="inlineStr">
        <is>
          <t>24.10.2024 13:31:49</t>
        </is>
      </c>
      <c r="M133" s="21" t="inlineStr">
        <is>
          <t>3 min</t>
        </is>
      </c>
      <c r="N133" s="21" t="inlineStr">
        <is>
          <t xml:space="preserve">        177K           379K             6K</t>
        </is>
      </c>
      <c r="O133" s="21" t="inlineStr">
        <is>
          <t>zatHUKJXCvgYBkbDMFn6Q8FukeLQkywroBw5Uv4pump</t>
        </is>
      </c>
      <c r="P133" s="21">
        <f>HYPERLINK("https://dexscreener.com/solana/zatHUKJXCvgYBkbDMFn6Q8FukeLQkywroBw5Uv4pump", "View")</f>
        <v/>
      </c>
    </row>
    <row r="134">
      <c r="A134" s="16" t="inlineStr">
        <is>
          <t>buttcoin</t>
        </is>
      </c>
      <c r="B134" s="17" t="n">
        <v>76894</v>
      </c>
      <c r="C134" s="17" t="n">
        <v>0</v>
      </c>
      <c r="D134" s="17" t="inlineStr">
        <is>
          <t>0.000710</t>
        </is>
      </c>
      <c r="E134" s="17" t="inlineStr">
        <is>
          <t>0.075 SOL</t>
        </is>
      </c>
      <c r="F134" s="17" t="inlineStr">
        <is>
          <t>0.000 SOL</t>
        </is>
      </c>
      <c r="G134" s="18" t="inlineStr">
        <is>
          <t>-0.076 SOL</t>
        </is>
      </c>
      <c r="H134" s="18" t="inlineStr">
        <is>
          <t>0.00%</t>
        </is>
      </c>
      <c r="I134" s="17" t="inlineStr">
        <is>
          <t>76,894</t>
        </is>
      </c>
      <c r="J134" s="17" t="n">
        <v>1</v>
      </c>
      <c r="K134" s="17" t="n">
        <v>0</v>
      </c>
      <c r="L134" s="17" t="inlineStr">
        <is>
          <t>24.10.2024 07:13:13</t>
        </is>
      </c>
      <c r="M134" s="19" t="inlineStr">
        <is>
          <t>0 sec</t>
        </is>
      </c>
      <c r="N134" s="17" t="inlineStr">
        <is>
          <t xml:space="preserve">        172K           172K             7K</t>
        </is>
      </c>
      <c r="O134" s="17" t="inlineStr">
        <is>
          <t>4Q7A2HQf544SnCVD16asPRb67xMVw94qaYQCWnvEpump</t>
        </is>
      </c>
      <c r="P134" s="17">
        <f>HYPERLINK("https://dexscreener.com/solana/4Q7A2HQf544SnCVD16asPRb67xMVw94qaYQCWnvEpump", "View")</f>
        <v/>
      </c>
    </row>
    <row r="135">
      <c r="A135" s="20" t="inlineStr">
        <is>
          <t>Jungians</t>
        </is>
      </c>
      <c r="B135" s="21" t="n">
        <v>499027</v>
      </c>
      <c r="C135" s="21" t="n">
        <v>0</v>
      </c>
      <c r="D135" s="21" t="inlineStr">
        <is>
          <t>0.000710</t>
        </is>
      </c>
      <c r="E135" s="21" t="inlineStr">
        <is>
          <t>0.025 SOL</t>
        </is>
      </c>
      <c r="F135" s="21" t="inlineStr">
        <is>
          <t>0.000 SOL</t>
        </is>
      </c>
      <c r="G135" s="18" t="inlineStr">
        <is>
          <t>-0.025 SOL</t>
        </is>
      </c>
      <c r="H135" s="18" t="inlineStr">
        <is>
          <t>0.00%</t>
        </is>
      </c>
      <c r="I135" s="21" t="inlineStr">
        <is>
          <t>499,027</t>
        </is>
      </c>
      <c r="J135" s="21" t="n">
        <v>1</v>
      </c>
      <c r="K135" s="21" t="n">
        <v>0</v>
      </c>
      <c r="L135" s="21" t="inlineStr">
        <is>
          <t>23.10.2024 22:34:00</t>
        </is>
      </c>
      <c r="M135" s="19" t="inlineStr">
        <is>
          <t>0 sec</t>
        </is>
      </c>
      <c r="N135" s="21" t="inlineStr">
        <is>
          <t xml:space="preserve">          9K             9K             4K</t>
        </is>
      </c>
      <c r="O135" s="21" t="inlineStr">
        <is>
          <t>8T7n6U2GSzpCqFNbNdt4JSoZHtdXp6kdb9BXHs8Ypump</t>
        </is>
      </c>
      <c r="P135" s="21">
        <f>HYPERLINK("https://dexscreener.com/solana/8T7n6U2GSzpCqFNbNdt4JSoZHtdXp6kdb9BXHs8Ypump", "View")</f>
        <v/>
      </c>
    </row>
    <row r="136">
      <c r="A136" s="16" t="inlineStr">
        <is>
          <t>GRUMPY</t>
        </is>
      </c>
      <c r="B136" s="17" t="n">
        <v>320134</v>
      </c>
      <c r="C136" s="17" t="n">
        <v>0</v>
      </c>
      <c r="D136" s="17" t="inlineStr">
        <is>
          <t>0.000710</t>
        </is>
      </c>
      <c r="E136" s="17" t="inlineStr">
        <is>
          <t>0.025 SOL</t>
        </is>
      </c>
      <c r="F136" s="17" t="inlineStr">
        <is>
          <t>0.000 SOL</t>
        </is>
      </c>
      <c r="G136" s="18" t="inlineStr">
        <is>
          <t>-0.025 SOL</t>
        </is>
      </c>
      <c r="H136" s="18" t="inlineStr">
        <is>
          <t>0.00%</t>
        </is>
      </c>
      <c r="I136" s="17" t="inlineStr">
        <is>
          <t>320,134</t>
        </is>
      </c>
      <c r="J136" s="17" t="n">
        <v>1</v>
      </c>
      <c r="K136" s="17" t="n">
        <v>0</v>
      </c>
      <c r="L136" s="17" t="inlineStr">
        <is>
          <t>23.10.2024 22:31:42</t>
        </is>
      </c>
      <c r="M136" s="19" t="inlineStr">
        <is>
          <t>0 sec</t>
        </is>
      </c>
      <c r="N136" s="17" t="inlineStr">
        <is>
          <t xml:space="preserve">         11K            11K             6K</t>
        </is>
      </c>
      <c r="O136" s="17" t="inlineStr">
        <is>
          <t>5hZc1qQKpzTBLFm31VfhWPjo81rCJ2NspXjF9Uujpump</t>
        </is>
      </c>
      <c r="P136" s="17">
        <f>HYPERLINK("https://dexscreener.com/solana/5hZc1qQKpzTBLFm31VfhWPjo81rCJ2NspXjF9Uujpump", "View")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selection activeCell="A1" sqref="A1"/>
    </sheetView>
  </sheetViews>
  <sheetFormatPr baseColWidth="8" defaultRowHeight="15"/>
  <cols>
    <col width="46" customWidth="1" min="1" max="1"/>
    <col width="17" customWidth="1" min="2" max="2"/>
    <col width="17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HYPERLINK("https://gmgn.ai/sol/address/AP3oxFV3eTS4Vvo2FoS9ZCfTni1BuXTm2jkx6kp2F1hd", "GMGN")</f>
        <v/>
      </c>
    </row>
    <row r="2">
      <c r="A2" s="3" t="inlineStr">
        <is>
          <t>AP3oxFV3eTS4Vvo2FoS9ZCfTni1BuXTm2jkx6kp2F1hd</t>
        </is>
      </c>
      <c r="B2" s="3" t="inlineStr">
        <is>
          <t>2.40 SOL</t>
        </is>
      </c>
      <c r="C2" s="3" t="inlineStr">
        <is>
          <t>20%</t>
        </is>
      </c>
      <c r="D2" s="3" t="inlineStr">
        <is>
          <t>-25%</t>
        </is>
      </c>
      <c r="E2" s="3" t="inlineStr">
        <is>
          <t>-6.91 SOL</t>
        </is>
      </c>
      <c r="F2" s="3" t="inlineStr">
        <is>
          <t>0 (0%)</t>
        </is>
      </c>
      <c r="G2" s="3" t="inlineStr">
        <is>
          <t>6 (24%)</t>
        </is>
      </c>
      <c r="H2" s="3" t="n">
        <v>25</v>
      </c>
      <c r="I2" s="3" t="n">
        <v>1</v>
      </c>
      <c r="J2" s="3" t="inlineStr">
        <is>
          <t>38 days</t>
        </is>
      </c>
      <c r="K2" s="3" t="inlineStr">
        <is>
          <t>1 days</t>
        </is>
      </c>
      <c r="L2" s="3" t="n">
        <v>0</v>
      </c>
      <c r="M2" s="3" t="n">
        <v>30</v>
      </c>
      <c r="N2" s="3">
        <f>HYPERLINK("https://solscan.io/account/AP3oxFV3eTS4Vvo2FoS9ZCfTni1BuXTm2jkx6kp2F1hd", "Solscan")</f>
        <v/>
      </c>
    </row>
    <row r="3">
      <c r="A3" s="7" t="inlineStr">
        <is>
          <t>Median ROI</t>
        </is>
      </c>
      <c r="B3" s="5" t="inlineStr">
        <is>
          <t>-57.74%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HYPERLINK("https://birdeye.so/profile/AP3oxFV3eTS4Vvo2FoS9ZCfTni1BuXTm2jkx6kp2F1hd", "Birdeye")</f>
        <v/>
      </c>
    </row>
    <row r="4">
      <c r="A4" s="7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39%</t>
        </is>
      </c>
      <c r="E4" s="3" t="inlineStr">
        <is>
          <t>10.91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146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2.4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3</v>
      </c>
      <c r="C10" s="7" t="n">
        <v>0</v>
      </c>
      <c r="D10" s="7" t="n">
        <v>0</v>
      </c>
      <c r="E10" s="7" t="n">
        <v>2</v>
      </c>
      <c r="F10" s="7" t="n">
        <v>6</v>
      </c>
      <c r="G10" s="7" t="n">
        <v>14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12.0%</t>
        </is>
      </c>
      <c r="C11" s="7" t="inlineStr">
        <is>
          <t>0.0%</t>
        </is>
      </c>
      <c r="D11" s="7" t="inlineStr">
        <is>
          <t>0.0%</t>
        </is>
      </c>
      <c r="E11" s="7" t="inlineStr">
        <is>
          <t>8.0%</t>
        </is>
      </c>
      <c r="F11" s="7" t="inlineStr">
        <is>
          <t>24.0%</t>
        </is>
      </c>
      <c r="G11" s="7" t="inlineStr">
        <is>
          <t>56.0%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5.8 SOL</t>
        </is>
      </c>
      <c r="C12" s="7" t="inlineStr">
        <is>
          <t>0.0 SOL</t>
        </is>
      </c>
      <c r="D12" s="7" t="inlineStr">
        <is>
          <t>0.0 SOL</t>
        </is>
      </c>
      <c r="E12" s="7" t="inlineStr">
        <is>
          <t>0.1 SOL</t>
        </is>
      </c>
      <c r="F12" s="7" t="inlineStr">
        <is>
          <t>-4.7 SOL</t>
        </is>
      </c>
      <c r="G12" s="7" t="inlineStr">
        <is>
          <t>-8.1 SOL</t>
        </is>
      </c>
      <c r="H12" s="3" t="n"/>
      <c r="I12" s="3" t="inlineStr">
        <is>
          <t>30k-100k</t>
        </is>
      </c>
      <c r="J12" s="3" t="inlineStr">
        <is>
          <t>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14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434.0K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BFLYZ</t>
        </is>
      </c>
      <c r="B20" s="17" t="n">
        <v>237365</v>
      </c>
      <c r="C20" s="17" t="n">
        <v>0</v>
      </c>
      <c r="D20" s="17" t="inlineStr">
        <is>
          <t>0.000450</t>
        </is>
      </c>
      <c r="E20" s="17" t="inlineStr">
        <is>
          <t>1.026 SOL</t>
        </is>
      </c>
      <c r="F20" s="17" t="inlineStr">
        <is>
          <t>0.000 SOL</t>
        </is>
      </c>
      <c r="G20" s="18" t="inlineStr">
        <is>
          <t>-1.026 SOL</t>
        </is>
      </c>
      <c r="H20" s="18" t="inlineStr">
        <is>
          <t>0.00%</t>
        </is>
      </c>
      <c r="I20" s="17" t="inlineStr">
        <is>
          <t>237,365</t>
        </is>
      </c>
      <c r="J20" s="17" t="n">
        <v>1</v>
      </c>
      <c r="K20" s="17" t="n">
        <v>0</v>
      </c>
      <c r="L20" s="17" t="inlineStr">
        <is>
          <t>30.10.2024 11:59:30</t>
        </is>
      </c>
      <c r="M20" s="19" t="inlineStr">
        <is>
          <t>0 sec</t>
        </is>
      </c>
      <c r="N20" s="17" t="inlineStr">
        <is>
          <t xml:space="preserve">        759K           759K           170K</t>
        </is>
      </c>
      <c r="O20" s="17" t="inlineStr">
        <is>
          <t>DDxS3mzbFiwPgmpK7j573MDvD7EQj5stPHZ8K8Wppump</t>
        </is>
      </c>
      <c r="P20" s="17">
        <f>HYPERLINK("https://dexscreener.com/solana/DDxS3mzbFiwPgmpK7j573MDvD7EQj5stPHZ8K8Wppump", "View")</f>
        <v/>
      </c>
    </row>
    <row r="21">
      <c r="A21" s="20" t="inlineStr">
        <is>
          <t>Colossus</t>
        </is>
      </c>
      <c r="B21" s="21" t="n">
        <v>298594</v>
      </c>
      <c r="C21" s="21" t="n">
        <v>0</v>
      </c>
      <c r="D21" s="21" t="inlineStr">
        <is>
          <t>0.004310</t>
        </is>
      </c>
      <c r="E21" s="21" t="inlineStr">
        <is>
          <t>0.628 SOL</t>
        </is>
      </c>
      <c r="F21" s="21" t="inlineStr">
        <is>
          <t>0.000 SOL</t>
        </is>
      </c>
      <c r="G21" s="18" t="inlineStr">
        <is>
          <t>-0.632 SOL</t>
        </is>
      </c>
      <c r="H21" s="18" t="inlineStr">
        <is>
          <t>0.00%</t>
        </is>
      </c>
      <c r="I21" s="21" t="inlineStr">
        <is>
          <t>298,594</t>
        </is>
      </c>
      <c r="J21" s="21" t="n">
        <v>3</v>
      </c>
      <c r="K21" s="21" t="n">
        <v>0</v>
      </c>
      <c r="L21" s="21" t="inlineStr">
        <is>
          <t>30.10.2024 08:52:56</t>
        </is>
      </c>
      <c r="M21" s="21" t="inlineStr">
        <is>
          <t>18 hours</t>
        </is>
      </c>
      <c r="N21" s="21" t="inlineStr">
        <is>
          <t xml:space="preserve">        255K           392K           119K</t>
        </is>
      </c>
      <c r="O21" s="21" t="inlineStr">
        <is>
          <t>8SuMAjoZeLGaaekNHP235Dv4soXsrcseFXefT3A9pump</t>
        </is>
      </c>
      <c r="P21" s="21">
        <f>HYPERLINK("https://dexscreener.com/solana/8SuMAjoZeLGaaekNHP235Dv4soXsrcseFXefT3A9pump", "View")</f>
        <v/>
      </c>
    </row>
    <row r="22">
      <c r="A22" s="16" t="inlineStr">
        <is>
          <t>LMAO</t>
        </is>
      </c>
      <c r="B22" s="17" t="n">
        <v>468308</v>
      </c>
      <c r="C22" s="17" t="n">
        <v>0</v>
      </c>
      <c r="D22" s="17" t="inlineStr">
        <is>
          <t>0.000430</t>
        </is>
      </c>
      <c r="E22" s="17" t="inlineStr">
        <is>
          <t>0.200 SOL</t>
        </is>
      </c>
      <c r="F22" s="17" t="inlineStr">
        <is>
          <t>0.000 SOL</t>
        </is>
      </c>
      <c r="G22" s="18" t="inlineStr">
        <is>
          <t>-0.200 SOL</t>
        </is>
      </c>
      <c r="H22" s="18" t="inlineStr">
        <is>
          <t>0.00%</t>
        </is>
      </c>
      <c r="I22" s="17" t="inlineStr">
        <is>
          <t>468,308</t>
        </is>
      </c>
      <c r="J22" s="17" t="n">
        <v>1</v>
      </c>
      <c r="K22" s="17" t="n">
        <v>0</v>
      </c>
      <c r="L22" s="17" t="inlineStr">
        <is>
          <t>30.10.2024 06:01:44</t>
        </is>
      </c>
      <c r="M22" s="19" t="inlineStr">
        <is>
          <t>0 sec</t>
        </is>
      </c>
      <c r="N22" s="17" t="inlineStr">
        <is>
          <t xml:space="preserve">         76K            76K             5K</t>
        </is>
      </c>
      <c r="O22" s="17" t="inlineStr">
        <is>
          <t>F2Vs9VuvAjRnJADwb6gcnHyRynweGSegxYYssGAapuMP</t>
        </is>
      </c>
      <c r="P22" s="17">
        <f>HYPERLINK("https://dexscreener.com/solana/F2Vs9VuvAjRnJADwb6gcnHyRynweGSegxYYssGAapuMP", "View")</f>
        <v/>
      </c>
    </row>
    <row r="23">
      <c r="A23" s="20" t="inlineStr">
        <is>
          <t>Les</t>
        </is>
      </c>
      <c r="B23" s="21" t="n">
        <v>2126830</v>
      </c>
      <c r="C23" s="21" t="n">
        <v>0</v>
      </c>
      <c r="D23" s="21" t="inlineStr">
        <is>
          <t>0.002020</t>
        </is>
      </c>
      <c r="E23" s="21" t="inlineStr">
        <is>
          <t>0.636 SOL</t>
        </is>
      </c>
      <c r="F23" s="21" t="inlineStr">
        <is>
          <t>0.000 SOL</t>
        </is>
      </c>
      <c r="G23" s="18" t="inlineStr">
        <is>
          <t>-0.638 SOL</t>
        </is>
      </c>
      <c r="H23" s="18" t="inlineStr">
        <is>
          <t>0.00%</t>
        </is>
      </c>
      <c r="I23" s="21" t="inlineStr">
        <is>
          <t>2,126,830</t>
        </is>
      </c>
      <c r="J23" s="21" t="n">
        <v>2</v>
      </c>
      <c r="K23" s="21" t="n">
        <v>0</v>
      </c>
      <c r="L23" s="21" t="inlineStr">
        <is>
          <t>30.10.2024 01:03:01</t>
        </is>
      </c>
      <c r="M23" s="21" t="inlineStr">
        <is>
          <t>48 min</t>
        </is>
      </c>
      <c r="N23" s="21" t="inlineStr">
        <is>
          <t xml:space="preserve">         79K            30K            17K</t>
        </is>
      </c>
      <c r="O23" s="21" t="inlineStr">
        <is>
          <t>2STuxBNmKUtBkAzLwuN8hVKWYMGf6h3vVHSJJe74pump</t>
        </is>
      </c>
      <c r="P23" s="21">
        <f>HYPERLINK("https://dexscreener.com/solana/2STuxBNmKUtBkAzLwuN8hVKWYMGf6h3vVHSJJe74pump", "View")</f>
        <v/>
      </c>
    </row>
    <row r="24">
      <c r="A24" s="16" t="inlineStr">
        <is>
          <t>SHIBU</t>
        </is>
      </c>
      <c r="B24" s="17" t="n">
        <v>196466</v>
      </c>
      <c r="C24" s="17" t="n">
        <v>176820</v>
      </c>
      <c r="D24" s="17" t="inlineStr">
        <is>
          <t>0.003110</t>
        </is>
      </c>
      <c r="E24" s="17" t="inlineStr">
        <is>
          <t>0.251 SOL</t>
        </is>
      </c>
      <c r="F24" s="17" t="inlineStr">
        <is>
          <t>2.306 SOL</t>
        </is>
      </c>
      <c r="G24" s="24" t="inlineStr">
        <is>
          <t>2.052 SOL</t>
        </is>
      </c>
      <c r="H24" s="24" t="inlineStr">
        <is>
          <t>807.07%</t>
        </is>
      </c>
      <c r="I24" s="17" t="inlineStr">
        <is>
          <t>N/A</t>
        </is>
      </c>
      <c r="J24" s="17" t="n">
        <v>1</v>
      </c>
      <c r="K24" s="17" t="n">
        <v>2</v>
      </c>
      <c r="L24" s="17" t="inlineStr">
        <is>
          <t>29.10.2024 15:39:53</t>
        </is>
      </c>
      <c r="M24" s="17" t="inlineStr">
        <is>
          <t>13 hours</t>
        </is>
      </c>
      <c r="N24" s="17" t="inlineStr">
        <is>
          <t xml:space="preserve">        225K           225K             7M</t>
        </is>
      </c>
      <c r="O24" s="17" t="inlineStr">
        <is>
          <t>yG6bXPEFaUnGAEHHqH9H7t1VSfaK7YrggCqHy35pump</t>
        </is>
      </c>
      <c r="P24" s="17">
        <f>HYPERLINK("https://dexscreener.com/solana/yG6bXPEFaUnGAEHHqH9H7t1VSfaK7YrggCqHy35pump", "View")</f>
        <v/>
      </c>
    </row>
    <row r="25">
      <c r="A25" s="20" t="inlineStr">
        <is>
          <t>EACC</t>
        </is>
      </c>
      <c r="B25" s="21" t="n">
        <v>1882956</v>
      </c>
      <c r="C25" s="21" t="n">
        <v>941478</v>
      </c>
      <c r="D25" s="21" t="inlineStr">
        <is>
          <t>0.003170</t>
        </is>
      </c>
      <c r="E25" s="21" t="inlineStr">
        <is>
          <t>0.887 SOL</t>
        </is>
      </c>
      <c r="F25" s="21" t="inlineStr">
        <is>
          <t>0.376 SOL</t>
        </is>
      </c>
      <c r="G25" s="23" t="inlineStr">
        <is>
          <t>-0.514 SOL</t>
        </is>
      </c>
      <c r="H25" s="23" t="inlineStr">
        <is>
          <t>-57.74%</t>
        </is>
      </c>
      <c r="I25" s="21" t="inlineStr">
        <is>
          <t>N/A</t>
        </is>
      </c>
      <c r="J25" s="21" t="n">
        <v>2</v>
      </c>
      <c r="K25" s="21" t="n">
        <v>1</v>
      </c>
      <c r="L25" s="21" t="inlineStr">
        <is>
          <t>29.10.2024 15:37:52</t>
        </is>
      </c>
      <c r="M25" s="21" t="inlineStr">
        <is>
          <t>2 days</t>
        </is>
      </c>
      <c r="N25" s="21" t="inlineStr">
        <is>
          <t xml:space="preserve">         75K            75K            61K</t>
        </is>
      </c>
      <c r="O25" s="21" t="inlineStr">
        <is>
          <t>HzhhfexEbj3dnVr55mBhiq4Zzh7kSQdDWdjxrMX3pump</t>
        </is>
      </c>
      <c r="P25" s="21">
        <f>HYPERLINK("https://dexscreener.com/solana/HzhhfexEbj3dnVr55mBhiq4Zzh7kSQdDWdjxrMX3pump", "View")</f>
        <v/>
      </c>
    </row>
    <row r="26">
      <c r="A26" s="16" t="inlineStr">
        <is>
          <t>L7</t>
        </is>
      </c>
      <c r="B26" s="17" t="n">
        <v>10465352</v>
      </c>
      <c r="C26" s="17" t="n">
        <v>12255749</v>
      </c>
      <c r="D26" s="17" t="inlineStr">
        <is>
          <t>0.011870</t>
        </is>
      </c>
      <c r="E26" s="17" t="inlineStr">
        <is>
          <t>11.449 SOL</t>
        </is>
      </c>
      <c r="F26" s="17" t="inlineStr">
        <is>
          <t>8.223 SOL</t>
        </is>
      </c>
      <c r="G26" s="25" t="inlineStr">
        <is>
          <t>-3.239 SOL</t>
        </is>
      </c>
      <c r="H26" s="25" t="inlineStr">
        <is>
          <t>-28.26%</t>
        </is>
      </c>
      <c r="I26" s="17" t="inlineStr">
        <is>
          <t>N/A</t>
        </is>
      </c>
      <c r="J26" s="17" t="n">
        <v>22</v>
      </c>
      <c r="K26" s="17" t="n">
        <v>8</v>
      </c>
      <c r="L26" s="17" t="inlineStr">
        <is>
          <t>28.10.2024 23:58:41</t>
        </is>
      </c>
      <c r="M26" s="17" t="inlineStr">
        <is>
          <t>1 months</t>
        </is>
      </c>
      <c r="N26" s="17" t="inlineStr">
        <is>
          <t xml:space="preserve">         42K           170K            46K</t>
        </is>
      </c>
      <c r="O26" s="17" t="inlineStr">
        <is>
          <t>3heCeKrsD5wunvxDLZaqF91Tu1ZaihdXMe6PEueQpump</t>
        </is>
      </c>
      <c r="P26" s="17">
        <f>HYPERLINK("https://dexscreener.com/solana/3heCeKrsD5wunvxDLZaqF91Tu1ZaihdXMe6PEueQpump", "View")</f>
        <v/>
      </c>
    </row>
    <row r="27">
      <c r="A27" s="20" t="inlineStr">
        <is>
          <t>01</t>
        </is>
      </c>
      <c r="B27" s="21" t="n">
        <v>122225</v>
      </c>
      <c r="C27" s="21" t="n">
        <v>122225</v>
      </c>
      <c r="D27" s="21" t="inlineStr">
        <is>
          <t>0.003530</t>
        </is>
      </c>
      <c r="E27" s="21" t="inlineStr">
        <is>
          <t>0.287 SOL</t>
        </is>
      </c>
      <c r="F27" s="21" t="inlineStr">
        <is>
          <t>0.196 SOL</t>
        </is>
      </c>
      <c r="G27" s="25" t="inlineStr">
        <is>
          <t>-0.095 SOL</t>
        </is>
      </c>
      <c r="H27" s="25" t="inlineStr">
        <is>
          <t>-32.77%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22:53:41</t>
        </is>
      </c>
      <c r="M27" s="21" t="inlineStr">
        <is>
          <t>19 hours</t>
        </is>
      </c>
      <c r="N27" s="21" t="inlineStr">
        <is>
          <t xml:space="preserve">        413K           281K           138K</t>
        </is>
      </c>
      <c r="O27" s="21" t="inlineStr">
        <is>
          <t>GFGSBt8NUqXa6w33dScPXoJQsq7iNpjLXaB7FNj5pump</t>
        </is>
      </c>
      <c r="P27" s="21">
        <f>HYPERLINK("https://dexscreener.com/solana/GFGSBt8NUqXa6w33dScPXoJQsq7iNpjLXaB7FNj5pump", "View")</f>
        <v/>
      </c>
    </row>
    <row r="28">
      <c r="A28" s="16" t="inlineStr">
        <is>
          <t>GNON</t>
        </is>
      </c>
      <c r="B28" s="17" t="n">
        <v>123600</v>
      </c>
      <c r="C28" s="17" t="n">
        <v>0</v>
      </c>
      <c r="D28" s="17" t="inlineStr">
        <is>
          <t>0.002850</t>
        </is>
      </c>
      <c r="E28" s="17" t="inlineStr">
        <is>
          <t>0.659 SOL</t>
        </is>
      </c>
      <c r="F28" s="17" t="inlineStr">
        <is>
          <t>0.000 SOL</t>
        </is>
      </c>
      <c r="G28" s="18" t="inlineStr">
        <is>
          <t>-0.661 SOL</t>
        </is>
      </c>
      <c r="H28" s="18" t="inlineStr">
        <is>
          <t>0.00%</t>
        </is>
      </c>
      <c r="I28" s="17" t="inlineStr">
        <is>
          <t>123,600</t>
        </is>
      </c>
      <c r="J28" s="17" t="n">
        <v>3</v>
      </c>
      <c r="K28" s="17" t="n">
        <v>0</v>
      </c>
      <c r="L28" s="17" t="inlineStr">
        <is>
          <t>27.10.2024 22:38:29</t>
        </is>
      </c>
      <c r="M28" s="17" t="inlineStr">
        <is>
          <t>6 days</t>
        </is>
      </c>
      <c r="N28" s="17" t="inlineStr">
        <is>
          <t xml:space="preserve">         12M           577K             4M</t>
        </is>
      </c>
      <c r="O28" s="17" t="inlineStr">
        <is>
          <t>HeJUFDxfJSzYFUuHLxkMqCgytU31G6mjP4wKviwqpump</t>
        </is>
      </c>
      <c r="P28" s="17">
        <f>HYPERLINK("https://dexscreener.com/solana/HeJUFDxfJSzYFUuHLxkMqCgytU31G6mjP4wKviwqpump", "View")</f>
        <v/>
      </c>
    </row>
    <row r="29">
      <c r="A29" s="20" t="inlineStr">
        <is>
          <t>degenai</t>
        </is>
      </c>
      <c r="B29" s="21" t="n">
        <v>19238</v>
      </c>
      <c r="C29" s="21" t="n">
        <v>31387</v>
      </c>
      <c r="D29" s="21" t="inlineStr">
        <is>
          <t>0.003330</t>
        </is>
      </c>
      <c r="E29" s="21" t="inlineStr">
        <is>
          <t>0.362 SOL</t>
        </is>
      </c>
      <c r="F29" s="21" t="inlineStr">
        <is>
          <t>3.598 SOL</t>
        </is>
      </c>
      <c r="G29" s="24" t="inlineStr">
        <is>
          <t>3.232 SOL</t>
        </is>
      </c>
      <c r="H29" s="24" t="inlineStr">
        <is>
          <t>884.62%</t>
        </is>
      </c>
      <c r="I29" s="21" t="inlineStr">
        <is>
          <t>N/A</t>
        </is>
      </c>
      <c r="J29" s="21" t="n">
        <v>2</v>
      </c>
      <c r="K29" s="21" t="n">
        <v>2</v>
      </c>
      <c r="L29" s="21" t="inlineStr">
        <is>
          <t>27.10.2024 14:02:47</t>
        </is>
      </c>
      <c r="M29" s="21" t="inlineStr">
        <is>
          <t>3 days</t>
        </is>
      </c>
      <c r="N29" s="21" t="inlineStr">
        <is>
          <t xml:space="preserve">          2M            19M             7M</t>
        </is>
      </c>
      <c r="O29" s="21" t="inlineStr">
        <is>
          <t>Gu3LDkn7Vx3bmCzLafYNKcDxv2mH7YN44NJZFXnypump</t>
        </is>
      </c>
      <c r="P29" s="21">
        <f>HYPERLINK("https://dexscreener.com/solana/Gu3LDkn7Vx3bmCzLafYNKcDxv2mH7YN44NJZFXnypump", "View")</f>
        <v/>
      </c>
    </row>
    <row r="30">
      <c r="A30" s="16" t="inlineStr">
        <is>
          <t>Project89</t>
        </is>
      </c>
      <c r="B30" s="17" t="n">
        <v>4762</v>
      </c>
      <c r="C30" s="17" t="n">
        <v>4762</v>
      </c>
      <c r="D30" s="17" t="inlineStr">
        <is>
          <t>0.000860</t>
        </is>
      </c>
      <c r="E30" s="17" t="inlineStr">
        <is>
          <t>0.680 SOL</t>
        </is>
      </c>
      <c r="F30" s="17" t="inlineStr">
        <is>
          <t>0.577 SOL</t>
        </is>
      </c>
      <c r="G30" s="25" t="inlineStr">
        <is>
          <t>-0.105 SOL</t>
        </is>
      </c>
      <c r="H30" s="25" t="inlineStr">
        <is>
          <t>-15.35%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27.10.2024 10:44:39</t>
        </is>
      </c>
      <c r="M30" s="17" t="inlineStr">
        <is>
          <t>17 min</t>
        </is>
      </c>
      <c r="N30" s="17" t="inlineStr">
        <is>
          <t xml:space="preserve">         25M            21M             8M</t>
        </is>
      </c>
      <c r="O30" s="17" t="inlineStr">
        <is>
          <t>Bz4MhmVRQENiCou7ZpJ575wpjNFjBjVBSiVhuNg1pump</t>
        </is>
      </c>
      <c r="P30" s="17">
        <f>HYPERLINK("https://dexscreener.com/solana/Bz4MhmVRQENiCou7ZpJ575wpjNFjBjVBSiVhuNg1pump", "View")</f>
        <v/>
      </c>
    </row>
    <row r="31">
      <c r="A31" s="20" t="inlineStr">
        <is>
          <t>GOAT</t>
        </is>
      </c>
      <c r="B31" s="21" t="n">
        <v>2216</v>
      </c>
      <c r="C31" s="21" t="n">
        <v>627</v>
      </c>
      <c r="D31" s="21" t="inlineStr">
        <is>
          <t>0.002360</t>
        </is>
      </c>
      <c r="E31" s="21" t="inlineStr">
        <is>
          <t>2.506 SOL</t>
        </is>
      </c>
      <c r="F31" s="21" t="inlineStr">
        <is>
          <t>1.584 SOL</t>
        </is>
      </c>
      <c r="G31" s="25" t="inlineStr">
        <is>
          <t>-0.924 SOL</t>
        </is>
      </c>
      <c r="H31" s="25" t="inlineStr">
        <is>
          <t>-36.84%</t>
        </is>
      </c>
      <c r="I31" s="21" t="inlineStr">
        <is>
          <t>N/A</t>
        </is>
      </c>
      <c r="J31" s="21" t="n">
        <v>2</v>
      </c>
      <c r="K31" s="21" t="n">
        <v>1</v>
      </c>
      <c r="L31" s="21" t="inlineStr">
        <is>
          <t>19.10.2024 08:01:27</t>
        </is>
      </c>
      <c r="M31" s="21" t="inlineStr">
        <is>
          <t>2 days</t>
        </is>
      </c>
      <c r="N31" s="21" t="inlineStr">
        <is>
          <t xml:space="preserve">        275M           444M           569M</t>
        </is>
      </c>
      <c r="O31" s="21" t="inlineStr">
        <is>
          <t>CzLSujWBLFsSjncfkh59rUFqvafWcY5tzedWJSuypump</t>
        </is>
      </c>
      <c r="P31" s="21">
        <f>HYPERLINK("https://dexscreener.com/solana/CzLSujWBLFsSjncfkh59rUFqvafWcY5tzedWJSuypump", "View")</f>
        <v/>
      </c>
    </row>
    <row r="32">
      <c r="A32" s="16" t="inlineStr">
        <is>
          <t>RNT</t>
        </is>
      </c>
      <c r="B32" s="17" t="n">
        <v>3187</v>
      </c>
      <c r="C32" s="17" t="n">
        <v>0</v>
      </c>
      <c r="D32" s="17" t="inlineStr">
        <is>
          <t>0.000530</t>
        </is>
      </c>
      <c r="E32" s="17" t="inlineStr">
        <is>
          <t>0.355 SOL</t>
        </is>
      </c>
      <c r="F32" s="17" t="inlineStr">
        <is>
          <t>0.000 SOL</t>
        </is>
      </c>
      <c r="G32" s="18" t="inlineStr">
        <is>
          <t>-0.356 SOL</t>
        </is>
      </c>
      <c r="H32" s="18" t="inlineStr">
        <is>
          <t>0.00%</t>
        </is>
      </c>
      <c r="I32" s="17" t="inlineStr">
        <is>
          <t>3,187</t>
        </is>
      </c>
      <c r="J32" s="17" t="n">
        <v>1</v>
      </c>
      <c r="K32" s="17" t="n">
        <v>0</v>
      </c>
      <c r="L32" s="17" t="inlineStr">
        <is>
          <t>17.10.2024 06:14:30</t>
        </is>
      </c>
      <c r="M32" s="19" t="inlineStr">
        <is>
          <t>0 sec</t>
        </is>
      </c>
      <c r="N32" s="17" t="inlineStr">
        <is>
          <t xml:space="preserve">         20M            20M            12M</t>
        </is>
      </c>
      <c r="O32" s="17" t="inlineStr">
        <is>
          <t>2fUFhZyd47Mapv9wcfXh5gnQwFXtqcYu9xAN4THBpump</t>
        </is>
      </c>
      <c r="P32" s="17">
        <f>HYPERLINK("https://dexscreener.com/solana/2fUFhZyd47Mapv9wcfXh5gnQwFXtqcYu9xAN4THBpump", "View")</f>
        <v/>
      </c>
    </row>
    <row r="33">
      <c r="A33" s="20" t="inlineStr">
        <is>
          <t>ALPHA</t>
        </is>
      </c>
      <c r="B33" s="21" t="n">
        <v>16638</v>
      </c>
      <c r="C33" s="21" t="n">
        <v>28592</v>
      </c>
      <c r="D33" s="21" t="inlineStr">
        <is>
          <t>0.000780</t>
        </is>
      </c>
      <c r="E33" s="21" t="inlineStr">
        <is>
          <t>0.315 SOL</t>
        </is>
      </c>
      <c r="F33" s="21" t="inlineStr">
        <is>
          <t>0.254 SOL</t>
        </is>
      </c>
      <c r="G33" s="25" t="inlineStr">
        <is>
          <t>-0.062 SOL</t>
        </is>
      </c>
      <c r="H33" s="25" t="inlineStr">
        <is>
          <t>-19.51%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16.10.2024 08:48:16</t>
        </is>
      </c>
      <c r="M33" s="21" t="inlineStr">
        <is>
          <t>1 days</t>
        </is>
      </c>
      <c r="N33" s="21" t="inlineStr">
        <is>
          <t xml:space="preserve">          3M             2M           223K</t>
        </is>
      </c>
      <c r="O33" s="21" t="inlineStr">
        <is>
          <t>EvNBoWwZFF6pPpjTnNSzrurxkDfw1PGUmih1eAStpump</t>
        </is>
      </c>
      <c r="P33" s="21">
        <f>HYPERLINK("https://dexscreener.com/solana/EvNBoWwZFF6pPpjTnNSzrurxkDfw1PGUmih1eAStpump", "View")</f>
        <v/>
      </c>
    </row>
    <row r="34">
      <c r="A34" s="16" t="inlineStr">
        <is>
          <t>LEN</t>
        </is>
      </c>
      <c r="B34" s="17" t="n">
        <v>556632</v>
      </c>
      <c r="C34" s="17" t="n">
        <v>723708</v>
      </c>
      <c r="D34" s="17" t="inlineStr">
        <is>
          <t>0.001890</t>
        </is>
      </c>
      <c r="E34" s="17" t="inlineStr">
        <is>
          <t>1.095 SOL</t>
        </is>
      </c>
      <c r="F34" s="17" t="inlineStr">
        <is>
          <t>0.793 SOL</t>
        </is>
      </c>
      <c r="G34" s="25" t="inlineStr">
        <is>
          <t>-0.303 SOL</t>
        </is>
      </c>
      <c r="H34" s="25" t="inlineStr">
        <is>
          <t>-27.66%</t>
        </is>
      </c>
      <c r="I34" s="17" t="inlineStr">
        <is>
          <t>N/A</t>
        </is>
      </c>
      <c r="J34" s="17" t="n">
        <v>3</v>
      </c>
      <c r="K34" s="17" t="n">
        <v>1</v>
      </c>
      <c r="L34" s="17" t="inlineStr">
        <is>
          <t>14.10.2024 14:38:47</t>
        </is>
      </c>
      <c r="M34" s="17" t="inlineStr">
        <is>
          <t>3 days</t>
        </is>
      </c>
      <c r="N34" s="17" t="inlineStr">
        <is>
          <t xml:space="preserve">        221K           414K           102K</t>
        </is>
      </c>
      <c r="O34" s="17" t="inlineStr">
        <is>
          <t>9WuADsQtSPQCA18xan5PJj8m1t82bQeUkLoLssS2pump</t>
        </is>
      </c>
      <c r="P34" s="17">
        <f>HYPERLINK("https://dexscreener.com/solana/9WuADsQtSPQCA18xan5PJj8m1t82bQeUkLoLssS2pump", "View")</f>
        <v/>
      </c>
    </row>
    <row r="35">
      <c r="A35" s="20" t="inlineStr">
        <is>
          <t>W</t>
        </is>
      </c>
      <c r="B35" s="21" t="n">
        <v>27310</v>
      </c>
      <c r="C35" s="21" t="n">
        <v>0</v>
      </c>
      <c r="D35" s="21" t="inlineStr">
        <is>
          <t>0.000400</t>
        </is>
      </c>
      <c r="E35" s="21" t="inlineStr">
        <is>
          <t>0.250 SOL</t>
        </is>
      </c>
      <c r="F35" s="21" t="inlineStr">
        <is>
          <t>0.000 SOL</t>
        </is>
      </c>
      <c r="G35" s="18" t="inlineStr">
        <is>
          <t>-0.250 SOL</t>
        </is>
      </c>
      <c r="H35" s="18" t="inlineStr">
        <is>
          <t>0.00%</t>
        </is>
      </c>
      <c r="I35" s="21" t="inlineStr">
        <is>
          <t>27,310</t>
        </is>
      </c>
      <c r="J35" s="21" t="n">
        <v>1</v>
      </c>
      <c r="K35" s="21" t="n">
        <v>0</v>
      </c>
      <c r="L35" s="21" t="inlineStr">
        <is>
          <t>14.10.2024 12:58:49</t>
        </is>
      </c>
      <c r="M35" s="19" t="inlineStr">
        <is>
          <t>0 sec</t>
        </is>
      </c>
      <c r="N35" s="21" t="inlineStr">
        <is>
          <t xml:space="preserve">        N/A           N/A           N/A</t>
        </is>
      </c>
      <c r="O35" s="21" t="inlineStr">
        <is>
          <t>2xyoTZzNVvbWABQmaDwYb1mhuvutQkGuCPTSMqicpump</t>
        </is>
      </c>
      <c r="P35" s="21">
        <f>HYPERLINK("https://dexscreener.com/solana/2xyoTZzNVvbWABQmaDwYb1mhuvutQkGuCPTSMqicpump", "View")</f>
        <v/>
      </c>
    </row>
    <row r="36">
      <c r="A36" s="16" t="inlineStr">
        <is>
          <t>WLFI</t>
        </is>
      </c>
      <c r="B36" s="17" t="n">
        <v>119080127896134</v>
      </c>
      <c r="C36" s="17" t="n">
        <v>138909375821120</v>
      </c>
      <c r="D36" s="17" t="inlineStr">
        <is>
          <t>0.000500</t>
        </is>
      </c>
      <c r="E36" s="17" t="inlineStr">
        <is>
          <t>1.695 SOL</t>
        </is>
      </c>
      <c r="F36" s="17" t="inlineStr">
        <is>
          <t>1.827 SOL</t>
        </is>
      </c>
      <c r="G36" s="22" t="inlineStr">
        <is>
          <t>0.132 SOL</t>
        </is>
      </c>
      <c r="H36" s="22" t="inlineStr">
        <is>
          <t>7.76%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11.10.2024 13:01:18</t>
        </is>
      </c>
      <c r="M36" s="17" t="inlineStr">
        <is>
          <t>19 min</t>
        </is>
      </c>
      <c r="N36" s="17" t="inlineStr">
        <is>
          <t xml:space="preserve">        N/A           N/A           195K</t>
        </is>
      </c>
      <c r="O36" s="17" t="inlineStr">
        <is>
          <t>Cq1y5UdQfqf1JMFw98iEYHRXm1VY7aLxhdShxGbffp7e</t>
        </is>
      </c>
      <c r="P36" s="17">
        <f>HYPERLINK("https://dexscreener.com/solana/Cq1y5UdQfqf1JMFw98iEYHRXm1VY7aLxhdShxGbffp7e", "View")</f>
        <v/>
      </c>
    </row>
    <row r="37">
      <c r="A37" s="20" t="inlineStr">
        <is>
          <t>1%</t>
        </is>
      </c>
      <c r="B37" s="21" t="n">
        <v>19829248073674</v>
      </c>
      <c r="C37" s="21" t="n">
        <v>0</v>
      </c>
      <c r="D37" s="21" t="inlineStr">
        <is>
          <t>0.001370</t>
        </is>
      </c>
      <c r="E37" s="21" t="inlineStr">
        <is>
          <t>1.247 SOL</t>
        </is>
      </c>
      <c r="F37" s="21" t="inlineStr">
        <is>
          <t>0.000 SOL</t>
        </is>
      </c>
      <c r="G37" s="18" t="inlineStr">
        <is>
          <t>-1.248 SOL</t>
        </is>
      </c>
      <c r="H37" s="18" t="inlineStr">
        <is>
          <t>0.00%</t>
        </is>
      </c>
      <c r="I37" s="21" t="inlineStr">
        <is>
          <t>19,829,248,073,674</t>
        </is>
      </c>
      <c r="J37" s="21" t="n">
        <v>3</v>
      </c>
      <c r="K37" s="21" t="n">
        <v>0</v>
      </c>
      <c r="L37" s="21" t="inlineStr">
        <is>
          <t>11.10.2024 12:31:32</t>
        </is>
      </c>
      <c r="M37" s="21" t="inlineStr">
        <is>
          <t>1 days</t>
        </is>
      </c>
      <c r="N37" s="21" t="inlineStr">
        <is>
          <t xml:space="preserve">          3M           N/A           121K</t>
        </is>
      </c>
      <c r="O37" s="21" t="inlineStr">
        <is>
          <t>3dwu2tw7kBFZvWEdJMbPCGm7MBwgziABChLV1kGspump</t>
        </is>
      </c>
      <c r="P37" s="21">
        <f>HYPERLINK("https://dexscreener.com/solana/3dwu2tw7kBFZvWEdJMbPCGm7MBwgziABChLV1kGspump", "View")</f>
        <v/>
      </c>
    </row>
    <row r="38">
      <c r="A38" s="16" t="inlineStr">
        <is>
          <t>MOODENGWIF</t>
        </is>
      </c>
      <c r="B38" s="17" t="n">
        <v>25484</v>
      </c>
      <c r="C38" s="17" t="n">
        <v>107439</v>
      </c>
      <c r="D38" s="17" t="inlineStr">
        <is>
          <t>0.000930</t>
        </is>
      </c>
      <c r="E38" s="17" t="inlineStr">
        <is>
          <t>0.066 SOL</t>
        </is>
      </c>
      <c r="F38" s="17" t="inlineStr">
        <is>
          <t>0.593 SOL</t>
        </is>
      </c>
      <c r="G38" s="24" t="inlineStr">
        <is>
          <t>0.526 SOL</t>
        </is>
      </c>
      <c r="H38" s="24" t="inlineStr">
        <is>
          <t>786.89%</t>
        </is>
      </c>
      <c r="I38" s="17" t="inlineStr">
        <is>
          <t>N/A</t>
        </is>
      </c>
      <c r="J38" s="17" t="n">
        <v>1</v>
      </c>
      <c r="K38" s="17" t="n">
        <v>2</v>
      </c>
      <c r="L38" s="17" t="inlineStr">
        <is>
          <t>30.09.2024 14:42:59</t>
        </is>
      </c>
      <c r="M38" s="17" t="inlineStr">
        <is>
          <t>1 days</t>
        </is>
      </c>
      <c r="N38" s="17" t="inlineStr">
        <is>
          <t xml:space="preserve">        455K           485K            27K</t>
        </is>
      </c>
      <c r="O38" s="17" t="inlineStr">
        <is>
          <t>CkXMc7jucs85oPfFsE4N51TgKWttSPuFuu6AAGZYpump</t>
        </is>
      </c>
      <c r="P38" s="17">
        <f>HYPERLINK("https://dexscreener.com/solana/CkXMc7jucs85oPfFsE4N51TgKWttSPuFuu6AAGZYpump", "View")</f>
        <v/>
      </c>
    </row>
    <row r="39">
      <c r="A39" s="20" t="inlineStr">
        <is>
          <t>sSOL</t>
        </is>
      </c>
      <c r="B39" s="21" t="n">
        <v>35382</v>
      </c>
      <c r="C39" s="21" t="n">
        <v>0</v>
      </c>
      <c r="D39" s="21" t="inlineStr">
        <is>
          <t>0.000610</t>
        </is>
      </c>
      <c r="E39" s="21" t="inlineStr">
        <is>
          <t>1.395 SOL</t>
        </is>
      </c>
      <c r="F39" s="21" t="inlineStr">
        <is>
          <t>0.000 SOL</t>
        </is>
      </c>
      <c r="G39" s="18" t="inlineStr">
        <is>
          <t>-1.395 SOL</t>
        </is>
      </c>
      <c r="H39" s="18" t="inlineStr">
        <is>
          <t>0.00%</t>
        </is>
      </c>
      <c r="I39" s="21" t="inlineStr">
        <is>
          <t>35,382</t>
        </is>
      </c>
      <c r="J39" s="21" t="n">
        <v>2</v>
      </c>
      <c r="K39" s="21" t="n">
        <v>0</v>
      </c>
      <c r="L39" s="21" t="inlineStr">
        <is>
          <t>29.09.2024 04:55:13</t>
        </is>
      </c>
      <c r="M39" s="21" t="inlineStr">
        <is>
          <t>17 hours</t>
        </is>
      </c>
      <c r="N39" s="21" t="inlineStr">
        <is>
          <t xml:space="preserve">          3K           347K           216M</t>
        </is>
      </c>
      <c r="O39" s="21" t="inlineStr">
        <is>
          <t>sSo14endRuUbvQaJS3dq36Q829a3A6BEfoeeRGJywEh</t>
        </is>
      </c>
      <c r="P39" s="21">
        <f>HYPERLINK("https://dexscreener.com/solana/sSo14endRuUbvQaJS3dq36Q829a3A6BEfoeeRGJywEh", "View")</f>
        <v/>
      </c>
    </row>
    <row r="40">
      <c r="A40" s="16" t="inlineStr">
        <is>
          <t>GM</t>
        </is>
      </c>
      <c r="B40" s="17" t="n">
        <v>557192</v>
      </c>
      <c r="C40" s="17" t="n">
        <v>278596</v>
      </c>
      <c r="D40" s="17" t="inlineStr">
        <is>
          <t>0.001210</t>
        </is>
      </c>
      <c r="E40" s="17" t="inlineStr">
        <is>
          <t>1.114 SOL</t>
        </is>
      </c>
      <c r="F40" s="17" t="inlineStr">
        <is>
          <t>0.550 SOL</t>
        </is>
      </c>
      <c r="G40" s="23" t="inlineStr">
        <is>
          <t>-0.565 SOL</t>
        </is>
      </c>
      <c r="H40" s="23" t="inlineStr">
        <is>
          <t>-50.64%</t>
        </is>
      </c>
      <c r="I40" s="17" t="inlineStr">
        <is>
          <t>N/A</t>
        </is>
      </c>
      <c r="J40" s="17" t="n">
        <v>2</v>
      </c>
      <c r="K40" s="17" t="n">
        <v>1</v>
      </c>
      <c r="L40" s="17" t="inlineStr">
        <is>
          <t>29.09.2024 03:44:26</t>
        </is>
      </c>
      <c r="M40" s="17" t="inlineStr">
        <is>
          <t>16 min</t>
        </is>
      </c>
      <c r="N40" s="17" t="inlineStr">
        <is>
          <t xml:space="preserve">        349K           348K           458K</t>
        </is>
      </c>
      <c r="O40" s="17" t="inlineStr">
        <is>
          <t>4aL5GLRuzsnJjJWNdXK7TPTVpGhP6PyV4ZhyQiyxpump</t>
        </is>
      </c>
      <c r="P40" s="17">
        <f>HYPERLINK("https://dexscreener.com/solana/4aL5GLRuzsnJjJWNdXK7TPTVpGhP6PyV4ZhyQiyxpump", "View")</f>
        <v/>
      </c>
    </row>
    <row r="41">
      <c r="A41" s="20" t="inlineStr">
        <is>
          <t>FIGHT</t>
        </is>
      </c>
      <c r="B41" s="21" t="n">
        <v>135531</v>
      </c>
      <c r="C41" s="21" t="n">
        <v>0</v>
      </c>
      <c r="D41" s="21" t="inlineStr">
        <is>
          <t>0.000470</t>
        </is>
      </c>
      <c r="E41" s="21" t="inlineStr">
        <is>
          <t>0.313 SOL</t>
        </is>
      </c>
      <c r="F41" s="21" t="inlineStr">
        <is>
          <t>0.000 SOL</t>
        </is>
      </c>
      <c r="G41" s="18" t="inlineStr">
        <is>
          <t>-0.314 SOL</t>
        </is>
      </c>
      <c r="H41" s="18" t="inlineStr">
        <is>
          <t>0.00%</t>
        </is>
      </c>
      <c r="I41" s="21" t="inlineStr">
        <is>
          <t>135,531</t>
        </is>
      </c>
      <c r="J41" s="21" t="n">
        <v>2</v>
      </c>
      <c r="K41" s="21" t="n">
        <v>0</v>
      </c>
      <c r="L41" s="21" t="inlineStr">
        <is>
          <t>26.09.2024 02:31:15</t>
        </is>
      </c>
      <c r="M41" s="21" t="inlineStr">
        <is>
          <t>1 hours</t>
        </is>
      </c>
      <c r="N41" s="21" t="inlineStr">
        <is>
          <t xml:space="preserve">        397K           502K           676K</t>
        </is>
      </c>
      <c r="O41" s="21" t="inlineStr">
        <is>
          <t>KMnDBXcPXoz6oMJW5XG4tXdwSWpmWEP2RQM1Uujpump</t>
        </is>
      </c>
      <c r="P41" s="21">
        <f>HYPERLINK("https://dexscreener.com/solana/KMnDBXcPXoz6oMJW5XG4tXdwSWpmWEP2RQM1Uujpump", "View")</f>
        <v/>
      </c>
    </row>
    <row r="42">
      <c r="A42" s="16" t="inlineStr">
        <is>
          <t>GIF</t>
        </is>
      </c>
      <c r="B42" s="17" t="n">
        <v>54635</v>
      </c>
      <c r="C42" s="17" t="n">
        <v>54635</v>
      </c>
      <c r="D42" s="17" t="inlineStr">
        <is>
          <t>0.000220</t>
        </is>
      </c>
      <c r="E42" s="17" t="inlineStr">
        <is>
          <t>0.176 SOL</t>
        </is>
      </c>
      <c r="F42" s="17" t="inlineStr">
        <is>
          <t>0.014 SOL</t>
        </is>
      </c>
      <c r="G42" s="23" t="inlineStr">
        <is>
          <t>-0.162 SOL</t>
        </is>
      </c>
      <c r="H42" s="23" t="inlineStr">
        <is>
          <t>-92.08%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25.09.2024 09:02:07</t>
        </is>
      </c>
      <c r="M42" s="17" t="inlineStr">
        <is>
          <t>3 days</t>
        </is>
      </c>
      <c r="N42" s="17" t="inlineStr">
        <is>
          <t xml:space="preserve">        564K            44K            17K</t>
        </is>
      </c>
      <c r="O42" s="17" t="inlineStr">
        <is>
          <t>2pbQKb4SPxVhXZRBxoyzbAbJNtVU1hDSQJqHjGdDpump</t>
        </is>
      </c>
      <c r="P42" s="17">
        <f>HYPERLINK("https://dexscreener.com/solana/2pbQKb4SPxVhXZRBxoyzbAbJNtVU1hDSQJqHjGdDpump", "View")</f>
        <v/>
      </c>
    </row>
    <row r="43">
      <c r="A43" s="20" t="inlineStr">
        <is>
          <t>NVIDIA</t>
        </is>
      </c>
      <c r="B43" s="21" t="n">
        <v>146204</v>
      </c>
      <c r="C43" s="21" t="n">
        <v>146204</v>
      </c>
      <c r="D43" s="21" t="inlineStr">
        <is>
          <t>0.000190</t>
        </is>
      </c>
      <c r="E43" s="21" t="inlineStr">
        <is>
          <t>0.162 SOL</t>
        </is>
      </c>
      <c r="F43" s="21" t="inlineStr">
        <is>
          <t>0.000 SOL</t>
        </is>
      </c>
      <c r="G43" s="23" t="inlineStr">
        <is>
          <t>-0.162 SOL</t>
        </is>
      </c>
      <c r="H43" s="23" t="inlineStr">
        <is>
          <t>-99.81%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22.09.2024 11:25:21</t>
        </is>
      </c>
      <c r="M43" s="21" t="inlineStr">
        <is>
          <t>5 hours</t>
        </is>
      </c>
      <c r="N43" s="21" t="inlineStr">
        <is>
          <t xml:space="preserve">        N/A           N/A           N/A</t>
        </is>
      </c>
      <c r="O43" s="21" t="inlineStr">
        <is>
          <t>2j9NXadKFKojd9aENsGh85f5gMdi4tytxo9uBDCFKfHh</t>
        </is>
      </c>
      <c r="P43" s="21">
        <f>HYPERLINK("https://dexscreener.com/solana/2j9NXadKFKojd9aENsGh85f5gMdi4tytxo9uBDCFKfHh", "View")</f>
        <v/>
      </c>
    </row>
    <row r="44">
      <c r="A44" s="16" t="inlineStr">
        <is>
          <t>UPTOBER</t>
        </is>
      </c>
      <c r="B44" s="17" t="n">
        <v>52876</v>
      </c>
      <c r="C44" s="17" t="n">
        <v>52876</v>
      </c>
      <c r="D44" s="17" t="inlineStr">
        <is>
          <t>0.000340</t>
        </is>
      </c>
      <c r="E44" s="17" t="inlineStr">
        <is>
          <t>0.137 SOL</t>
        </is>
      </c>
      <c r="F44" s="17" t="inlineStr">
        <is>
          <t>0.137 SOL</t>
        </is>
      </c>
      <c r="G44" s="22" t="inlineStr">
        <is>
          <t>0.000 SOL</t>
        </is>
      </c>
      <c r="H44" s="22" t="inlineStr">
        <is>
          <t>0.11%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22.09.2024 09:23:53</t>
        </is>
      </c>
      <c r="M44" s="17" t="inlineStr">
        <is>
          <t>3 hours</t>
        </is>
      </c>
      <c r="N44" s="17" t="inlineStr">
        <is>
          <t xml:space="preserve">        455K           455K            19K</t>
        </is>
      </c>
      <c r="O44" s="17" t="inlineStr">
        <is>
          <t>5zSDDWmrejaoZ5hMKtZA1bEE3we1Z7RvN4aiWZqKpump</t>
        </is>
      </c>
      <c r="P44" s="17">
        <f>HYPERLINK("https://dexscreener.com/solana/5zSDDWmrejaoZ5hMKtZA1bEE3we1Z7RvN4aiWZqKpump", "View")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HYPERLINK("https://gmgn.ai/sol/address/8vQjS83mYfGaF9bhmJHNcHodPUVQ8Vsgc2S84nRS4zfx", "GMGN")</f>
        <v/>
      </c>
    </row>
    <row r="2">
      <c r="A2" s="3" t="inlineStr">
        <is>
          <t>8vQjS83mYfGaF9bhmJHNcHodPUVQ8Vsgc2S84nRS4zfx</t>
        </is>
      </c>
      <c r="B2" s="3" t="inlineStr">
        <is>
          <t>12.30 SOL</t>
        </is>
      </c>
      <c r="C2" s="3" t="inlineStr">
        <is>
          <t>10%</t>
        </is>
      </c>
      <c r="D2" s="3" t="inlineStr">
        <is>
          <t>40%</t>
        </is>
      </c>
      <c r="E2" s="3" t="inlineStr">
        <is>
          <t>22.11 SOL</t>
        </is>
      </c>
      <c r="F2" s="3" t="inlineStr">
        <is>
          <t>0 (0%)</t>
        </is>
      </c>
      <c r="G2" s="3" t="inlineStr">
        <is>
          <t>0 (0%)</t>
        </is>
      </c>
      <c r="H2" s="3" t="n">
        <v>132</v>
      </c>
      <c r="I2" s="3" t="n">
        <v>30</v>
      </c>
      <c r="J2" s="3" t="inlineStr">
        <is>
          <t>11 days</t>
        </is>
      </c>
      <c r="K2" s="3" t="inlineStr">
        <is>
          <t>1 h</t>
        </is>
      </c>
      <c r="L2" s="3" t="n">
        <v>38</v>
      </c>
      <c r="M2" s="3" t="n">
        <v>127</v>
      </c>
      <c r="N2" s="3">
        <f>HYPERLINK("https://solscan.io/account/8vQjS83mYfGaF9bhmJHNcHodPUVQ8Vsgc2S84nRS4zfx",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HYPERLINK("https://birdeye.so/profile/8vQjS83mYfGaF9bhmJHNcHodPUVQ8Vsgc2S84nRS4zfx", "Birdeye")</f>
        <v/>
      </c>
    </row>
    <row r="4">
      <c r="A4" s="7" t="inlineStr">
        <is>
          <t>Rockets percent</t>
        </is>
      </c>
      <c r="B4" s="3" t="inlineStr">
        <is>
          <t>8%</t>
        </is>
      </c>
      <c r="C4" s="3" t="inlineStr"/>
      <c r="D4" s="3" t="inlineStr">
        <is>
          <t>21%</t>
        </is>
      </c>
      <c r="E4" s="3" t="inlineStr">
        <is>
          <t>11.43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1.5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5</v>
      </c>
      <c r="C10" s="7" t="n">
        <v>5</v>
      </c>
      <c r="D10" s="7" t="n">
        <v>0</v>
      </c>
      <c r="E10" s="7" t="n">
        <v>3</v>
      </c>
      <c r="F10" s="7" t="n">
        <v>1</v>
      </c>
      <c r="G10" s="7" t="n">
        <v>118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3.8%</t>
        </is>
      </c>
      <c r="C11" s="7" t="inlineStr">
        <is>
          <t>3.8%</t>
        </is>
      </c>
      <c r="D11" s="7" t="inlineStr">
        <is>
          <t>0.0%</t>
        </is>
      </c>
      <c r="E11" s="7" t="inlineStr">
        <is>
          <t>2.3%</t>
        </is>
      </c>
      <c r="F11" s="7" t="inlineStr">
        <is>
          <t>0.8%</t>
        </is>
      </c>
      <c r="G11" s="7" t="inlineStr">
        <is>
          <t>89.4%</t>
        </is>
      </c>
      <c r="H11" s="3" t="n"/>
      <c r="I11" s="3" t="inlineStr">
        <is>
          <t>5k-30k</t>
        </is>
      </c>
      <c r="J11" s="3" t="inlineStr">
        <is>
          <t>41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63.5 SOL</t>
        </is>
      </c>
      <c r="C12" s="7" t="inlineStr">
        <is>
          <t>5.9 SOL</t>
        </is>
      </c>
      <c r="D12" s="7" t="inlineStr">
        <is>
          <t>0.0 SOL</t>
        </is>
      </c>
      <c r="E12" s="7" t="inlineStr">
        <is>
          <t>0.3 SOL</t>
        </is>
      </c>
      <c r="F12" s="7" t="inlineStr">
        <is>
          <t>-0.0 SOL</t>
        </is>
      </c>
      <c r="G12" s="7" t="inlineStr">
        <is>
          <t>-47.6 SOL</t>
        </is>
      </c>
      <c r="H12" s="3" t="n"/>
      <c r="I12" s="3" t="inlineStr">
        <is>
          <t>30k-100k</t>
        </is>
      </c>
      <c r="J12" s="3" t="inlineStr">
        <is>
          <t>31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33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25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74.0K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DOLPHIN</t>
        </is>
      </c>
      <c r="B20" s="17" t="n">
        <v>297125</v>
      </c>
      <c r="C20" s="17" t="n">
        <v>0</v>
      </c>
      <c r="D20" s="17" t="inlineStr">
        <is>
          <t>0.000710</t>
        </is>
      </c>
      <c r="E20" s="17" t="inlineStr">
        <is>
          <t>0.500 SOL</t>
        </is>
      </c>
      <c r="F20" s="17" t="inlineStr">
        <is>
          <t>0.000 SOL</t>
        </is>
      </c>
      <c r="G20" s="18" t="inlineStr">
        <is>
          <t>-0.501 SOL</t>
        </is>
      </c>
      <c r="H20" s="18" t="inlineStr">
        <is>
          <t>0.00%</t>
        </is>
      </c>
      <c r="I20" s="17" t="inlineStr">
        <is>
          <t>297,125</t>
        </is>
      </c>
      <c r="J20" s="17" t="n">
        <v>1</v>
      </c>
      <c r="K20" s="17" t="n">
        <v>0</v>
      </c>
      <c r="L20" s="17" t="inlineStr">
        <is>
          <t>30.10.2024 16:46:31</t>
        </is>
      </c>
      <c r="M20" s="19" t="inlineStr">
        <is>
          <t>0 sec</t>
        </is>
      </c>
      <c r="N20" s="17" t="inlineStr">
        <is>
          <t xml:space="preserve">        295K           295K             8K</t>
        </is>
      </c>
      <c r="O20" s="17" t="inlineStr">
        <is>
          <t>8zuLGDdCMELwGjD9b3gtyqfCKwj5hbNUnCCw66eBpump</t>
        </is>
      </c>
      <c r="P20" s="17">
        <f>HYPERLINK("https://dexscreener.com/solana/8zuLGDdCMELwGjD9b3gtyqfCKwj5hbNUnCCw66eBpump", "View")</f>
        <v/>
      </c>
    </row>
    <row r="21">
      <c r="A21" s="20" t="inlineStr">
        <is>
          <t>LIANA</t>
        </is>
      </c>
      <c r="B21" s="21" t="n">
        <v>1024586</v>
      </c>
      <c r="C21" s="21" t="n">
        <v>0</v>
      </c>
      <c r="D21" s="21" t="inlineStr">
        <is>
          <t>0.000710</t>
        </is>
      </c>
      <c r="E21" s="21" t="inlineStr">
        <is>
          <t>0.500 SOL</t>
        </is>
      </c>
      <c r="F21" s="21" t="inlineStr">
        <is>
          <t>0.000 SOL</t>
        </is>
      </c>
      <c r="G21" s="18" t="inlineStr">
        <is>
          <t>-0.501 SOL</t>
        </is>
      </c>
      <c r="H21" s="18" t="inlineStr">
        <is>
          <t>0.00%</t>
        </is>
      </c>
      <c r="I21" s="21" t="inlineStr">
        <is>
          <t>1,024,586</t>
        </is>
      </c>
      <c r="J21" s="21" t="n">
        <v>1</v>
      </c>
      <c r="K21" s="21" t="n">
        <v>0</v>
      </c>
      <c r="L21" s="21" t="inlineStr">
        <is>
          <t>30.10.2024 16:36:22</t>
        </is>
      </c>
      <c r="M21" s="19" t="inlineStr">
        <is>
          <t>0 sec</t>
        </is>
      </c>
      <c r="N21" s="21" t="inlineStr">
        <is>
          <t xml:space="preserve">         86K            86K             5K</t>
        </is>
      </c>
      <c r="O21" s="21" t="inlineStr">
        <is>
          <t>Gqm9CNRm3ZL6qVnbcjS9f4qvsPtW28gxanAuMbo4pump</t>
        </is>
      </c>
      <c r="P21" s="21">
        <f>HYPERLINK("https://dexscreener.com/solana/Gqm9CNRm3ZL6qVnbcjS9f4qvsPtW28gxanAuMbo4pump", "View")</f>
        <v/>
      </c>
    </row>
    <row r="22">
      <c r="A22" s="16" t="inlineStr">
        <is>
          <t>MOMO</t>
        </is>
      </c>
      <c r="B22" s="17" t="n">
        <v>217103</v>
      </c>
      <c r="C22" s="17" t="n">
        <v>0</v>
      </c>
      <c r="D22" s="17" t="inlineStr">
        <is>
          <t>0.000710</t>
        </is>
      </c>
      <c r="E22" s="17" t="inlineStr">
        <is>
          <t>0.500 SOL</t>
        </is>
      </c>
      <c r="F22" s="17" t="inlineStr">
        <is>
          <t>0.000 SOL</t>
        </is>
      </c>
      <c r="G22" s="18" t="inlineStr">
        <is>
          <t>-0.501 SOL</t>
        </is>
      </c>
      <c r="H22" s="18" t="inlineStr">
        <is>
          <t>0.00%</t>
        </is>
      </c>
      <c r="I22" s="17" t="inlineStr">
        <is>
          <t>217,103</t>
        </is>
      </c>
      <c r="J22" s="17" t="n">
        <v>1</v>
      </c>
      <c r="K22" s="17" t="n">
        <v>0</v>
      </c>
      <c r="L22" s="17" t="inlineStr">
        <is>
          <t>30.10.2024 16:33:53</t>
        </is>
      </c>
      <c r="M22" s="19" t="inlineStr">
        <is>
          <t>0 sec</t>
        </is>
      </c>
      <c r="N22" s="17" t="inlineStr">
        <is>
          <t xml:space="preserve">        404K           404K             9K</t>
        </is>
      </c>
      <c r="O22" s="17" t="inlineStr">
        <is>
          <t>4FieKJu1twj631v1NbDdpocqWS72Up36N3Lf3C1dpump</t>
        </is>
      </c>
      <c r="P22" s="17">
        <f>HYPERLINK("https://dexscreener.com/solana/4FieKJu1twj631v1NbDdpocqWS72Up36N3Lf3C1dpump", "View")</f>
        <v/>
      </c>
    </row>
    <row r="23">
      <c r="A23" s="20" t="inlineStr">
        <is>
          <t>tutu</t>
        </is>
      </c>
      <c r="B23" s="21" t="n">
        <v>953529</v>
      </c>
      <c r="C23" s="21" t="n">
        <v>0</v>
      </c>
      <c r="D23" s="21" t="inlineStr">
        <is>
          <t>0.000710</t>
        </is>
      </c>
      <c r="E23" s="21" t="inlineStr">
        <is>
          <t>0.267 SOL</t>
        </is>
      </c>
      <c r="F23" s="21" t="inlineStr">
        <is>
          <t>0.000 SOL</t>
        </is>
      </c>
      <c r="G23" s="18" t="inlineStr">
        <is>
          <t>-0.267 SOL</t>
        </is>
      </c>
      <c r="H23" s="18" t="inlineStr">
        <is>
          <t>0.00%</t>
        </is>
      </c>
      <c r="I23" s="21" t="inlineStr">
        <is>
          <t>953,529</t>
        </is>
      </c>
      <c r="J23" s="21" t="n">
        <v>1</v>
      </c>
      <c r="K23" s="21" t="n">
        <v>0</v>
      </c>
      <c r="L23" s="21" t="inlineStr">
        <is>
          <t>30.10.2024 13:48:38</t>
        </is>
      </c>
      <c r="M23" s="19" t="inlineStr">
        <is>
          <t>0 sec</t>
        </is>
      </c>
      <c r="N23" s="21" t="inlineStr">
        <is>
          <t xml:space="preserve">         49K            49K             6K</t>
        </is>
      </c>
      <c r="O23" s="21" t="inlineStr">
        <is>
          <t>3M85pJDvorLLtdq9zNcB2r5N36JvBvPpSFrB7pEnpump</t>
        </is>
      </c>
      <c r="P23" s="21">
        <f>HYPERLINK("https://photon-sol.tinyastro.io/en/lp/3M85pJDvorLLtdq9zNcB2r5N36JvBvPpSFrB7pEnpump?handle=676050794bc1b1657a56b", "View")</f>
        <v/>
      </c>
    </row>
    <row r="24">
      <c r="A24" s="16" t="inlineStr">
        <is>
          <t>OMBRA</t>
        </is>
      </c>
      <c r="B24" s="17" t="n">
        <v>572438</v>
      </c>
      <c r="C24" s="17" t="n">
        <v>0</v>
      </c>
      <c r="D24" s="17" t="inlineStr">
        <is>
          <t>0.000710</t>
        </is>
      </c>
      <c r="E24" s="17" t="inlineStr">
        <is>
          <t>0.500 SOL</t>
        </is>
      </c>
      <c r="F24" s="17" t="inlineStr">
        <is>
          <t>0.000 SOL</t>
        </is>
      </c>
      <c r="G24" s="18" t="inlineStr">
        <is>
          <t>-0.501 SOL</t>
        </is>
      </c>
      <c r="H24" s="18" t="inlineStr">
        <is>
          <t>0.00%</t>
        </is>
      </c>
      <c r="I24" s="17" t="inlineStr">
        <is>
          <t>572,438</t>
        </is>
      </c>
      <c r="J24" s="17" t="n">
        <v>1</v>
      </c>
      <c r="K24" s="17" t="n">
        <v>0</v>
      </c>
      <c r="L24" s="17" t="inlineStr">
        <is>
          <t>30.10.2024 12:34:09</t>
        </is>
      </c>
      <c r="M24" s="19" t="inlineStr">
        <is>
          <t>0 sec</t>
        </is>
      </c>
      <c r="N24" s="17" t="inlineStr">
        <is>
          <t xml:space="preserve">        153K           153K            19K</t>
        </is>
      </c>
      <c r="O24" s="17" t="inlineStr">
        <is>
          <t>ABGuyFsRx6coPxDqXnFwUmFNG3hsg5i24XSsHV1Apump</t>
        </is>
      </c>
      <c r="P24" s="17">
        <f>HYPERLINK("https://dexscreener.com/solana/ABGuyFsRx6coPxDqXnFwUmFNG3hsg5i24XSsHV1Apump", "View")</f>
        <v/>
      </c>
    </row>
    <row r="25">
      <c r="A25" s="20" t="inlineStr">
        <is>
          <t>JEETISM</t>
        </is>
      </c>
      <c r="B25" s="21" t="n">
        <v>1395946</v>
      </c>
      <c r="C25" s="21" t="n">
        <v>0</v>
      </c>
      <c r="D25" s="21" t="inlineStr">
        <is>
          <t>0.000710</t>
        </is>
      </c>
      <c r="E25" s="21" t="inlineStr">
        <is>
          <t>0.260 SOL</t>
        </is>
      </c>
      <c r="F25" s="21" t="inlineStr">
        <is>
          <t>0.000 SOL</t>
        </is>
      </c>
      <c r="G25" s="18" t="inlineStr">
        <is>
          <t>-0.261 SOL</t>
        </is>
      </c>
      <c r="H25" s="18" t="inlineStr">
        <is>
          <t>0.00%</t>
        </is>
      </c>
      <c r="I25" s="21" t="inlineStr">
        <is>
          <t>1,395,946</t>
        </is>
      </c>
      <c r="J25" s="21" t="n">
        <v>1</v>
      </c>
      <c r="K25" s="21" t="n">
        <v>0</v>
      </c>
      <c r="L25" s="21" t="inlineStr">
        <is>
          <t>30.10.2024 12:20:49</t>
        </is>
      </c>
      <c r="M25" s="19" t="inlineStr">
        <is>
          <t>0 sec</t>
        </is>
      </c>
      <c r="N25" s="21" t="inlineStr">
        <is>
          <t xml:space="preserve">         33K            33K             4K</t>
        </is>
      </c>
      <c r="O25" s="21" t="inlineStr">
        <is>
          <t>7gTqhPZNGfEJZ6yvE7WjkX76wmDhzKDjGeP9Rv74pump</t>
        </is>
      </c>
      <c r="P25" s="21">
        <f>HYPERLINK("https://photon-sol.tinyastro.io/en/lp/7gTqhPZNGfEJZ6yvE7WjkX76wmDhzKDjGeP9Rv74pump?handle=676050794bc1b1657a56b", "View")</f>
        <v/>
      </c>
    </row>
    <row r="26">
      <c r="A26" s="16" t="inlineStr">
        <is>
          <t>MOKSHA</t>
        </is>
      </c>
      <c r="B26" s="17" t="n">
        <v>241486</v>
      </c>
      <c r="C26" s="17" t="n">
        <v>241486</v>
      </c>
      <c r="D26" s="17" t="inlineStr">
        <is>
          <t>0.001110</t>
        </is>
      </c>
      <c r="E26" s="17" t="inlineStr">
        <is>
          <t>0.495 SOL</t>
        </is>
      </c>
      <c r="F26" s="17" t="inlineStr">
        <is>
          <t>1.061 SOL</t>
        </is>
      </c>
      <c r="G26" s="24" t="inlineStr">
        <is>
          <t>0.565 SOL</t>
        </is>
      </c>
      <c r="H26" s="24" t="inlineStr">
        <is>
          <t>113.94%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11:55:37</t>
        </is>
      </c>
      <c r="M26" s="17" t="inlineStr">
        <is>
          <t>3 hours</t>
        </is>
      </c>
      <c r="N26" s="17" t="inlineStr">
        <is>
          <t xml:space="preserve">        360K           360K           233K</t>
        </is>
      </c>
      <c r="O26" s="17" t="inlineStr">
        <is>
          <t>D5S1nXXaMnJui8rCnMbP1GZQnL9TxzbF92hXvgkVpump</t>
        </is>
      </c>
      <c r="P26" s="17">
        <f>HYPERLINK("https://dexscreener.com/solana/D5S1nXXaMnJui8rCnMbP1GZQnL9TxzbF92hXvgkVpump", "View")</f>
        <v/>
      </c>
    </row>
    <row r="27">
      <c r="A27" s="20" t="inlineStr">
        <is>
          <t>EA</t>
        </is>
      </c>
      <c r="B27" s="21" t="n">
        <v>4419322</v>
      </c>
      <c r="C27" s="21" t="n">
        <v>0</v>
      </c>
      <c r="D27" s="21" t="inlineStr">
        <is>
          <t>0.000710</t>
        </is>
      </c>
      <c r="E27" s="21" t="inlineStr">
        <is>
          <t>0.336 SOL</t>
        </is>
      </c>
      <c r="F27" s="21" t="inlineStr">
        <is>
          <t>0.000 SOL</t>
        </is>
      </c>
      <c r="G27" s="18" t="inlineStr">
        <is>
          <t>-0.337 SOL</t>
        </is>
      </c>
      <c r="H27" s="18" t="inlineStr">
        <is>
          <t>0.00%</t>
        </is>
      </c>
      <c r="I27" s="21" t="inlineStr">
        <is>
          <t>4,419,322</t>
        </is>
      </c>
      <c r="J27" s="21" t="n">
        <v>1</v>
      </c>
      <c r="K27" s="21" t="n">
        <v>0</v>
      </c>
      <c r="L27" s="21" t="inlineStr">
        <is>
          <t>30.10.2024 09:31:44</t>
        </is>
      </c>
      <c r="M27" s="19" t="inlineStr">
        <is>
          <t>0 sec</t>
        </is>
      </c>
      <c r="N27" s="21" t="inlineStr">
        <is>
          <t xml:space="preserve">         14K            14K             5K</t>
        </is>
      </c>
      <c r="O27" s="21" t="inlineStr">
        <is>
          <t>Ffaxk9jV1xA7abZ36dyGanAk6gNbGMszTZ5JFMXhpump</t>
        </is>
      </c>
      <c r="P27" s="21">
        <f>HYPERLINK("https://photon-sol.tinyastro.io/en/lp/Ffaxk9jV1xA7abZ36dyGanAk6gNbGMszTZ5JFMXhpump?handle=676050794bc1b1657a56b", "View")</f>
        <v/>
      </c>
    </row>
    <row r="28">
      <c r="A28" s="16" t="inlineStr">
        <is>
          <t>69.420%</t>
        </is>
      </c>
      <c r="B28" s="17" t="n">
        <v>2113163</v>
      </c>
      <c r="C28" s="17" t="n">
        <v>0</v>
      </c>
      <c r="D28" s="17" t="inlineStr">
        <is>
          <t>0.000710</t>
        </is>
      </c>
      <c r="E28" s="17" t="inlineStr">
        <is>
          <t>0.377 SOL</t>
        </is>
      </c>
      <c r="F28" s="17" t="inlineStr">
        <is>
          <t>0.000 SOL</t>
        </is>
      </c>
      <c r="G28" s="18" t="inlineStr">
        <is>
          <t>-0.378 SOL</t>
        </is>
      </c>
      <c r="H28" s="18" t="inlineStr">
        <is>
          <t>0.00%</t>
        </is>
      </c>
      <c r="I28" s="17" t="inlineStr">
        <is>
          <t>2,113,163</t>
        </is>
      </c>
      <c r="J28" s="17" t="n">
        <v>1</v>
      </c>
      <c r="K28" s="17" t="n">
        <v>0</v>
      </c>
      <c r="L28" s="17" t="inlineStr">
        <is>
          <t>30.10.2024 09:25:56</t>
        </is>
      </c>
      <c r="M28" s="19" t="inlineStr">
        <is>
          <t>0 sec</t>
        </is>
      </c>
      <c r="N28" s="17" t="inlineStr">
        <is>
          <t xml:space="preserve">         32K            32K            35K</t>
        </is>
      </c>
      <c r="O28" s="17" t="inlineStr">
        <is>
          <t>Djv9h45qTD1Bf9KrePGDecHB9ynreMHssDTQkLrupump</t>
        </is>
      </c>
      <c r="P28" s="17">
        <f>HYPERLINK("https://photon-sol.tinyastro.io/en/lp/Djv9h45qTD1Bf9KrePGDecHB9ynreMHssDTQkLrupump?handle=676050794bc1b1657a56b", "View")</f>
        <v/>
      </c>
    </row>
    <row r="29">
      <c r="A29" s="20" t="inlineStr">
        <is>
          <t>Catdets</t>
        </is>
      </c>
      <c r="B29" s="21" t="n">
        <v>9561617</v>
      </c>
      <c r="C29" s="21" t="n">
        <v>0</v>
      </c>
      <c r="D29" s="21" t="inlineStr">
        <is>
          <t>0.000710</t>
        </is>
      </c>
      <c r="E29" s="21" t="inlineStr">
        <is>
          <t>0.289 SOL</t>
        </is>
      </c>
      <c r="F29" s="21" t="inlineStr">
        <is>
          <t>0.000 SOL</t>
        </is>
      </c>
      <c r="G29" s="18" t="inlineStr">
        <is>
          <t>-0.289 SOL</t>
        </is>
      </c>
      <c r="H29" s="18" t="inlineStr">
        <is>
          <t>0.00%</t>
        </is>
      </c>
      <c r="I29" s="21" t="inlineStr">
        <is>
          <t>9,561,617</t>
        </is>
      </c>
      <c r="J29" s="21" t="n">
        <v>1</v>
      </c>
      <c r="K29" s="21" t="n">
        <v>0</v>
      </c>
      <c r="L29" s="21" t="inlineStr">
        <is>
          <t>30.10.2024 08:27:22</t>
        </is>
      </c>
      <c r="M29" s="19" t="inlineStr">
        <is>
          <t>0 sec</t>
        </is>
      </c>
      <c r="N29" s="21" t="inlineStr">
        <is>
          <t xml:space="preserve">          5K             5K             5K</t>
        </is>
      </c>
      <c r="O29" s="21" t="inlineStr">
        <is>
          <t>6cf3ZvWPhaVo6Reoz5YqYwJ9anuBkWvqgnksHLf6pump</t>
        </is>
      </c>
      <c r="P29" s="21">
        <f>HYPERLINK("https://photon-sol.tinyastro.io/en/lp/6cf3ZvWPhaVo6Reoz5YqYwJ9anuBkWvqgnksHLf6pump?handle=676050794bc1b1657a56b", "View")</f>
        <v/>
      </c>
    </row>
    <row r="30">
      <c r="A30" s="16" t="inlineStr">
        <is>
          <t>WYR</t>
        </is>
      </c>
      <c r="B30" s="17" t="n">
        <v>1119130</v>
      </c>
      <c r="C30" s="17" t="n">
        <v>0</v>
      </c>
      <c r="D30" s="17" t="inlineStr">
        <is>
          <t>0.000710</t>
        </is>
      </c>
      <c r="E30" s="17" t="inlineStr">
        <is>
          <t>0.495 SOL</t>
        </is>
      </c>
      <c r="F30" s="17" t="inlineStr">
        <is>
          <t>0.000 SOL</t>
        </is>
      </c>
      <c r="G30" s="18" t="inlineStr">
        <is>
          <t>-0.496 SOL</t>
        </is>
      </c>
      <c r="H30" s="18" t="inlineStr">
        <is>
          <t>0.00%</t>
        </is>
      </c>
      <c r="I30" s="17" t="inlineStr">
        <is>
          <t>1,119,130</t>
        </is>
      </c>
      <c r="J30" s="17" t="n">
        <v>1</v>
      </c>
      <c r="K30" s="17" t="n">
        <v>0</v>
      </c>
      <c r="L30" s="17" t="inlineStr">
        <is>
          <t>30.10.2024 08:10:08</t>
        </is>
      </c>
      <c r="M30" s="19" t="inlineStr">
        <is>
          <t>0 sec</t>
        </is>
      </c>
      <c r="N30" s="17" t="inlineStr">
        <is>
          <t xml:space="preserve">         77K            77K            11K</t>
        </is>
      </c>
      <c r="O30" s="17" t="inlineStr">
        <is>
          <t>7595tbPqDXijgZ3q2raR9aS311agcokwAJ21aczVpump</t>
        </is>
      </c>
      <c r="P30" s="17">
        <f>HYPERLINK("https://dexscreener.com/solana/7595tbPqDXijgZ3q2raR9aS311agcokwAJ21aczVpump", "View")</f>
        <v/>
      </c>
    </row>
    <row r="31">
      <c r="A31" s="20" t="inlineStr">
        <is>
          <t>WYR</t>
        </is>
      </c>
      <c r="B31" s="21" t="n">
        <v>1957790</v>
      </c>
      <c r="C31" s="21" t="n">
        <v>0</v>
      </c>
      <c r="D31" s="21" t="inlineStr">
        <is>
          <t>0.000710</t>
        </is>
      </c>
      <c r="E31" s="21" t="inlineStr">
        <is>
          <t>0.495 SOL</t>
        </is>
      </c>
      <c r="F31" s="21" t="inlineStr">
        <is>
          <t>0.000 SOL</t>
        </is>
      </c>
      <c r="G31" s="18" t="inlineStr">
        <is>
          <t>-0.496 SOL</t>
        </is>
      </c>
      <c r="H31" s="18" t="inlineStr">
        <is>
          <t>0.00%</t>
        </is>
      </c>
      <c r="I31" s="21" t="inlineStr">
        <is>
          <t>1,957,790</t>
        </is>
      </c>
      <c r="J31" s="21" t="n">
        <v>1</v>
      </c>
      <c r="K31" s="21" t="n">
        <v>0</v>
      </c>
      <c r="L31" s="21" t="inlineStr">
        <is>
          <t>30.10.2024 07:44:22</t>
        </is>
      </c>
      <c r="M31" s="19" t="inlineStr">
        <is>
          <t>0 sec</t>
        </is>
      </c>
      <c r="N31" s="21" t="inlineStr">
        <is>
          <t xml:space="preserve">         44K            44K             5K</t>
        </is>
      </c>
      <c r="O31" s="21" t="inlineStr">
        <is>
          <t>2CtwtX2A3jXgxG8WFJThQiNZpHzvqiCVwNU4za9fWH23</t>
        </is>
      </c>
      <c r="P31" s="21">
        <f>HYPERLINK("https://dexscreener.com/solana/2CtwtX2A3jXgxG8WFJThQiNZpHzvqiCVwNU4za9fWH23", "View")</f>
        <v/>
      </c>
    </row>
    <row r="32">
      <c r="A32" s="16" t="inlineStr">
        <is>
          <t>ALPHACIRCL</t>
        </is>
      </c>
      <c r="B32" s="17" t="n">
        <v>1929834</v>
      </c>
      <c r="C32" s="17" t="n">
        <v>0</v>
      </c>
      <c r="D32" s="17" t="inlineStr">
        <is>
          <t>0.000710</t>
        </is>
      </c>
      <c r="E32" s="17" t="inlineStr">
        <is>
          <t>0.381 SOL</t>
        </is>
      </c>
      <c r="F32" s="17" t="inlineStr">
        <is>
          <t>0.000 SOL</t>
        </is>
      </c>
      <c r="G32" s="18" t="inlineStr">
        <is>
          <t>-0.382 SOL</t>
        </is>
      </c>
      <c r="H32" s="18" t="inlineStr">
        <is>
          <t>0.00%</t>
        </is>
      </c>
      <c r="I32" s="17" t="inlineStr">
        <is>
          <t>1,929,834</t>
        </is>
      </c>
      <c r="J32" s="17" t="n">
        <v>1</v>
      </c>
      <c r="K32" s="17" t="n">
        <v>0</v>
      </c>
      <c r="L32" s="17" t="inlineStr">
        <is>
          <t>30.10.2024 07:08:29</t>
        </is>
      </c>
      <c r="M32" s="19" t="inlineStr">
        <is>
          <t>0 sec</t>
        </is>
      </c>
      <c r="N32" s="17" t="inlineStr">
        <is>
          <t xml:space="preserve">         34K            34K            58K</t>
        </is>
      </c>
      <c r="O32" s="17" t="inlineStr">
        <is>
          <t>32GkYeFscJRLH1ZYxzg52kQxcTQxRK49cn87vGtHpump</t>
        </is>
      </c>
      <c r="P32" s="17">
        <f>HYPERLINK("https://photon-sol.tinyastro.io/en/lp/32GkYeFscJRLH1ZYxzg52kQxcTQxRK49cn87vGtHpump?handle=676050794bc1b1657a56b", "View")</f>
        <v/>
      </c>
    </row>
    <row r="33">
      <c r="A33" s="20" t="inlineStr">
        <is>
          <t>NUTBUTT</t>
        </is>
      </c>
      <c r="B33" s="21" t="n">
        <v>251382</v>
      </c>
      <c r="C33" s="21" t="n">
        <v>0</v>
      </c>
      <c r="D33" s="21" t="inlineStr">
        <is>
          <t>0.000710</t>
        </is>
      </c>
      <c r="E33" s="21" t="inlineStr">
        <is>
          <t>0.500 SOL</t>
        </is>
      </c>
      <c r="F33" s="21" t="inlineStr">
        <is>
          <t>0.000 SOL</t>
        </is>
      </c>
      <c r="G33" s="18" t="inlineStr">
        <is>
          <t>-0.501 SOL</t>
        </is>
      </c>
      <c r="H33" s="18" t="inlineStr">
        <is>
          <t>0.00%</t>
        </is>
      </c>
      <c r="I33" s="21" t="inlineStr">
        <is>
          <t>251,382</t>
        </is>
      </c>
      <c r="J33" s="21" t="n">
        <v>1</v>
      </c>
      <c r="K33" s="21" t="n">
        <v>0</v>
      </c>
      <c r="L33" s="21" t="inlineStr">
        <is>
          <t>30.10.2024 03:12:39</t>
        </is>
      </c>
      <c r="M33" s="19" t="inlineStr">
        <is>
          <t>0 sec</t>
        </is>
      </c>
      <c r="N33" s="21" t="inlineStr">
        <is>
          <t xml:space="preserve">        350K           350K           657K</t>
        </is>
      </c>
      <c r="O33" s="21" t="inlineStr">
        <is>
          <t>CFBYjzT357obRmihT9F5uyCY3kqgksRvXKM3RJN1pump</t>
        </is>
      </c>
      <c r="P33" s="21">
        <f>HYPERLINK("https://dexscreener.com/solana/CFBYjzT357obRmihT9F5uyCY3kqgksRvXKM3RJN1pump", "View")</f>
        <v/>
      </c>
    </row>
    <row r="34">
      <c r="A34" s="16" t="inlineStr">
        <is>
          <t>mofa</t>
        </is>
      </c>
      <c r="B34" s="17" t="n">
        <v>806208</v>
      </c>
      <c r="C34" s="17" t="n">
        <v>0</v>
      </c>
      <c r="D34" s="17" t="inlineStr">
        <is>
          <t>0.000710</t>
        </is>
      </c>
      <c r="E34" s="17" t="inlineStr">
        <is>
          <t>0.247 SOL</t>
        </is>
      </c>
      <c r="F34" s="17" t="inlineStr">
        <is>
          <t>0.000 SOL</t>
        </is>
      </c>
      <c r="G34" s="18" t="inlineStr">
        <is>
          <t>-0.248 SOL</t>
        </is>
      </c>
      <c r="H34" s="18" t="inlineStr">
        <is>
          <t>0.00%</t>
        </is>
      </c>
      <c r="I34" s="17" t="inlineStr">
        <is>
          <t>806,208</t>
        </is>
      </c>
      <c r="J34" s="17" t="n">
        <v>1</v>
      </c>
      <c r="K34" s="17" t="n">
        <v>0</v>
      </c>
      <c r="L34" s="17" t="inlineStr">
        <is>
          <t>30.10.2024 03:11:00</t>
        </is>
      </c>
      <c r="M34" s="19" t="inlineStr">
        <is>
          <t>0 sec</t>
        </is>
      </c>
      <c r="N34" s="17" t="inlineStr">
        <is>
          <t xml:space="preserve">         54K            54K            18K</t>
        </is>
      </c>
      <c r="O34" s="17" t="inlineStr">
        <is>
          <t>2aVCSF8R74m5Nh18nXUSx1YDNS3Zxj2kQCa3mrdgpump</t>
        </is>
      </c>
      <c r="P34" s="17">
        <f>HYPERLINK("https://dexscreener.com/solana/2aVCSF8R74m5Nh18nXUSx1YDNS3Zxj2kQCa3mrdgpump", "View")</f>
        <v/>
      </c>
    </row>
    <row r="35">
      <c r="A35" s="20" t="inlineStr">
        <is>
          <t>Delrey</t>
        </is>
      </c>
      <c r="B35" s="21" t="n">
        <v>3481809</v>
      </c>
      <c r="C35" s="21" t="n">
        <v>3481809</v>
      </c>
      <c r="D35" s="21" t="inlineStr">
        <is>
          <t>0.001410</t>
        </is>
      </c>
      <c r="E35" s="21" t="inlineStr">
        <is>
          <t>0.331 SOL</t>
        </is>
      </c>
      <c r="F35" s="21" t="inlineStr">
        <is>
          <t>0.112 SOL</t>
        </is>
      </c>
      <c r="G35" s="23" t="inlineStr">
        <is>
          <t>-0.220 SOL</t>
        </is>
      </c>
      <c r="H35" s="23" t="inlineStr">
        <is>
          <t>-66.38%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29.10.2024 21:02:37</t>
        </is>
      </c>
      <c r="M35" s="21" t="inlineStr">
        <is>
          <t>1 min</t>
        </is>
      </c>
      <c r="N35" s="21" t="inlineStr">
        <is>
          <t xml:space="preserve">         16K            16K             5K</t>
        </is>
      </c>
      <c r="O35" s="21" t="inlineStr">
        <is>
          <t>7CikmYdm5NDb4edDuJh2cpjiihBbbNiALobekcpUpump</t>
        </is>
      </c>
      <c r="P35" s="21">
        <f>HYPERLINK("https://photon-sol.tinyastro.io/en/lp/7CikmYdm5NDb4edDuJh2cpjiihBbbNiALobekcpUpump?handle=676050794bc1b1657a56b", "View")</f>
        <v/>
      </c>
    </row>
    <row r="36">
      <c r="A36" s="16" t="inlineStr">
        <is>
          <t>฿itcoin</t>
        </is>
      </c>
      <c r="B36" s="17" t="n">
        <v>1992338</v>
      </c>
      <c r="C36" s="17" t="n">
        <v>1992338</v>
      </c>
      <c r="D36" s="17" t="inlineStr">
        <is>
          <t>0.001410</t>
        </is>
      </c>
      <c r="E36" s="17" t="inlineStr">
        <is>
          <t>0.347 SOL</t>
        </is>
      </c>
      <c r="F36" s="17" t="inlineStr">
        <is>
          <t>0.062 SOL</t>
        </is>
      </c>
      <c r="G36" s="23" t="inlineStr">
        <is>
          <t>-0.287 SOL</t>
        </is>
      </c>
      <c r="H36" s="23" t="inlineStr">
        <is>
          <t>-82.31%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29.10.2024 20:09:36</t>
        </is>
      </c>
      <c r="M36" s="17" t="inlineStr">
        <is>
          <t>14 min</t>
        </is>
      </c>
      <c r="N36" s="17" t="inlineStr">
        <is>
          <t xml:space="preserve">         30K             5K             5K</t>
        </is>
      </c>
      <c r="O36" s="17" t="inlineStr">
        <is>
          <t>HpDFmLyMnxafwZZEPiJ65JZYvPxgCN5txusaAEvnpump</t>
        </is>
      </c>
      <c r="P36" s="17">
        <f>HYPERLINK("https://photon-sol.tinyastro.io/en/lp/HpDFmLyMnxafwZZEPiJ65JZYvPxgCN5txusaAEvnpump?handle=676050794bc1b1657a56b", "View")</f>
        <v/>
      </c>
    </row>
    <row r="37">
      <c r="A37" s="20" t="inlineStr">
        <is>
          <t>Qcats</t>
        </is>
      </c>
      <c r="B37" s="21" t="n">
        <v>1647194</v>
      </c>
      <c r="C37" s="21" t="n">
        <v>0</v>
      </c>
      <c r="D37" s="21" t="inlineStr">
        <is>
          <t>0.000710</t>
        </is>
      </c>
      <c r="E37" s="21" t="inlineStr">
        <is>
          <t>0.210 SOL</t>
        </is>
      </c>
      <c r="F37" s="21" t="inlineStr">
        <is>
          <t>0.000 SOL</t>
        </is>
      </c>
      <c r="G37" s="18" t="inlineStr">
        <is>
          <t>-0.211 SOL</t>
        </is>
      </c>
      <c r="H37" s="18" t="inlineStr">
        <is>
          <t>0.00%</t>
        </is>
      </c>
      <c r="I37" s="21" t="inlineStr">
        <is>
          <t>1,647,194</t>
        </is>
      </c>
      <c r="J37" s="21" t="n">
        <v>1</v>
      </c>
      <c r="K37" s="21" t="n">
        <v>0</v>
      </c>
      <c r="L37" s="21" t="inlineStr">
        <is>
          <t>29.10.2024 17:46:04</t>
        </is>
      </c>
      <c r="M37" s="19" t="inlineStr">
        <is>
          <t>0 sec</t>
        </is>
      </c>
      <c r="N37" s="21" t="inlineStr">
        <is>
          <t xml:space="preserve">         23K            23K             5K</t>
        </is>
      </c>
      <c r="O37" s="21" t="inlineStr">
        <is>
          <t>95kXx8ZyrRQfNHaHfDD6KyfR7gisCMSnmVrZU2QbPSaq</t>
        </is>
      </c>
      <c r="P37" s="21">
        <f>HYPERLINK("https://photon-sol.tinyastro.io/en/lp/95kXx8ZyrRQfNHaHfDD6KyfR7gisCMSnmVrZU2QbPSaq?handle=676050794bc1b1657a56b", "View")</f>
        <v/>
      </c>
    </row>
    <row r="38">
      <c r="A38" s="16" t="inlineStr">
        <is>
          <t>KANO</t>
        </is>
      </c>
      <c r="B38" s="17" t="n">
        <v>1473512</v>
      </c>
      <c r="C38" s="17" t="n">
        <v>0</v>
      </c>
      <c r="D38" s="17" t="inlineStr">
        <is>
          <t>0.000710</t>
        </is>
      </c>
      <c r="E38" s="17" t="inlineStr">
        <is>
          <t>0.224 SOL</t>
        </is>
      </c>
      <c r="F38" s="17" t="inlineStr">
        <is>
          <t>0.000 SOL</t>
        </is>
      </c>
      <c r="G38" s="18" t="inlineStr">
        <is>
          <t>-0.225 SOL</t>
        </is>
      </c>
      <c r="H38" s="18" t="inlineStr">
        <is>
          <t>0.00%</t>
        </is>
      </c>
      <c r="I38" s="17" t="inlineStr">
        <is>
          <t>1,473,512</t>
        </is>
      </c>
      <c r="J38" s="17" t="n">
        <v>1</v>
      </c>
      <c r="K38" s="17" t="n">
        <v>0</v>
      </c>
      <c r="L38" s="17" t="inlineStr">
        <is>
          <t>29.10.2024 17:33:56</t>
        </is>
      </c>
      <c r="M38" s="19" t="inlineStr">
        <is>
          <t>0 sec</t>
        </is>
      </c>
      <c r="N38" s="17" t="inlineStr">
        <is>
          <t xml:space="preserve">         26K            26K             5K</t>
        </is>
      </c>
      <c r="O38" s="17" t="inlineStr">
        <is>
          <t>7LoZyi93eNYz7WYWs3N7gxzPf3mLRj68wy82Tfu2pump</t>
        </is>
      </c>
      <c r="P38" s="17">
        <f>HYPERLINK("https://photon-sol.tinyastro.io/en/lp/7LoZyi93eNYz7WYWs3N7gxzPf3mLRj68wy82Tfu2pump?handle=676050794bc1b1657a56b", "View")</f>
        <v/>
      </c>
    </row>
    <row r="39">
      <c r="A39" s="20" t="inlineStr">
        <is>
          <t>holy shit</t>
        </is>
      </c>
      <c r="B39" s="21" t="n">
        <v>206334</v>
      </c>
      <c r="C39" s="21" t="n">
        <v>0</v>
      </c>
      <c r="D39" s="21" t="inlineStr">
        <is>
          <t>0.000710</t>
        </is>
      </c>
      <c r="E39" s="21" t="inlineStr">
        <is>
          <t>0.500 SOL</t>
        </is>
      </c>
      <c r="F39" s="21" t="inlineStr">
        <is>
          <t>0.000 SOL</t>
        </is>
      </c>
      <c r="G39" s="18" t="inlineStr">
        <is>
          <t>-0.501 SOL</t>
        </is>
      </c>
      <c r="H39" s="18" t="inlineStr">
        <is>
          <t>0.00%</t>
        </is>
      </c>
      <c r="I39" s="21" t="inlineStr">
        <is>
          <t>206,334</t>
        </is>
      </c>
      <c r="J39" s="21" t="n">
        <v>1</v>
      </c>
      <c r="K39" s="21" t="n">
        <v>0</v>
      </c>
      <c r="L39" s="21" t="inlineStr">
        <is>
          <t>29.10.2024 17:09:59</t>
        </is>
      </c>
      <c r="M39" s="19" t="inlineStr">
        <is>
          <t>0 sec</t>
        </is>
      </c>
      <c r="N39" s="21" t="inlineStr">
        <is>
          <t xml:space="preserve">        424K           424K             8K</t>
        </is>
      </c>
      <c r="O39" s="21" t="inlineStr">
        <is>
          <t>6iB7vcB6bcB5BGVf2gFXTvH2DfUeCiaT4FE9VYBQpump</t>
        </is>
      </c>
      <c r="P39" s="21">
        <f>HYPERLINK("https://dexscreener.com/solana/6iB7vcB6bcB5BGVf2gFXTvH2DfUeCiaT4FE9VYBQpump", "View")</f>
        <v/>
      </c>
    </row>
    <row r="40">
      <c r="A40" s="16" t="inlineStr">
        <is>
          <t>Mr.Noodles</t>
        </is>
      </c>
      <c r="B40" s="17" t="n">
        <v>3451133</v>
      </c>
      <c r="C40" s="17" t="n">
        <v>0</v>
      </c>
      <c r="D40" s="17" t="inlineStr">
        <is>
          <t>0.000710</t>
        </is>
      </c>
      <c r="E40" s="17" t="inlineStr">
        <is>
          <t>0.500 SOL</t>
        </is>
      </c>
      <c r="F40" s="17" t="inlineStr">
        <is>
          <t>0.000 SOL</t>
        </is>
      </c>
      <c r="G40" s="18" t="inlineStr">
        <is>
          <t>-0.501 SOL</t>
        </is>
      </c>
      <c r="H40" s="18" t="inlineStr">
        <is>
          <t>0.00%</t>
        </is>
      </c>
      <c r="I40" s="17" t="inlineStr">
        <is>
          <t>3,451,133</t>
        </is>
      </c>
      <c r="J40" s="17" t="n">
        <v>1</v>
      </c>
      <c r="K40" s="17" t="n">
        <v>0</v>
      </c>
      <c r="L40" s="17" t="inlineStr">
        <is>
          <t>29.10.2024 17:06:47</t>
        </is>
      </c>
      <c r="M40" s="19" t="inlineStr">
        <is>
          <t>0 sec</t>
        </is>
      </c>
      <c r="N40" s="17" t="inlineStr">
        <is>
          <t xml:space="preserve">         25K            25K             8K</t>
        </is>
      </c>
      <c r="O40" s="17" t="inlineStr">
        <is>
          <t>9jso3Fzdp8xuLXXbRuMAzZqpnp9U2Dn5s17Bxr11pump</t>
        </is>
      </c>
      <c r="P40" s="17">
        <f>HYPERLINK("https://dexscreener.com/solana/9jso3Fzdp8xuLXXbRuMAzZqpnp9U2Dn5s17Bxr11pump", "View")</f>
        <v/>
      </c>
    </row>
    <row r="41">
      <c r="A41" s="20" t="inlineStr">
        <is>
          <t>HC</t>
        </is>
      </c>
      <c r="B41" s="21" t="n">
        <v>183550</v>
      </c>
      <c r="C41" s="21" t="n">
        <v>0</v>
      </c>
      <c r="D41" s="21" t="inlineStr">
        <is>
          <t>0.000710</t>
        </is>
      </c>
      <c r="E41" s="21" t="inlineStr">
        <is>
          <t>0.500 SOL</t>
        </is>
      </c>
      <c r="F41" s="21" t="inlineStr">
        <is>
          <t>0.000 SOL</t>
        </is>
      </c>
      <c r="G41" s="18" t="inlineStr">
        <is>
          <t>-0.501 SOL</t>
        </is>
      </c>
      <c r="H41" s="18" t="inlineStr">
        <is>
          <t>0.00%</t>
        </is>
      </c>
      <c r="I41" s="21" t="inlineStr">
        <is>
          <t>183,550</t>
        </is>
      </c>
      <c r="J41" s="21" t="n">
        <v>1</v>
      </c>
      <c r="K41" s="21" t="n">
        <v>0</v>
      </c>
      <c r="L41" s="21" t="inlineStr">
        <is>
          <t>29.10.2024 16:57:17</t>
        </is>
      </c>
      <c r="M41" s="19" t="inlineStr">
        <is>
          <t>0 sec</t>
        </is>
      </c>
      <c r="N41" s="21" t="inlineStr">
        <is>
          <t xml:space="preserve">        478K           478K             8K</t>
        </is>
      </c>
      <c r="O41" s="21" t="inlineStr">
        <is>
          <t>6YHvVQ5B7tBbwmG4tU4ESbRKQKeiVBoE3q6u6sCWpump</t>
        </is>
      </c>
      <c r="P41" s="21">
        <f>HYPERLINK("https://dexscreener.com/solana/6YHvVQ5B7tBbwmG4tU4ESbRKQKeiVBoE3q6u6sCWpump", "View")</f>
        <v/>
      </c>
    </row>
    <row r="42">
      <c r="A42" s="16" t="inlineStr">
        <is>
          <t>DIANA</t>
        </is>
      </c>
      <c r="B42" s="17" t="n">
        <v>4344556</v>
      </c>
      <c r="C42" s="17" t="n">
        <v>0</v>
      </c>
      <c r="D42" s="17" t="inlineStr">
        <is>
          <t>0.000710</t>
        </is>
      </c>
      <c r="E42" s="17" t="inlineStr">
        <is>
          <t>0.250 SOL</t>
        </is>
      </c>
      <c r="F42" s="17" t="inlineStr">
        <is>
          <t>0.000 SOL</t>
        </is>
      </c>
      <c r="G42" s="18" t="inlineStr">
        <is>
          <t>-0.251 SOL</t>
        </is>
      </c>
      <c r="H42" s="18" t="inlineStr">
        <is>
          <t>0.00%</t>
        </is>
      </c>
      <c r="I42" s="17" t="inlineStr">
        <is>
          <t>4,344,556</t>
        </is>
      </c>
      <c r="J42" s="17" t="n">
        <v>1</v>
      </c>
      <c r="K42" s="17" t="n">
        <v>0</v>
      </c>
      <c r="L42" s="17" t="inlineStr">
        <is>
          <t>29.10.2024 16:50:43</t>
        </is>
      </c>
      <c r="M42" s="19" t="inlineStr">
        <is>
          <t>0 sec</t>
        </is>
      </c>
      <c r="N42" s="17" t="inlineStr">
        <is>
          <t xml:space="preserve">         11K            11K             4K</t>
        </is>
      </c>
      <c r="O42" s="17" t="inlineStr">
        <is>
          <t>GoxzQqv43D6e4AM9ZB9GtJXAuGsXaSh9nTvSRRnzpump</t>
        </is>
      </c>
      <c r="P42" s="17">
        <f>HYPERLINK("https://dexscreener.com/solana/GoxzQqv43D6e4AM9ZB9GtJXAuGsXaSh9nTvSRRnzpump", "View")</f>
        <v/>
      </c>
    </row>
    <row r="43">
      <c r="A43" s="20" t="inlineStr">
        <is>
          <t>Hanno</t>
        </is>
      </c>
      <c r="B43" s="21" t="n">
        <v>1450521</v>
      </c>
      <c r="C43" s="21" t="n">
        <v>0</v>
      </c>
      <c r="D43" s="21" t="inlineStr">
        <is>
          <t>0.000710</t>
        </is>
      </c>
      <c r="E43" s="21" t="inlineStr">
        <is>
          <t>0.087 SOL</t>
        </is>
      </c>
      <c r="F43" s="21" t="inlineStr">
        <is>
          <t>0.000 SOL</t>
        </is>
      </c>
      <c r="G43" s="18" t="inlineStr">
        <is>
          <t>-0.087 SOL</t>
        </is>
      </c>
      <c r="H43" s="18" t="inlineStr">
        <is>
          <t>0.00%</t>
        </is>
      </c>
      <c r="I43" s="21" t="inlineStr">
        <is>
          <t>1,450,521</t>
        </is>
      </c>
      <c r="J43" s="21" t="n">
        <v>1</v>
      </c>
      <c r="K43" s="21" t="n">
        <v>0</v>
      </c>
      <c r="L43" s="21" t="inlineStr">
        <is>
          <t>29.10.2024 16:45:38</t>
        </is>
      </c>
      <c r="M43" s="19" t="inlineStr">
        <is>
          <t>0 sec</t>
        </is>
      </c>
      <c r="N43" s="21" t="inlineStr">
        <is>
          <t xml:space="preserve">         11K            11K             4K</t>
        </is>
      </c>
      <c r="O43" s="21" t="inlineStr">
        <is>
          <t>HzPd7yoaFNYZKCXepstCr7u8QuMhXF1aBS7NjxNppump</t>
        </is>
      </c>
      <c r="P43" s="21">
        <f>HYPERLINK("https://dexscreener.com/solana/HzPd7yoaFNYZKCXepstCr7u8QuMhXF1aBS7NjxNppump", "View")</f>
        <v/>
      </c>
    </row>
    <row r="44">
      <c r="A44" s="16" t="inlineStr">
        <is>
          <t>ddog</t>
        </is>
      </c>
      <c r="B44" s="17" t="n">
        <v>197454</v>
      </c>
      <c r="C44" s="17" t="n">
        <v>0</v>
      </c>
      <c r="D44" s="17" t="inlineStr">
        <is>
          <t>0.000710</t>
        </is>
      </c>
      <c r="E44" s="17" t="inlineStr">
        <is>
          <t>0.500 SOL</t>
        </is>
      </c>
      <c r="F44" s="17" t="inlineStr">
        <is>
          <t>0.000 SOL</t>
        </is>
      </c>
      <c r="G44" s="18" t="inlineStr">
        <is>
          <t>-0.501 SOL</t>
        </is>
      </c>
      <c r="H44" s="18" t="inlineStr">
        <is>
          <t>0.00%</t>
        </is>
      </c>
      <c r="I44" s="17" t="inlineStr">
        <is>
          <t>197,454</t>
        </is>
      </c>
      <c r="J44" s="17" t="n">
        <v>1</v>
      </c>
      <c r="K44" s="17" t="n">
        <v>0</v>
      </c>
      <c r="L44" s="17" t="inlineStr">
        <is>
          <t>29.10.2024 16:39:57</t>
        </is>
      </c>
      <c r="M44" s="19" t="inlineStr">
        <is>
          <t>0 sec</t>
        </is>
      </c>
      <c r="N44" s="17" t="inlineStr">
        <is>
          <t xml:space="preserve">        444K           444K             8K</t>
        </is>
      </c>
      <c r="O44" s="17" t="inlineStr">
        <is>
          <t>EJdD2Tx4MWzbhjMRAHpTPt7xHTr9wKyDqQtnXH2wpump</t>
        </is>
      </c>
      <c r="P44" s="17">
        <f>HYPERLINK("https://dexscreener.com/solana/EJdD2Tx4MWzbhjMRAHpTPt7xHTr9wKyDqQtnXH2wpump", "View")</f>
        <v/>
      </c>
    </row>
    <row r="45">
      <c r="A45" s="20" t="inlineStr">
        <is>
          <t>ARIES</t>
        </is>
      </c>
      <c r="B45" s="21" t="n">
        <v>1442180</v>
      </c>
      <c r="C45" s="21" t="n">
        <v>0</v>
      </c>
      <c r="D45" s="21" t="inlineStr">
        <is>
          <t>0.000710</t>
        </is>
      </c>
      <c r="E45" s="21" t="inlineStr">
        <is>
          <t>0.074 SOL</t>
        </is>
      </c>
      <c r="F45" s="21" t="inlineStr">
        <is>
          <t>0.000 SOL</t>
        </is>
      </c>
      <c r="G45" s="18" t="inlineStr">
        <is>
          <t>-0.075 SOL</t>
        </is>
      </c>
      <c r="H45" s="18" t="inlineStr">
        <is>
          <t>0.00%</t>
        </is>
      </c>
      <c r="I45" s="21" t="inlineStr">
        <is>
          <t>1,442,180</t>
        </is>
      </c>
      <c r="J45" s="21" t="n">
        <v>1</v>
      </c>
      <c r="K45" s="21" t="n">
        <v>0</v>
      </c>
      <c r="L45" s="21" t="inlineStr">
        <is>
          <t>29.10.2024 16:08:17</t>
        </is>
      </c>
      <c r="M45" s="19" t="inlineStr">
        <is>
          <t>0 sec</t>
        </is>
      </c>
      <c r="N45" s="21" t="inlineStr">
        <is>
          <t xml:space="preserve">          9K             9K             4K</t>
        </is>
      </c>
      <c r="O45" s="21" t="inlineStr">
        <is>
          <t>DyjxrHGPiZYeanHJpSQS8gENSPfZgaqh1MdR4AoFpump</t>
        </is>
      </c>
      <c r="P45" s="21">
        <f>HYPERLINK("https://dexscreener.com/solana/DyjxrHGPiZYeanHJpSQS8gENSPfZgaqh1MdR4AoFpump", "View")</f>
        <v/>
      </c>
    </row>
    <row r="46">
      <c r="A46" s="16" t="inlineStr">
        <is>
          <t>Frida</t>
        </is>
      </c>
      <c r="B46" s="17" t="n">
        <v>1959234</v>
      </c>
      <c r="C46" s="17" t="n">
        <v>0</v>
      </c>
      <c r="D46" s="17" t="inlineStr">
        <is>
          <t>0.000710</t>
        </is>
      </c>
      <c r="E46" s="17" t="inlineStr">
        <is>
          <t>0.247 SOL</t>
        </is>
      </c>
      <c r="F46" s="17" t="inlineStr">
        <is>
          <t>0.000 SOL</t>
        </is>
      </c>
      <c r="G46" s="18" t="inlineStr">
        <is>
          <t>-0.248 SOL</t>
        </is>
      </c>
      <c r="H46" s="18" t="inlineStr">
        <is>
          <t>0.00%</t>
        </is>
      </c>
      <c r="I46" s="17" t="inlineStr">
        <is>
          <t>1,959,234</t>
        </is>
      </c>
      <c r="J46" s="17" t="n">
        <v>1</v>
      </c>
      <c r="K46" s="17" t="n">
        <v>0</v>
      </c>
      <c r="L46" s="17" t="inlineStr">
        <is>
          <t>29.10.2024 16:03:34</t>
        </is>
      </c>
      <c r="M46" s="19" t="inlineStr">
        <is>
          <t>0 sec</t>
        </is>
      </c>
      <c r="N46" s="17" t="inlineStr">
        <is>
          <t xml:space="preserve">         23K            23K             4K</t>
        </is>
      </c>
      <c r="O46" s="17" t="inlineStr">
        <is>
          <t>F8guQLPX3QfWwMTZ8SveQ7TAEYccyCDsayUh5ZoGpump</t>
        </is>
      </c>
      <c r="P46" s="17">
        <f>HYPERLINK("https://dexscreener.com/solana/F8guQLPX3QfWwMTZ8SveQ7TAEYccyCDsayUh5ZoGpump", "View")</f>
        <v/>
      </c>
    </row>
    <row r="47">
      <c r="A47" s="20" t="inlineStr">
        <is>
          <t>Rippus</t>
        </is>
      </c>
      <c r="B47" s="21" t="n">
        <v>229318</v>
      </c>
      <c r="C47" s="21" t="n">
        <v>0</v>
      </c>
      <c r="D47" s="21" t="inlineStr">
        <is>
          <t>0.000710</t>
        </is>
      </c>
      <c r="E47" s="21" t="inlineStr">
        <is>
          <t>0.500 SOL</t>
        </is>
      </c>
      <c r="F47" s="21" t="inlineStr">
        <is>
          <t>0.000 SOL</t>
        </is>
      </c>
      <c r="G47" s="18" t="inlineStr">
        <is>
          <t>-0.501 SOL</t>
        </is>
      </c>
      <c r="H47" s="18" t="inlineStr">
        <is>
          <t>0.00%</t>
        </is>
      </c>
      <c r="I47" s="21" t="inlineStr">
        <is>
          <t>229,318</t>
        </is>
      </c>
      <c r="J47" s="21" t="n">
        <v>1</v>
      </c>
      <c r="K47" s="21" t="n">
        <v>0</v>
      </c>
      <c r="L47" s="21" t="inlineStr">
        <is>
          <t>29.10.2024 15:01:57</t>
        </is>
      </c>
      <c r="M47" s="19" t="inlineStr">
        <is>
          <t>0 sec</t>
        </is>
      </c>
      <c r="N47" s="21" t="inlineStr">
        <is>
          <t xml:space="preserve">        383K           383K            13K</t>
        </is>
      </c>
      <c r="O47" s="21" t="inlineStr">
        <is>
          <t>9AFJZo69ATfqf6qms3kd2hyDg7wKt1MHhr6dg8Tspump</t>
        </is>
      </c>
      <c r="P47" s="21">
        <f>HYPERLINK("https://dexscreener.com/solana/9AFJZo69ATfqf6qms3kd2hyDg7wKt1MHhr6dg8Tspump", "View")</f>
        <v/>
      </c>
    </row>
    <row r="48">
      <c r="A48" s="16" t="inlineStr">
        <is>
          <t>gs</t>
        </is>
      </c>
      <c r="B48" s="17" t="n">
        <v>1027398</v>
      </c>
      <c r="C48" s="17" t="n">
        <v>0</v>
      </c>
      <c r="D48" s="17" t="inlineStr">
        <is>
          <t>0.000710</t>
        </is>
      </c>
      <c r="E48" s="17" t="inlineStr">
        <is>
          <t>0.495 SOL</t>
        </is>
      </c>
      <c r="F48" s="17" t="inlineStr">
        <is>
          <t>0.000 SOL</t>
        </is>
      </c>
      <c r="G48" s="18" t="inlineStr">
        <is>
          <t>-0.496 SOL</t>
        </is>
      </c>
      <c r="H48" s="18" t="inlineStr">
        <is>
          <t>0.00%</t>
        </is>
      </c>
      <c r="I48" s="17" t="inlineStr">
        <is>
          <t>1,027,398</t>
        </is>
      </c>
      <c r="J48" s="17" t="n">
        <v>1</v>
      </c>
      <c r="K48" s="17" t="n">
        <v>0</v>
      </c>
      <c r="L48" s="17" t="inlineStr">
        <is>
          <t>29.10.2024 14:57:12</t>
        </is>
      </c>
      <c r="M48" s="19" t="inlineStr">
        <is>
          <t>0 sec</t>
        </is>
      </c>
      <c r="N48" s="17" t="inlineStr">
        <is>
          <t xml:space="preserve">         84K            84K             4K</t>
        </is>
      </c>
      <c r="O48" s="17" t="inlineStr">
        <is>
          <t>CBAZNZrZtiBB3GToBqCZ9sRiXZV1z81F6ncH9Exqpump</t>
        </is>
      </c>
      <c r="P48" s="17">
        <f>HYPERLINK("https://dexscreener.com/solana/CBAZNZrZtiBB3GToBqCZ9sRiXZV1z81F6ncH9Exqpump", "View")</f>
        <v/>
      </c>
    </row>
    <row r="49">
      <c r="A49" s="20" t="inlineStr">
        <is>
          <t>pixy</t>
        </is>
      </c>
      <c r="B49" s="21" t="n">
        <v>315470</v>
      </c>
      <c r="C49" s="21" t="n">
        <v>0</v>
      </c>
      <c r="D49" s="21" t="inlineStr">
        <is>
          <t>0.000710</t>
        </is>
      </c>
      <c r="E49" s="21" t="inlineStr">
        <is>
          <t>0.500 SOL</t>
        </is>
      </c>
      <c r="F49" s="21" t="inlineStr">
        <is>
          <t>0.000 SOL</t>
        </is>
      </c>
      <c r="G49" s="18" t="inlineStr">
        <is>
          <t>-0.501 SOL</t>
        </is>
      </c>
      <c r="H49" s="18" t="inlineStr">
        <is>
          <t>0.00%</t>
        </is>
      </c>
      <c r="I49" s="21" t="inlineStr">
        <is>
          <t>315,470</t>
        </is>
      </c>
      <c r="J49" s="21" t="n">
        <v>1</v>
      </c>
      <c r="K49" s="21" t="n">
        <v>0</v>
      </c>
      <c r="L49" s="21" t="inlineStr">
        <is>
          <t>29.10.2024 13:03:22</t>
        </is>
      </c>
      <c r="M49" s="19" t="inlineStr">
        <is>
          <t>0 sec</t>
        </is>
      </c>
      <c r="N49" s="21" t="inlineStr">
        <is>
          <t xml:space="preserve">        277K           277K             7K</t>
        </is>
      </c>
      <c r="O49" s="21" t="inlineStr">
        <is>
          <t>EegQmCFNWdhZsh75XUdW2TaM8S13LAGf6JzNgHpxpump</t>
        </is>
      </c>
      <c r="P49" s="21">
        <f>HYPERLINK("https://dexscreener.com/solana/EegQmCFNWdhZsh75XUdW2TaM8S13LAGf6JzNgHpxpump", "View")</f>
        <v/>
      </c>
    </row>
    <row r="50">
      <c r="A50" s="16" t="inlineStr">
        <is>
          <t>TOS</t>
        </is>
      </c>
      <c r="B50" s="17" t="n">
        <v>678240</v>
      </c>
      <c r="C50" s="17" t="n">
        <v>0</v>
      </c>
      <c r="D50" s="17" t="inlineStr">
        <is>
          <t>0.000710</t>
        </is>
      </c>
      <c r="E50" s="17" t="inlineStr">
        <is>
          <t>0.495 SOL</t>
        </is>
      </c>
      <c r="F50" s="17" t="inlineStr">
        <is>
          <t>0.000 SOL</t>
        </is>
      </c>
      <c r="G50" s="18" t="inlineStr">
        <is>
          <t>-0.496 SOL</t>
        </is>
      </c>
      <c r="H50" s="18" t="inlineStr">
        <is>
          <t>0.00%</t>
        </is>
      </c>
      <c r="I50" s="17" t="inlineStr">
        <is>
          <t>678,240</t>
        </is>
      </c>
      <c r="J50" s="17" t="n">
        <v>1</v>
      </c>
      <c r="K50" s="17" t="n">
        <v>0</v>
      </c>
      <c r="L50" s="17" t="inlineStr">
        <is>
          <t>29.10.2024 12:18:57</t>
        </is>
      </c>
      <c r="M50" s="19" t="inlineStr">
        <is>
          <t>0 sec</t>
        </is>
      </c>
      <c r="N50" s="17" t="inlineStr">
        <is>
          <t xml:space="preserve">        128K           128K            17K</t>
        </is>
      </c>
      <c r="O50" s="17" t="inlineStr">
        <is>
          <t>HcSHefAEHNtxbDASQEeMrjjF26FFjMFV7pqfifBXpump</t>
        </is>
      </c>
      <c r="P50" s="17">
        <f>HYPERLINK("https://dexscreener.com/solana/HcSHefAEHNtxbDASQEeMrjjF26FFjMFV7pqfifBXpump", "View")</f>
        <v/>
      </c>
    </row>
    <row r="51">
      <c r="A51" s="20" t="inlineStr">
        <is>
          <t>RURIK</t>
        </is>
      </c>
      <c r="B51" s="21" t="n">
        <v>399501</v>
      </c>
      <c r="C51" s="21" t="n">
        <v>399501</v>
      </c>
      <c r="D51" s="21" t="inlineStr">
        <is>
          <t>0.001110</t>
        </is>
      </c>
      <c r="E51" s="21" t="inlineStr">
        <is>
          <t>0.500 SOL</t>
        </is>
      </c>
      <c r="F51" s="21" t="inlineStr">
        <is>
          <t>0.183 SOL</t>
        </is>
      </c>
      <c r="G51" s="23" t="inlineStr">
        <is>
          <t>-0.318 SOL</t>
        </is>
      </c>
      <c r="H51" s="23" t="inlineStr">
        <is>
          <t>-63.50%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29.10.2024 11:44:10</t>
        </is>
      </c>
      <c r="M51" s="21" t="inlineStr">
        <is>
          <t>1 hours</t>
        </is>
      </c>
      <c r="N51" s="21" t="inlineStr">
        <is>
          <t xml:space="preserve">        220K           220K             6K</t>
        </is>
      </c>
      <c r="O51" s="21" t="inlineStr">
        <is>
          <t>HEYEkK75ZTh5CBbozwWbxJBsjUVygtzuetCxXUjmpump</t>
        </is>
      </c>
      <c r="P51" s="21">
        <f>HYPERLINK("https://dexscreener.com/solana/HEYEkK75ZTh5CBbozwWbxJBsjUVygtzuetCxXUjmpump", "View")</f>
        <v/>
      </c>
    </row>
    <row r="52">
      <c r="A52" s="16" t="inlineStr">
        <is>
          <t>Miggy</t>
        </is>
      </c>
      <c r="B52" s="17" t="n">
        <v>487281</v>
      </c>
      <c r="C52" s="17" t="n">
        <v>0</v>
      </c>
      <c r="D52" s="17" t="inlineStr">
        <is>
          <t>0.000710</t>
        </is>
      </c>
      <c r="E52" s="17" t="inlineStr">
        <is>
          <t>0.500 SOL</t>
        </is>
      </c>
      <c r="F52" s="17" t="inlineStr">
        <is>
          <t>0.000 SOL</t>
        </is>
      </c>
      <c r="G52" s="18" t="inlineStr">
        <is>
          <t>-0.501 SOL</t>
        </is>
      </c>
      <c r="H52" s="18" t="inlineStr">
        <is>
          <t>0.00%</t>
        </is>
      </c>
      <c r="I52" s="17" t="inlineStr">
        <is>
          <t>487,281</t>
        </is>
      </c>
      <c r="J52" s="17" t="n">
        <v>1</v>
      </c>
      <c r="K52" s="17" t="n">
        <v>0</v>
      </c>
      <c r="L52" s="17" t="inlineStr">
        <is>
          <t>29.10.2024 05:42:36</t>
        </is>
      </c>
      <c r="M52" s="19" t="inlineStr">
        <is>
          <t>0 sec</t>
        </is>
      </c>
      <c r="N52" s="17" t="inlineStr">
        <is>
          <t xml:space="preserve">        181K           181K             4K</t>
        </is>
      </c>
      <c r="O52" s="17" t="inlineStr">
        <is>
          <t>58ofVUi8HEDL22i6BMgv4Xycirs7uHgLVqfRiXS7pump</t>
        </is>
      </c>
      <c r="P52" s="17">
        <f>HYPERLINK("https://dexscreener.com/solana/58ofVUi8HEDL22i6BMgv4Xycirs7uHgLVqfRiXS7pump", "View")</f>
        <v/>
      </c>
    </row>
    <row r="53">
      <c r="A53" s="20" t="inlineStr">
        <is>
          <t>Gemma-7b</t>
        </is>
      </c>
      <c r="B53" s="21" t="n">
        <v>515320</v>
      </c>
      <c r="C53" s="21" t="n">
        <v>0</v>
      </c>
      <c r="D53" s="21" t="inlineStr">
        <is>
          <t>0.000710</t>
        </is>
      </c>
      <c r="E53" s="21" t="inlineStr">
        <is>
          <t>0.500 SOL</t>
        </is>
      </c>
      <c r="F53" s="21" t="inlineStr">
        <is>
          <t>0.000 SOL</t>
        </is>
      </c>
      <c r="G53" s="18" t="inlineStr">
        <is>
          <t>-0.501 SOL</t>
        </is>
      </c>
      <c r="H53" s="18" t="inlineStr">
        <is>
          <t>0.00%</t>
        </is>
      </c>
      <c r="I53" s="21" t="inlineStr">
        <is>
          <t>515,320</t>
        </is>
      </c>
      <c r="J53" s="21" t="n">
        <v>1</v>
      </c>
      <c r="K53" s="21" t="n">
        <v>0</v>
      </c>
      <c r="L53" s="21" t="inlineStr">
        <is>
          <t>29.10.2024 04:51:20</t>
        </is>
      </c>
      <c r="M53" s="19" t="inlineStr">
        <is>
          <t>0 sec</t>
        </is>
      </c>
      <c r="N53" s="21" t="inlineStr">
        <is>
          <t xml:space="preserve">        170K           170K             4K</t>
        </is>
      </c>
      <c r="O53" s="21" t="inlineStr">
        <is>
          <t>AFmnF7gsWVmKCvcLM4xFgsZfz4JNLw53d3uAZYLWpump</t>
        </is>
      </c>
      <c r="P53" s="21">
        <f>HYPERLINK("https://dexscreener.com/solana/AFmnF7gsWVmKCvcLM4xFgsZfz4JNLw53d3uAZYLWpump", "View")</f>
        <v/>
      </c>
    </row>
    <row r="54">
      <c r="A54" s="16" t="inlineStr">
        <is>
          <t>AIMC</t>
        </is>
      </c>
      <c r="B54" s="17" t="n">
        <v>292583</v>
      </c>
      <c r="C54" s="17" t="n">
        <v>0</v>
      </c>
      <c r="D54" s="17" t="inlineStr">
        <is>
          <t>0.000710</t>
        </is>
      </c>
      <c r="E54" s="17" t="inlineStr">
        <is>
          <t>0.500 SOL</t>
        </is>
      </c>
      <c r="F54" s="17" t="inlineStr">
        <is>
          <t>0.000 SOL</t>
        </is>
      </c>
      <c r="G54" s="18" t="inlineStr">
        <is>
          <t>-0.501 SOL</t>
        </is>
      </c>
      <c r="H54" s="18" t="inlineStr">
        <is>
          <t>0.00%</t>
        </is>
      </c>
      <c r="I54" s="17" t="inlineStr">
        <is>
          <t>292,583</t>
        </is>
      </c>
      <c r="J54" s="17" t="n">
        <v>1</v>
      </c>
      <c r="K54" s="17" t="n">
        <v>0</v>
      </c>
      <c r="L54" s="17" t="inlineStr">
        <is>
          <t>29.10.2024 03:29:56</t>
        </is>
      </c>
      <c r="M54" s="19" t="inlineStr">
        <is>
          <t>0 sec</t>
        </is>
      </c>
      <c r="N54" s="17" t="inlineStr">
        <is>
          <t xml:space="preserve">        300K           300K             5K</t>
        </is>
      </c>
      <c r="O54" s="17" t="inlineStr">
        <is>
          <t>iByRAnwB6oHjphgaixPkKqno41ida9yqKwwmrsKpump</t>
        </is>
      </c>
      <c r="P54" s="17">
        <f>HYPERLINK("https://dexscreener.com/solana/iByRAnwB6oHjphgaixPkKqno41ida9yqKwwmrsKpump", "View")</f>
        <v/>
      </c>
    </row>
    <row r="55">
      <c r="A55" s="20" t="inlineStr">
        <is>
          <t>TAW</t>
        </is>
      </c>
      <c r="B55" s="21" t="n">
        <v>1088862</v>
      </c>
      <c r="C55" s="21" t="n">
        <v>0</v>
      </c>
      <c r="D55" s="21" t="inlineStr">
        <is>
          <t>0.000710</t>
        </is>
      </c>
      <c r="E55" s="21" t="inlineStr">
        <is>
          <t>0.495 SOL</t>
        </is>
      </c>
      <c r="F55" s="21" t="inlineStr">
        <is>
          <t>0.000 SOL</t>
        </is>
      </c>
      <c r="G55" s="18" t="inlineStr">
        <is>
          <t>-0.496 SOL</t>
        </is>
      </c>
      <c r="H55" s="18" t="inlineStr">
        <is>
          <t>0.00%</t>
        </is>
      </c>
      <c r="I55" s="21" t="inlineStr">
        <is>
          <t>1,088,862</t>
        </is>
      </c>
      <c r="J55" s="21" t="n">
        <v>1</v>
      </c>
      <c r="K55" s="21" t="n">
        <v>0</v>
      </c>
      <c r="L55" s="21" t="inlineStr">
        <is>
          <t>29.10.2024 03:14:51</t>
        </is>
      </c>
      <c r="M55" s="19" t="inlineStr">
        <is>
          <t>0 sec</t>
        </is>
      </c>
      <c r="N55" s="21" t="inlineStr">
        <is>
          <t xml:space="preserve">         79K            79K            11K</t>
        </is>
      </c>
      <c r="O55" s="21" t="inlineStr">
        <is>
          <t>7458jTLdMTuqtfHg1eiPY3vUvDX6RgKZAntATVPDpump</t>
        </is>
      </c>
      <c r="P55" s="21">
        <f>HYPERLINK("https://dexscreener.com/solana/7458jTLdMTuqtfHg1eiPY3vUvDX6RgKZAntATVPDpump", "View")</f>
        <v/>
      </c>
    </row>
    <row r="56">
      <c r="A56" s="16" t="inlineStr">
        <is>
          <t>TRENCH</t>
        </is>
      </c>
      <c r="B56" s="17" t="n">
        <v>2582871</v>
      </c>
      <c r="C56" s="17" t="n">
        <v>2582871</v>
      </c>
      <c r="D56" s="17" t="inlineStr">
        <is>
          <t>0.001110</t>
        </is>
      </c>
      <c r="E56" s="17" t="inlineStr">
        <is>
          <t>0.159 SOL</t>
        </is>
      </c>
      <c r="F56" s="17" t="inlineStr">
        <is>
          <t>0.938 SOL</t>
        </is>
      </c>
      <c r="G56" s="24" t="inlineStr">
        <is>
          <t>0.778 SOL</t>
        </is>
      </c>
      <c r="H56" s="24" t="inlineStr">
        <is>
          <t>487.01%</t>
        </is>
      </c>
      <c r="I56" s="17" t="inlineStr">
        <is>
          <t>N/A</t>
        </is>
      </c>
      <c r="J56" s="17" t="n">
        <v>1</v>
      </c>
      <c r="K56" s="17" t="n">
        <v>1</v>
      </c>
      <c r="L56" s="17" t="inlineStr">
        <is>
          <t>28.10.2024 16:24:20</t>
        </is>
      </c>
      <c r="M56" s="17" t="inlineStr">
        <is>
          <t>1 hours</t>
        </is>
      </c>
      <c r="N56" s="17" t="inlineStr">
        <is>
          <t xml:space="preserve">         11K            11K             8K</t>
        </is>
      </c>
      <c r="O56" s="17" t="inlineStr">
        <is>
          <t>AnQCNde4nXGG4vT6XGpYJc7tyh1cjwyjC3raeRxnNN4F</t>
        </is>
      </c>
      <c r="P56" s="17">
        <f>HYPERLINK("https://photon-sol.tinyastro.io/en/lp/AnQCNde4nXGG4vT6XGpYJc7tyh1cjwyjC3raeRxnNN4F?handle=676050794bc1b1657a56b", "View")</f>
        <v/>
      </c>
    </row>
    <row r="57">
      <c r="A57" s="20" t="inlineStr">
        <is>
          <t>AHEGAO</t>
        </is>
      </c>
      <c r="B57" s="21" t="n">
        <v>1789083</v>
      </c>
      <c r="C57" s="21" t="n">
        <v>0</v>
      </c>
      <c r="D57" s="21" t="inlineStr">
        <is>
          <t>0.000710</t>
        </is>
      </c>
      <c r="E57" s="21" t="inlineStr">
        <is>
          <t>0.224 SOL</t>
        </is>
      </c>
      <c r="F57" s="21" t="inlineStr">
        <is>
          <t>0.000 SOL</t>
        </is>
      </c>
      <c r="G57" s="18" t="inlineStr">
        <is>
          <t>-0.224 SOL</t>
        </is>
      </c>
      <c r="H57" s="18" t="inlineStr">
        <is>
          <t>0.00%</t>
        </is>
      </c>
      <c r="I57" s="21" t="inlineStr">
        <is>
          <t>1,789,083</t>
        </is>
      </c>
      <c r="J57" s="21" t="n">
        <v>1</v>
      </c>
      <c r="K57" s="21" t="n">
        <v>0</v>
      </c>
      <c r="L57" s="21" t="inlineStr">
        <is>
          <t>28.10.2024 16:10:38</t>
        </is>
      </c>
      <c r="M57" s="19" t="inlineStr">
        <is>
          <t>0 sec</t>
        </is>
      </c>
      <c r="N57" s="21" t="inlineStr">
        <is>
          <t xml:space="preserve">         23K            23K             5K</t>
        </is>
      </c>
      <c r="O57" s="21" t="inlineStr">
        <is>
          <t>3PgU1nJK3NSimGLDpC3BnzVarxNSfcMwwGrt9SF6pump</t>
        </is>
      </c>
      <c r="P57" s="21">
        <f>HYPERLINK("https://photon-sol.tinyastro.io/en/lp/3PgU1nJK3NSimGLDpC3BnzVarxNSfcMwwGrt9SF6pump?handle=676050794bc1b1657a56b", "View")</f>
        <v/>
      </c>
    </row>
    <row r="58">
      <c r="A58" s="16" t="inlineStr">
        <is>
          <t>HOL</t>
        </is>
      </c>
      <c r="B58" s="17" t="n">
        <v>1984145</v>
      </c>
      <c r="C58" s="17" t="n">
        <v>0</v>
      </c>
      <c r="D58" s="17" t="inlineStr">
        <is>
          <t>0.000710</t>
        </is>
      </c>
      <c r="E58" s="17" t="inlineStr">
        <is>
          <t>0.208 SOL</t>
        </is>
      </c>
      <c r="F58" s="17" t="inlineStr">
        <is>
          <t>0.000 SOL</t>
        </is>
      </c>
      <c r="G58" s="18" t="inlineStr">
        <is>
          <t>-0.209 SOL</t>
        </is>
      </c>
      <c r="H58" s="18" t="inlineStr">
        <is>
          <t>0.00%</t>
        </is>
      </c>
      <c r="I58" s="17" t="inlineStr">
        <is>
          <t>1,984,145</t>
        </is>
      </c>
      <c r="J58" s="17" t="n">
        <v>1</v>
      </c>
      <c r="K58" s="17" t="n">
        <v>0</v>
      </c>
      <c r="L58" s="17" t="inlineStr">
        <is>
          <t>28.10.2024 16:03:19</t>
        </is>
      </c>
      <c r="M58" s="19" t="inlineStr">
        <is>
          <t>0 sec</t>
        </is>
      </c>
      <c r="N58" s="17" t="inlineStr">
        <is>
          <t xml:space="preserve">         19K            19K             5K</t>
        </is>
      </c>
      <c r="O58" s="17" t="inlineStr">
        <is>
          <t>HUvjDmYNXL45eaPqi8176ihpYTAMxknr2dUWKN8spump</t>
        </is>
      </c>
      <c r="P58" s="17">
        <f>HYPERLINK("https://photon-sol.tinyastro.io/en/lp/HUvjDmYNXL45eaPqi8176ihpYTAMxknr2dUWKN8spump?handle=676050794bc1b1657a56b", "View")</f>
        <v/>
      </c>
    </row>
    <row r="59">
      <c r="A59" s="20" t="inlineStr">
        <is>
          <t>FISHAI</t>
        </is>
      </c>
      <c r="B59" s="21" t="n">
        <v>1238645</v>
      </c>
      <c r="C59" s="21" t="n">
        <v>0</v>
      </c>
      <c r="D59" s="21" t="inlineStr">
        <is>
          <t>0.000710</t>
        </is>
      </c>
      <c r="E59" s="21" t="inlineStr">
        <is>
          <t>0.249 SOL</t>
        </is>
      </c>
      <c r="F59" s="21" t="inlineStr">
        <is>
          <t>0.000 SOL</t>
        </is>
      </c>
      <c r="G59" s="18" t="inlineStr">
        <is>
          <t>-0.249 SOL</t>
        </is>
      </c>
      <c r="H59" s="18" t="inlineStr">
        <is>
          <t>0.00%</t>
        </is>
      </c>
      <c r="I59" s="21" t="inlineStr">
        <is>
          <t>1,238,645</t>
        </is>
      </c>
      <c r="J59" s="21" t="n">
        <v>1</v>
      </c>
      <c r="K59" s="21" t="n">
        <v>0</v>
      </c>
      <c r="L59" s="21" t="inlineStr">
        <is>
          <t>28.10.2024 16:01:52</t>
        </is>
      </c>
      <c r="M59" s="19" t="inlineStr">
        <is>
          <t>0 sec</t>
        </is>
      </c>
      <c r="N59" s="21" t="inlineStr">
        <is>
          <t xml:space="preserve">         35K            35K             5K</t>
        </is>
      </c>
      <c r="O59" s="21" t="inlineStr">
        <is>
          <t>DCqFw7Pu4eMgWdEqNPDuvLRRaRgD2xbJ6pozMED6pump</t>
        </is>
      </c>
      <c r="P59" s="21">
        <f>HYPERLINK("https://photon-sol.tinyastro.io/en/lp/DCqFw7Pu4eMgWdEqNPDuvLRRaRgD2xbJ6pozMED6pump?handle=676050794bc1b1657a56b", "View")</f>
        <v/>
      </c>
    </row>
    <row r="60">
      <c r="A60" s="16" t="inlineStr">
        <is>
          <t>Dolly</t>
        </is>
      </c>
      <c r="B60" s="17" t="n">
        <v>1549954</v>
      </c>
      <c r="C60" s="17" t="n">
        <v>0</v>
      </c>
      <c r="D60" s="17" t="inlineStr">
        <is>
          <t>0.000710</t>
        </is>
      </c>
      <c r="E60" s="17" t="inlineStr">
        <is>
          <t>0.220 SOL</t>
        </is>
      </c>
      <c r="F60" s="17" t="inlineStr">
        <is>
          <t>0.000 SOL</t>
        </is>
      </c>
      <c r="G60" s="18" t="inlineStr">
        <is>
          <t>-0.220 SOL</t>
        </is>
      </c>
      <c r="H60" s="18" t="inlineStr">
        <is>
          <t>0.00%</t>
        </is>
      </c>
      <c r="I60" s="17" t="inlineStr">
        <is>
          <t>1,549,954</t>
        </is>
      </c>
      <c r="J60" s="17" t="n">
        <v>1</v>
      </c>
      <c r="K60" s="17" t="n">
        <v>0</v>
      </c>
      <c r="L60" s="17" t="inlineStr">
        <is>
          <t>28.10.2024 16:00:01</t>
        </is>
      </c>
      <c r="M60" s="19" t="inlineStr">
        <is>
          <t>0 sec</t>
        </is>
      </c>
      <c r="N60" s="17" t="inlineStr">
        <is>
          <t xml:space="preserve">         25K            25K             5K</t>
        </is>
      </c>
      <c r="O60" s="17" t="inlineStr">
        <is>
          <t>embRm6LVgkHiV4cSwHzuoYRMuW5ybk3GtimnPLrpump</t>
        </is>
      </c>
      <c r="P60" s="17">
        <f>HYPERLINK("https://photon-sol.tinyastro.io/en/lp/embRm6LVgkHiV4cSwHzuoYRMuW5ybk3GtimnPLrpump?handle=676050794bc1b1657a56b", "View")</f>
        <v/>
      </c>
    </row>
    <row r="61">
      <c r="A61" s="20" t="inlineStr">
        <is>
          <t>DCF</t>
        </is>
      </c>
      <c r="B61" s="21" t="n">
        <v>2433338</v>
      </c>
      <c r="C61" s="21" t="n">
        <v>0</v>
      </c>
      <c r="D61" s="21" t="inlineStr">
        <is>
          <t>0.000710</t>
        </is>
      </c>
      <c r="E61" s="21" t="inlineStr">
        <is>
          <t>0.201 SOL</t>
        </is>
      </c>
      <c r="F61" s="21" t="inlineStr">
        <is>
          <t>0.000 SOL</t>
        </is>
      </c>
      <c r="G61" s="18" t="inlineStr">
        <is>
          <t>-0.201 SOL</t>
        </is>
      </c>
      <c r="H61" s="18" t="inlineStr">
        <is>
          <t>0.00%</t>
        </is>
      </c>
      <c r="I61" s="21" t="inlineStr">
        <is>
          <t>2,433,338</t>
        </is>
      </c>
      <c r="J61" s="21" t="n">
        <v>1</v>
      </c>
      <c r="K61" s="21" t="n">
        <v>0</v>
      </c>
      <c r="L61" s="21" t="inlineStr">
        <is>
          <t>28.10.2024 15:57:31</t>
        </is>
      </c>
      <c r="M61" s="19" t="inlineStr">
        <is>
          <t>0 sec</t>
        </is>
      </c>
      <c r="N61" s="21" t="inlineStr">
        <is>
          <t xml:space="preserve">         14K            14K             6K</t>
        </is>
      </c>
      <c r="O61" s="21" t="inlineStr">
        <is>
          <t>5oqmSZe3mYnvda4uuzvif2KGXzx77VzRm8ez4aswpump</t>
        </is>
      </c>
      <c r="P61" s="21">
        <f>HYPERLINK("https://photon-sol.tinyastro.io/en/lp/5oqmSZe3mYnvda4uuzvif2KGXzx77VzRm8ez4aswpump?handle=676050794bc1b1657a56b", "View")</f>
        <v/>
      </c>
    </row>
    <row r="62">
      <c r="A62" s="16" t="inlineStr">
        <is>
          <t>nGPT 𒀭</t>
        </is>
      </c>
      <c r="B62" s="17" t="n">
        <v>4013451</v>
      </c>
      <c r="C62" s="17" t="n">
        <v>0</v>
      </c>
      <c r="D62" s="17" t="inlineStr">
        <is>
          <t>0.000710</t>
        </is>
      </c>
      <c r="E62" s="17" t="inlineStr">
        <is>
          <t>0.191 SOL</t>
        </is>
      </c>
      <c r="F62" s="17" t="inlineStr">
        <is>
          <t>0.000 SOL</t>
        </is>
      </c>
      <c r="G62" s="18" t="inlineStr">
        <is>
          <t>-0.192 SOL</t>
        </is>
      </c>
      <c r="H62" s="18" t="inlineStr">
        <is>
          <t>0.00%</t>
        </is>
      </c>
      <c r="I62" s="17" t="inlineStr">
        <is>
          <t>4,013,451</t>
        </is>
      </c>
      <c r="J62" s="17" t="n">
        <v>1</v>
      </c>
      <c r="K62" s="17" t="n">
        <v>0</v>
      </c>
      <c r="L62" s="17" t="inlineStr">
        <is>
          <t>28.10.2024 15:40:27</t>
        </is>
      </c>
      <c r="M62" s="19" t="inlineStr">
        <is>
          <t>0 sec</t>
        </is>
      </c>
      <c r="N62" s="17" t="inlineStr">
        <is>
          <t xml:space="preserve">          9K             9K             5K</t>
        </is>
      </c>
      <c r="O62" s="17" t="inlineStr">
        <is>
          <t>GqTt3nV6JnhVHSuDFr6DYuLU9zWmwgDc7myeihnQpump</t>
        </is>
      </c>
      <c r="P62" s="17">
        <f>HYPERLINK("https://photon-sol.tinyastro.io/en/lp/GqTt3nV6JnhVHSuDFr6DYuLU9zWmwgDc7myeihnQpump?handle=676050794bc1b1657a56b", "View")</f>
        <v/>
      </c>
    </row>
    <row r="63">
      <c r="A63" s="20" t="inlineStr">
        <is>
          <t>NOBOX</t>
        </is>
      </c>
      <c r="B63" s="21" t="n">
        <v>1287362</v>
      </c>
      <c r="C63" s="21" t="n">
        <v>0</v>
      </c>
      <c r="D63" s="21" t="inlineStr">
        <is>
          <t>0.000710</t>
        </is>
      </c>
      <c r="E63" s="21" t="inlineStr">
        <is>
          <t>0.124 SOL</t>
        </is>
      </c>
      <c r="F63" s="21" t="inlineStr">
        <is>
          <t>0.000 SOL</t>
        </is>
      </c>
      <c r="G63" s="18" t="inlineStr">
        <is>
          <t>-0.124 SOL</t>
        </is>
      </c>
      <c r="H63" s="18" t="inlineStr">
        <is>
          <t>0.00%</t>
        </is>
      </c>
      <c r="I63" s="21" t="inlineStr">
        <is>
          <t>1,287,362</t>
        </is>
      </c>
      <c r="J63" s="21" t="n">
        <v>1</v>
      </c>
      <c r="K63" s="21" t="n">
        <v>0</v>
      </c>
      <c r="L63" s="21" t="inlineStr">
        <is>
          <t>28.10.2024 15:27:20</t>
        </is>
      </c>
      <c r="M63" s="19" t="inlineStr">
        <is>
          <t>0 sec</t>
        </is>
      </c>
      <c r="N63" s="21" t="inlineStr">
        <is>
          <t xml:space="preserve">         18K            18K             4K</t>
        </is>
      </c>
      <c r="O63" s="21" t="inlineStr">
        <is>
          <t>738jvbkArGJ5pr969bzTohhfCqqw4x6mnsxoyJY7pump</t>
        </is>
      </c>
      <c r="P63" s="21">
        <f>HYPERLINK("https://dexscreener.com/solana/738jvbkArGJ5pr969bzTohhfCqqw4x6mnsxoyJY7pump", "View")</f>
        <v/>
      </c>
    </row>
    <row r="64">
      <c r="A64" s="16" t="inlineStr">
        <is>
          <t>xavier</t>
        </is>
      </c>
      <c r="B64" s="17" t="n">
        <v>449013</v>
      </c>
      <c r="C64" s="17" t="n">
        <v>0</v>
      </c>
      <c r="D64" s="17" t="inlineStr">
        <is>
          <t>0.000710</t>
        </is>
      </c>
      <c r="E64" s="17" t="inlineStr">
        <is>
          <t>0.500 SOL</t>
        </is>
      </c>
      <c r="F64" s="17" t="inlineStr">
        <is>
          <t>0.000 SOL</t>
        </is>
      </c>
      <c r="G64" s="18" t="inlineStr">
        <is>
          <t>-0.501 SOL</t>
        </is>
      </c>
      <c r="H64" s="18" t="inlineStr">
        <is>
          <t>0.00%</t>
        </is>
      </c>
      <c r="I64" s="17" t="inlineStr">
        <is>
          <t>449,013</t>
        </is>
      </c>
      <c r="J64" s="17" t="n">
        <v>1</v>
      </c>
      <c r="K64" s="17" t="n">
        <v>0</v>
      </c>
      <c r="L64" s="17" t="inlineStr">
        <is>
          <t>28.10.2024 15:24:23</t>
        </is>
      </c>
      <c r="M64" s="19" t="inlineStr">
        <is>
          <t>0 sec</t>
        </is>
      </c>
      <c r="N64" s="17" t="inlineStr">
        <is>
          <t xml:space="preserve">        195K           195K            39K</t>
        </is>
      </c>
      <c r="O64" s="17" t="inlineStr">
        <is>
          <t>69G8CpUVZAxbPMiEBrfCCCH445NwFxH6PzVL693Xpump</t>
        </is>
      </c>
      <c r="P64" s="17">
        <f>HYPERLINK("https://dexscreener.com/solana/69G8CpUVZAxbPMiEBrfCCCH445NwFxH6PzVL693Xpump", "View")</f>
        <v/>
      </c>
    </row>
    <row r="65">
      <c r="A65" s="20" t="inlineStr">
        <is>
          <t>SirFloyd</t>
        </is>
      </c>
      <c r="B65" s="21" t="n">
        <v>1256777</v>
      </c>
      <c r="C65" s="21" t="n">
        <v>1256777</v>
      </c>
      <c r="D65" s="21" t="inlineStr">
        <is>
          <t>0.002120</t>
        </is>
      </c>
      <c r="E65" s="21" t="inlineStr">
        <is>
          <t>0.208 SOL</t>
        </is>
      </c>
      <c r="F65" s="21" t="inlineStr">
        <is>
          <t>0.096 SOL</t>
        </is>
      </c>
      <c r="G65" s="23" t="inlineStr">
        <is>
          <t>-0.114 SOL</t>
        </is>
      </c>
      <c r="H65" s="23" t="inlineStr">
        <is>
          <t>-54.39%</t>
        </is>
      </c>
      <c r="I65" s="21" t="inlineStr">
        <is>
          <t>N/A</t>
        </is>
      </c>
      <c r="J65" s="21" t="n">
        <v>1</v>
      </c>
      <c r="K65" s="21" t="n">
        <v>2</v>
      </c>
      <c r="L65" s="21" t="inlineStr">
        <is>
          <t>28.10.2024 15:20:27</t>
        </is>
      </c>
      <c r="M65" s="21" t="inlineStr">
        <is>
          <t>2 min</t>
        </is>
      </c>
      <c r="N65" s="21" t="inlineStr">
        <is>
          <t xml:space="preserve">         30K            14K             5K</t>
        </is>
      </c>
      <c r="O65" s="21" t="inlineStr">
        <is>
          <t>sjk6fNpHQEeWvk9sJrKEqTTLVZePbFqyeJSqB7kpump</t>
        </is>
      </c>
      <c r="P65" s="21">
        <f>HYPERLINK("https://photon-sol.tinyastro.io/en/lp/sjk6fNpHQEeWvk9sJrKEqTTLVZePbFqyeJSqB7kpump?handle=676050794bc1b1657a56b", "View")</f>
        <v/>
      </c>
    </row>
    <row r="66">
      <c r="A66" s="16" t="inlineStr">
        <is>
          <t>AllAI</t>
        </is>
      </c>
      <c r="B66" s="17" t="n">
        <v>3180968</v>
      </c>
      <c r="C66" s="17" t="n">
        <v>0</v>
      </c>
      <c r="D66" s="17" t="inlineStr">
        <is>
          <t>0.000710</t>
        </is>
      </c>
      <c r="E66" s="17" t="inlineStr">
        <is>
          <t>0.196 SOL</t>
        </is>
      </c>
      <c r="F66" s="17" t="inlineStr">
        <is>
          <t>0.000 SOL</t>
        </is>
      </c>
      <c r="G66" s="18" t="inlineStr">
        <is>
          <t>-0.197 SOL</t>
        </is>
      </c>
      <c r="H66" s="18" t="inlineStr">
        <is>
          <t>0.00%</t>
        </is>
      </c>
      <c r="I66" s="17" t="inlineStr">
        <is>
          <t>3,180,968</t>
        </is>
      </c>
      <c r="J66" s="17" t="n">
        <v>1</v>
      </c>
      <c r="K66" s="17" t="n">
        <v>0</v>
      </c>
      <c r="L66" s="17" t="inlineStr">
        <is>
          <t>28.10.2024 15:15:08</t>
        </is>
      </c>
      <c r="M66" s="19" t="inlineStr">
        <is>
          <t>0 sec</t>
        </is>
      </c>
      <c r="N66" s="17" t="inlineStr">
        <is>
          <t xml:space="preserve">         11K            11K             5K</t>
        </is>
      </c>
      <c r="O66" s="17" t="inlineStr">
        <is>
          <t>GQobcP4xokNpNK9oKghwDdeACtsw4AyP3Lpq7ghjpump</t>
        </is>
      </c>
      <c r="P66" s="17">
        <f>HYPERLINK("https://photon-sol.tinyastro.io/en/lp/GQobcP4xokNpNK9oKghwDdeACtsw4AyP3Lpq7ghjpump?handle=676050794bc1b1657a56b", "View")</f>
        <v/>
      </c>
    </row>
    <row r="67">
      <c r="A67" s="20" t="inlineStr">
        <is>
          <t>AvatarOS</t>
        </is>
      </c>
      <c r="B67" s="21" t="n">
        <v>532543</v>
      </c>
      <c r="C67" s="21" t="n">
        <v>532543</v>
      </c>
      <c r="D67" s="21" t="inlineStr">
        <is>
          <t>0.001110</t>
        </is>
      </c>
      <c r="E67" s="21" t="inlineStr">
        <is>
          <t>0.500 SOL</t>
        </is>
      </c>
      <c r="F67" s="21" t="inlineStr">
        <is>
          <t>0.690 SOL</t>
        </is>
      </c>
      <c r="G67" s="22" t="inlineStr">
        <is>
          <t>0.189 SOL</t>
        </is>
      </c>
      <c r="H67" s="22" t="inlineStr">
        <is>
          <t>37.79%</t>
        </is>
      </c>
      <c r="I67" s="21" t="inlineStr">
        <is>
          <t>N/A</t>
        </is>
      </c>
      <c r="J67" s="21" t="n">
        <v>1</v>
      </c>
      <c r="K67" s="21" t="n">
        <v>1</v>
      </c>
      <c r="L67" s="21" t="inlineStr">
        <is>
          <t>28.10.2024 14:54:07</t>
        </is>
      </c>
      <c r="M67" s="21" t="inlineStr">
        <is>
          <t>1 hours</t>
        </is>
      </c>
      <c r="N67" s="21" t="inlineStr">
        <is>
          <t xml:space="preserve">        165K           165K             8K</t>
        </is>
      </c>
      <c r="O67" s="21" t="inlineStr">
        <is>
          <t>8q3PiifMQxnjs1NAETVXw8xMVN8q3Zfuoops9BSjpump</t>
        </is>
      </c>
      <c r="P67" s="21">
        <f>HYPERLINK("https://dexscreener.com/solana/8q3PiifMQxnjs1NAETVXw8xMVN8q3Zfuoops9BSjpump", "View")</f>
        <v/>
      </c>
    </row>
    <row r="68">
      <c r="A68" s="16" t="inlineStr">
        <is>
          <t>LARPAI</t>
        </is>
      </c>
      <c r="B68" s="17" t="n">
        <v>153179</v>
      </c>
      <c r="C68" s="17" t="n">
        <v>0</v>
      </c>
      <c r="D68" s="17" t="inlineStr">
        <is>
          <t>0.000710</t>
        </is>
      </c>
      <c r="E68" s="17" t="inlineStr">
        <is>
          <t>0.500 SOL</t>
        </is>
      </c>
      <c r="F68" s="17" t="inlineStr">
        <is>
          <t>0.000 SOL</t>
        </is>
      </c>
      <c r="G68" s="18" t="inlineStr">
        <is>
          <t>-0.501 SOL</t>
        </is>
      </c>
      <c r="H68" s="18" t="inlineStr">
        <is>
          <t>0.00%</t>
        </is>
      </c>
      <c r="I68" s="17" t="inlineStr">
        <is>
          <t>153,179</t>
        </is>
      </c>
      <c r="J68" s="17" t="n">
        <v>1</v>
      </c>
      <c r="K68" s="17" t="n">
        <v>0</v>
      </c>
      <c r="L68" s="17" t="inlineStr">
        <is>
          <t>28.10.2024 14:34:09</t>
        </is>
      </c>
      <c r="M68" s="19" t="inlineStr">
        <is>
          <t>0 sec</t>
        </is>
      </c>
      <c r="N68" s="17" t="inlineStr">
        <is>
          <t xml:space="preserve">        572K           572K            14K</t>
        </is>
      </c>
      <c r="O68" s="17" t="inlineStr">
        <is>
          <t>Z5qTBYTgbK9nezJPSLxuJEpEhDimcJKLq9xN6MF2sh1</t>
        </is>
      </c>
      <c r="P68" s="17">
        <f>HYPERLINK("https://dexscreener.com/solana/Z5qTBYTgbK9nezJPSLxuJEpEhDimcJKLq9xN6MF2sh1", "View")</f>
        <v/>
      </c>
    </row>
    <row r="69">
      <c r="A69" s="20" t="inlineStr">
        <is>
          <t>🎈</t>
        </is>
      </c>
      <c r="B69" s="21" t="n">
        <v>638262</v>
      </c>
      <c r="C69" s="21" t="n">
        <v>0</v>
      </c>
      <c r="D69" s="21" t="inlineStr">
        <is>
          <t>0.000710</t>
        </is>
      </c>
      <c r="E69" s="21" t="inlineStr">
        <is>
          <t>0.495 SOL</t>
        </is>
      </c>
      <c r="F69" s="21" t="inlineStr">
        <is>
          <t>0.000 SOL</t>
        </is>
      </c>
      <c r="G69" s="18" t="inlineStr">
        <is>
          <t>-0.496 SOL</t>
        </is>
      </c>
      <c r="H69" s="18" t="inlineStr">
        <is>
          <t>0.00%</t>
        </is>
      </c>
      <c r="I69" s="21" t="inlineStr">
        <is>
          <t>638,262</t>
        </is>
      </c>
      <c r="J69" s="21" t="n">
        <v>1</v>
      </c>
      <c r="K69" s="21" t="n">
        <v>0</v>
      </c>
      <c r="L69" s="21" t="inlineStr">
        <is>
          <t>28.10.2024 14:20:52</t>
        </is>
      </c>
      <c r="M69" s="19" t="inlineStr">
        <is>
          <t>0 sec</t>
        </is>
      </c>
      <c r="N69" s="21" t="inlineStr">
        <is>
          <t xml:space="preserve">        137K           137K             4K</t>
        </is>
      </c>
      <c r="O69" s="21" t="inlineStr">
        <is>
          <t>DFwNZPHkZWix2LutzYKD5rzpyayKSLY5Uw88pRDypump</t>
        </is>
      </c>
      <c r="P69" s="21">
        <f>HYPERLINK("https://dexscreener.com/solana/DFwNZPHkZWix2LutzYKD5rzpyayKSLY5Uw88pRDypump", "View")</f>
        <v/>
      </c>
    </row>
    <row r="70">
      <c r="A70" s="16" t="inlineStr">
        <is>
          <t>HLLWN</t>
        </is>
      </c>
      <c r="B70" s="17" t="n">
        <v>697698</v>
      </c>
      <c r="C70" s="17" t="n">
        <v>697698</v>
      </c>
      <c r="D70" s="17" t="inlineStr">
        <is>
          <t>0.002120</t>
        </is>
      </c>
      <c r="E70" s="17" t="inlineStr">
        <is>
          <t>0.495 SOL</t>
        </is>
      </c>
      <c r="F70" s="17" t="inlineStr">
        <is>
          <t>0.032 SOL</t>
        </is>
      </c>
      <c r="G70" s="23" t="inlineStr">
        <is>
          <t>-0.465 SOL</t>
        </is>
      </c>
      <c r="H70" s="23" t="inlineStr">
        <is>
          <t>-93.55%</t>
        </is>
      </c>
      <c r="I70" s="17" t="inlineStr">
        <is>
          <t>N/A</t>
        </is>
      </c>
      <c r="J70" s="17" t="n">
        <v>1</v>
      </c>
      <c r="K70" s="17" t="n">
        <v>2</v>
      </c>
      <c r="L70" s="17" t="inlineStr">
        <is>
          <t>28.10.2024 14:16:47</t>
        </is>
      </c>
      <c r="M70" s="17" t="inlineStr">
        <is>
          <t>1 hours</t>
        </is>
      </c>
      <c r="N70" s="17" t="inlineStr">
        <is>
          <t xml:space="preserve">        125K           125K             5K</t>
        </is>
      </c>
      <c r="O70" s="17" t="inlineStr">
        <is>
          <t>CVcAA5iKzvQg5yYrEFs3AoRWZZUgdpNKUEeyaUPpump</t>
        </is>
      </c>
      <c r="P70" s="17">
        <f>HYPERLINK("https://dexscreener.com/solana/CVcAA5iKzvQg5yYrEFs3AoRWZZUgdpNKUEeyaUPpump", "View")</f>
        <v/>
      </c>
    </row>
    <row r="71">
      <c r="A71" s="20" t="inlineStr">
        <is>
          <t>IA</t>
        </is>
      </c>
      <c r="B71" s="21" t="n">
        <v>1795073</v>
      </c>
      <c r="C71" s="21" t="n">
        <v>0</v>
      </c>
      <c r="D71" s="21" t="inlineStr">
        <is>
          <t>0.000710</t>
        </is>
      </c>
      <c r="E71" s="21" t="inlineStr">
        <is>
          <t>0.100 SOL</t>
        </is>
      </c>
      <c r="F71" s="21" t="inlineStr">
        <is>
          <t>0.000 SOL</t>
        </is>
      </c>
      <c r="G71" s="18" t="inlineStr">
        <is>
          <t>-0.101 SOL</t>
        </is>
      </c>
      <c r="H71" s="18" t="inlineStr">
        <is>
          <t>0.00%</t>
        </is>
      </c>
      <c r="I71" s="21" t="inlineStr">
        <is>
          <t>1,795,073</t>
        </is>
      </c>
      <c r="J71" s="21" t="n">
        <v>1</v>
      </c>
      <c r="K71" s="21" t="n">
        <v>0</v>
      </c>
      <c r="L71" s="21" t="inlineStr">
        <is>
          <t>28.10.2024 13:17:33</t>
        </is>
      </c>
      <c r="M71" s="19" t="inlineStr">
        <is>
          <t>0 sec</t>
        </is>
      </c>
      <c r="N71" s="21" t="inlineStr">
        <is>
          <t xml:space="preserve">         11K            11K             4K</t>
        </is>
      </c>
      <c r="O71" s="21" t="inlineStr">
        <is>
          <t>8tASPZToUJYaB8LPK6YftH3TghCX9aQd8v9Tnqgtpump</t>
        </is>
      </c>
      <c r="P71" s="21">
        <f>HYPERLINK("https://dexscreener.com/solana/8tASPZToUJYaB8LPK6YftH3TghCX9aQd8v9Tnqgtpump", "View")</f>
        <v/>
      </c>
    </row>
    <row r="72">
      <c r="A72" s="16" t="inlineStr">
        <is>
          <t>x982a{j:+</t>
        </is>
      </c>
      <c r="B72" s="17" t="n">
        <v>615336</v>
      </c>
      <c r="C72" s="17" t="n">
        <v>0</v>
      </c>
      <c r="D72" s="17" t="inlineStr">
        <is>
          <t>0.000710</t>
        </is>
      </c>
      <c r="E72" s="17" t="inlineStr">
        <is>
          <t>0.211 SOL</t>
        </is>
      </c>
      <c r="F72" s="17" t="inlineStr">
        <is>
          <t>0.000 SOL</t>
        </is>
      </c>
      <c r="G72" s="18" t="inlineStr">
        <is>
          <t>-0.212 SOL</t>
        </is>
      </c>
      <c r="H72" s="18" t="inlineStr">
        <is>
          <t>0.00%</t>
        </is>
      </c>
      <c r="I72" s="17" t="inlineStr">
        <is>
          <t>615,336</t>
        </is>
      </c>
      <c r="J72" s="17" t="n">
        <v>1</v>
      </c>
      <c r="K72" s="17" t="n">
        <v>0</v>
      </c>
      <c r="L72" s="17" t="inlineStr">
        <is>
          <t>28.10.2024 12:59:15</t>
        </is>
      </c>
      <c r="M72" s="19" t="inlineStr">
        <is>
          <t>0 sec</t>
        </is>
      </c>
      <c r="N72" s="17" t="inlineStr">
        <is>
          <t xml:space="preserve">         60K            60K             7K</t>
        </is>
      </c>
      <c r="O72" s="17" t="inlineStr">
        <is>
          <t>9RiG5eXy9zExjCFuY9npNrSSzZestokgSP4mgpCiK9f8</t>
        </is>
      </c>
      <c r="P72" s="17">
        <f>HYPERLINK("https://photon-sol.tinyastro.io/en/lp/9RiG5eXy9zExjCFuY9npNrSSzZestokgSP4mgpCiK9f8?handle=676050794bc1b1657a56b", "View")</f>
        <v/>
      </c>
    </row>
    <row r="73">
      <c r="A73" s="20" t="inlineStr">
        <is>
          <t>CLEMENTINE</t>
        </is>
      </c>
      <c r="B73" s="21" t="n">
        <v>1014101</v>
      </c>
      <c r="C73" s="21" t="n">
        <v>0</v>
      </c>
      <c r="D73" s="21" t="inlineStr">
        <is>
          <t>0.000710</t>
        </is>
      </c>
      <c r="E73" s="21" t="inlineStr">
        <is>
          <t>0.121 SOL</t>
        </is>
      </c>
      <c r="F73" s="21" t="inlineStr">
        <is>
          <t>0.000 SOL</t>
        </is>
      </c>
      <c r="G73" s="18" t="inlineStr">
        <is>
          <t>-0.121 SOL</t>
        </is>
      </c>
      <c r="H73" s="18" t="inlineStr">
        <is>
          <t>0.00%</t>
        </is>
      </c>
      <c r="I73" s="21" t="inlineStr">
        <is>
          <t>1,014,101</t>
        </is>
      </c>
      <c r="J73" s="21" t="n">
        <v>1</v>
      </c>
      <c r="K73" s="21" t="n">
        <v>0</v>
      </c>
      <c r="L73" s="21" t="inlineStr">
        <is>
          <t>28.10.2024 12:46:17</t>
        </is>
      </c>
      <c r="M73" s="19" t="inlineStr">
        <is>
          <t>0 sec</t>
        </is>
      </c>
      <c r="N73" s="21" t="inlineStr">
        <is>
          <t xml:space="preserve">         21K            21K             5K</t>
        </is>
      </c>
      <c r="O73" s="21" t="inlineStr">
        <is>
          <t>B2QYkRZURXV4DbWMGnJhmqij6QNp7sRWx4jHY4hkpump</t>
        </is>
      </c>
      <c r="P73" s="21">
        <f>HYPERLINK("https://photon-sol.tinyastro.io/en/lp/B2QYkRZURXV4DbWMGnJhmqij6QNp7sRWx4jHY4hkpump?handle=676050794bc1b1657a56b", "View")</f>
        <v/>
      </c>
    </row>
    <row r="74">
      <c r="A74" s="16" t="inlineStr">
        <is>
          <t>GOTCH</t>
        </is>
      </c>
      <c r="B74" s="17" t="n">
        <v>352258</v>
      </c>
      <c r="C74" s="17" t="n">
        <v>0</v>
      </c>
      <c r="D74" s="17" t="inlineStr">
        <is>
          <t>0.000710</t>
        </is>
      </c>
      <c r="E74" s="17" t="inlineStr">
        <is>
          <t>0.500 SOL</t>
        </is>
      </c>
      <c r="F74" s="17" t="inlineStr">
        <is>
          <t>0.000 SOL</t>
        </is>
      </c>
      <c r="G74" s="18" t="inlineStr">
        <is>
          <t>-0.501 SOL</t>
        </is>
      </c>
      <c r="H74" s="18" t="inlineStr">
        <is>
          <t>0.00%</t>
        </is>
      </c>
      <c r="I74" s="17" t="inlineStr">
        <is>
          <t>352,258</t>
        </is>
      </c>
      <c r="J74" s="17" t="n">
        <v>1</v>
      </c>
      <c r="K74" s="17" t="n">
        <v>0</v>
      </c>
      <c r="L74" s="17" t="inlineStr">
        <is>
          <t>28.10.2024 12:10:28</t>
        </is>
      </c>
      <c r="M74" s="19" t="inlineStr">
        <is>
          <t>0 sec</t>
        </is>
      </c>
      <c r="N74" s="17" t="inlineStr">
        <is>
          <t xml:space="preserve">        249K           249K             6K</t>
        </is>
      </c>
      <c r="O74" s="17" t="inlineStr">
        <is>
          <t>78ao5qrL3WPJ1u6i6cjQMi4iCzq43YECPyNMT2cpump</t>
        </is>
      </c>
      <c r="P74" s="17">
        <f>HYPERLINK("https://dexscreener.com/solana/78ao5qrL3WPJ1u6i6cjQMi4iCzq43YECPyNMT2cpump", "View")</f>
        <v/>
      </c>
    </row>
    <row r="75">
      <c r="A75" s="20" t="inlineStr">
        <is>
          <t>TT</t>
        </is>
      </c>
      <c r="B75" s="21" t="n">
        <v>1440646</v>
      </c>
      <c r="C75" s="21" t="n">
        <v>1440646</v>
      </c>
      <c r="D75" s="21" t="inlineStr">
        <is>
          <t>0.002820</t>
        </is>
      </c>
      <c r="E75" s="21" t="inlineStr">
        <is>
          <t>0.276 SOL</t>
        </is>
      </c>
      <c r="F75" s="21" t="inlineStr">
        <is>
          <t>0.067 SOL</t>
        </is>
      </c>
      <c r="G75" s="23" t="inlineStr">
        <is>
          <t>-0.213 SOL</t>
        </is>
      </c>
      <c r="H75" s="23" t="inlineStr">
        <is>
          <t>-76.14%</t>
        </is>
      </c>
      <c r="I75" s="21" t="inlineStr">
        <is>
          <t>N/A</t>
        </is>
      </c>
      <c r="J75" s="21" t="n">
        <v>1</v>
      </c>
      <c r="K75" s="21" t="n">
        <v>3</v>
      </c>
      <c r="L75" s="21" t="inlineStr">
        <is>
          <t>28.10.2024 07:30:00</t>
        </is>
      </c>
      <c r="M75" s="21" t="inlineStr">
        <is>
          <t>43 min</t>
        </is>
      </c>
      <c r="N75" s="21" t="inlineStr">
        <is>
          <t xml:space="preserve">         33K            33K             5K</t>
        </is>
      </c>
      <c r="O75" s="21" t="inlineStr">
        <is>
          <t>3aQGUbyruXP9cFvsjcoVSpmGJ33XLACPqfzgD89Xpump</t>
        </is>
      </c>
      <c r="P75" s="21">
        <f>HYPERLINK("https://photon-sol.tinyastro.io/en/lp/3aQGUbyruXP9cFvsjcoVSpmGJ33XLACPqfzgD89Xpump?handle=676050794bc1b1657a56b", "View")</f>
        <v/>
      </c>
    </row>
    <row r="76">
      <c r="A76" s="16" t="inlineStr">
        <is>
          <t>SCAT</t>
        </is>
      </c>
      <c r="B76" s="17" t="n">
        <v>3031690</v>
      </c>
      <c r="C76" s="17" t="n">
        <v>0</v>
      </c>
      <c r="D76" s="17" t="inlineStr">
        <is>
          <t>0.000710</t>
        </is>
      </c>
      <c r="E76" s="17" t="inlineStr">
        <is>
          <t>0.075 SOL</t>
        </is>
      </c>
      <c r="F76" s="17" t="inlineStr">
        <is>
          <t>0.000 SOL</t>
        </is>
      </c>
      <c r="G76" s="18" t="inlineStr">
        <is>
          <t>-0.076 SOL</t>
        </is>
      </c>
      <c r="H76" s="18" t="inlineStr">
        <is>
          <t>0.00%</t>
        </is>
      </c>
      <c r="I76" s="17" t="inlineStr">
        <is>
          <t>3,031,690</t>
        </is>
      </c>
      <c r="J76" s="17" t="n">
        <v>1</v>
      </c>
      <c r="K76" s="17" t="n">
        <v>0</v>
      </c>
      <c r="L76" s="17" t="inlineStr">
        <is>
          <t>28.10.2024 07:16:57</t>
        </is>
      </c>
      <c r="M76" s="19" t="inlineStr">
        <is>
          <t>0 sec</t>
        </is>
      </c>
      <c r="N76" s="17" t="inlineStr">
        <is>
          <t xml:space="preserve">          4K             4K             4K</t>
        </is>
      </c>
      <c r="O76" s="17" t="inlineStr">
        <is>
          <t>EEvAzgVykroPTytRm1NxR4pJrVdT4784CMXbMneMpump</t>
        </is>
      </c>
      <c r="P76" s="17">
        <f>HYPERLINK("https://dexscreener.com/solana/EEvAzgVykroPTytRm1NxR4pJrVdT4784CMXbMneMpump", "View")</f>
        <v/>
      </c>
    </row>
    <row r="77">
      <c r="A77" s="20" t="inlineStr">
        <is>
          <t>SL</t>
        </is>
      </c>
      <c r="B77" s="21" t="n">
        <v>222903</v>
      </c>
      <c r="C77" s="21" t="n">
        <v>155000</v>
      </c>
      <c r="D77" s="21" t="inlineStr">
        <is>
          <t>0.001920</t>
        </is>
      </c>
      <c r="E77" s="21" t="inlineStr">
        <is>
          <t>0.495 SOL</t>
        </is>
      </c>
      <c r="F77" s="21" t="inlineStr">
        <is>
          <t>1.247 SOL</t>
        </is>
      </c>
      <c r="G77" s="24" t="inlineStr">
        <is>
          <t>0.750 SOL</t>
        </is>
      </c>
      <c r="H77" s="24" t="inlineStr">
        <is>
          <t>151.01%</t>
        </is>
      </c>
      <c r="I77" s="21" t="inlineStr">
        <is>
          <t>N/A</t>
        </is>
      </c>
      <c r="J77" s="21" t="n">
        <v>1</v>
      </c>
      <c r="K77" s="21" t="n">
        <v>3</v>
      </c>
      <c r="L77" s="21" t="inlineStr">
        <is>
          <t>28.10.2024 06:17:25</t>
        </is>
      </c>
      <c r="M77" s="21" t="inlineStr">
        <is>
          <t>2 hours</t>
        </is>
      </c>
      <c r="N77" s="21" t="inlineStr">
        <is>
          <t xml:space="preserve">        390K           390K             1M</t>
        </is>
      </c>
      <c r="O77" s="21" t="inlineStr">
        <is>
          <t>7wUwkXo8Qjt3cYM8BaHHHeyfDY7ZSn7qvod92pNupump</t>
        </is>
      </c>
      <c r="P77" s="21">
        <f>HYPERLINK("https://dexscreener.com/solana/7wUwkXo8Qjt3cYM8BaHHHeyfDY7ZSn7qvod92pNupump", "View")</f>
        <v/>
      </c>
    </row>
    <row r="78">
      <c r="A78" s="16" t="inlineStr">
        <is>
          <t>CRYPTOIDS</t>
        </is>
      </c>
      <c r="B78" s="17" t="n">
        <v>216643</v>
      </c>
      <c r="C78" s="17" t="n">
        <v>0</v>
      </c>
      <c r="D78" s="17" t="inlineStr">
        <is>
          <t>0.000710</t>
        </is>
      </c>
      <c r="E78" s="17" t="inlineStr">
        <is>
          <t>0.500 SOL</t>
        </is>
      </c>
      <c r="F78" s="17" t="inlineStr">
        <is>
          <t>0.000 SOL</t>
        </is>
      </c>
      <c r="G78" s="18" t="inlineStr">
        <is>
          <t>-0.501 SOL</t>
        </is>
      </c>
      <c r="H78" s="18" t="inlineStr">
        <is>
          <t>0.00%</t>
        </is>
      </c>
      <c r="I78" s="17" t="inlineStr">
        <is>
          <t>216,643</t>
        </is>
      </c>
      <c r="J78" s="17" t="n">
        <v>1</v>
      </c>
      <c r="K78" s="17" t="n">
        <v>0</v>
      </c>
      <c r="L78" s="17" t="inlineStr">
        <is>
          <t>28.10.2024 05:20:19</t>
        </is>
      </c>
      <c r="M78" s="19" t="inlineStr">
        <is>
          <t>0 sec</t>
        </is>
      </c>
      <c r="N78" s="17" t="inlineStr">
        <is>
          <t xml:space="preserve">        406K           406K             4K</t>
        </is>
      </c>
      <c r="O78" s="17" t="inlineStr">
        <is>
          <t>14aD1cQRLTxDNJAtvkPx8iqqssjHqjRLXAL5wPaipump</t>
        </is>
      </c>
      <c r="P78" s="17">
        <f>HYPERLINK("https://dexscreener.com/solana/14aD1cQRLTxDNJAtvkPx8iqqssjHqjRLXAL5wPaipump", "View")</f>
        <v/>
      </c>
    </row>
    <row r="79">
      <c r="A79" s="20" t="inlineStr">
        <is>
          <t>Toad</t>
        </is>
      </c>
      <c r="B79" s="21" t="n">
        <v>188044</v>
      </c>
      <c r="C79" s="21" t="n">
        <v>0</v>
      </c>
      <c r="D79" s="21" t="inlineStr">
        <is>
          <t>0.000710</t>
        </is>
      </c>
      <c r="E79" s="21" t="inlineStr">
        <is>
          <t>0.495 SOL</t>
        </is>
      </c>
      <c r="F79" s="21" t="inlineStr">
        <is>
          <t>0.000 SOL</t>
        </is>
      </c>
      <c r="G79" s="18" t="inlineStr">
        <is>
          <t>-0.496 SOL</t>
        </is>
      </c>
      <c r="H79" s="18" t="inlineStr">
        <is>
          <t>0.00%</t>
        </is>
      </c>
      <c r="I79" s="21" t="inlineStr">
        <is>
          <t>188,044</t>
        </is>
      </c>
      <c r="J79" s="21" t="n">
        <v>1</v>
      </c>
      <c r="K79" s="21" t="n">
        <v>0</v>
      </c>
      <c r="L79" s="21" t="inlineStr">
        <is>
          <t>28.10.2024 02:44:23</t>
        </is>
      </c>
      <c r="M79" s="19" t="inlineStr">
        <is>
          <t>0 sec</t>
        </is>
      </c>
      <c r="N79" s="21" t="inlineStr">
        <is>
          <t xml:space="preserve">        462K           462K            73K</t>
        </is>
      </c>
      <c r="O79" s="21" t="inlineStr">
        <is>
          <t>7xn2T1x7xw5quHmzy2YvFWyFUNwp75fsw5bxiXGRpump</t>
        </is>
      </c>
      <c r="P79" s="21">
        <f>HYPERLINK("https://dexscreener.com/solana/7xn2T1x7xw5quHmzy2YvFWyFUNwp75fsw5bxiXGRpump", "View")</f>
        <v/>
      </c>
    </row>
    <row r="80">
      <c r="A80" s="16" t="inlineStr">
        <is>
          <t>DARIUS</t>
        </is>
      </c>
      <c r="B80" s="17" t="n">
        <v>287353</v>
      </c>
      <c r="C80" s="17" t="n">
        <v>0</v>
      </c>
      <c r="D80" s="17" t="inlineStr">
        <is>
          <t>0.000710</t>
        </is>
      </c>
      <c r="E80" s="17" t="inlineStr">
        <is>
          <t>0.200 SOL</t>
        </is>
      </c>
      <c r="F80" s="17" t="inlineStr">
        <is>
          <t>0.000 SOL</t>
        </is>
      </c>
      <c r="G80" s="18" t="inlineStr">
        <is>
          <t>-0.201 SOL</t>
        </is>
      </c>
      <c r="H80" s="18" t="inlineStr">
        <is>
          <t>0.00%</t>
        </is>
      </c>
      <c r="I80" s="17" t="inlineStr">
        <is>
          <t>287,353</t>
        </is>
      </c>
      <c r="J80" s="17" t="n">
        <v>1</v>
      </c>
      <c r="K80" s="17" t="n">
        <v>0</v>
      </c>
      <c r="L80" s="17" t="inlineStr">
        <is>
          <t>28.10.2024 02:33:39</t>
        </is>
      </c>
      <c r="M80" s="19" t="inlineStr">
        <is>
          <t>0 sec</t>
        </is>
      </c>
      <c r="N80" s="17" t="inlineStr">
        <is>
          <t xml:space="preserve">        123K           123K           130K</t>
        </is>
      </c>
      <c r="O80" s="17" t="inlineStr">
        <is>
          <t>8QXM6vf7E1TUJ9MvFf8p6BDWCYwBLYd9T26MPiprsX3w</t>
        </is>
      </c>
      <c r="P80" s="17">
        <f>HYPERLINK("https://dexscreener.com/solana/8QXM6vf7E1TUJ9MvFf8p6BDWCYwBLYd9T26MPiprsX3w", "View")</f>
        <v/>
      </c>
    </row>
    <row r="81">
      <c r="A81" s="20" t="inlineStr">
        <is>
          <t>ZOA</t>
        </is>
      </c>
      <c r="B81" s="21" t="n">
        <v>1740805</v>
      </c>
      <c r="C81" s="21" t="n">
        <v>1580403</v>
      </c>
      <c r="D81" s="21" t="inlineStr">
        <is>
          <t>0.002730</t>
        </is>
      </c>
      <c r="E81" s="21" t="inlineStr">
        <is>
          <t>0.258 SOL</t>
        </is>
      </c>
      <c r="F81" s="21" t="inlineStr">
        <is>
          <t>15.210 SOL</t>
        </is>
      </c>
      <c r="G81" s="24" t="inlineStr">
        <is>
          <t>14.949 SOL</t>
        </is>
      </c>
      <c r="H81" s="24" t="inlineStr">
        <is>
          <t>5727.14%</t>
        </is>
      </c>
      <c r="I81" s="21" t="inlineStr">
        <is>
          <t>N/A</t>
        </is>
      </c>
      <c r="J81" s="21" t="n">
        <v>1</v>
      </c>
      <c r="K81" s="21" t="n">
        <v>5</v>
      </c>
      <c r="L81" s="21" t="inlineStr">
        <is>
          <t>27.10.2024 22:48:27</t>
        </is>
      </c>
      <c r="M81" s="21" t="inlineStr">
        <is>
          <t>1 hours</t>
        </is>
      </c>
      <c r="N81" s="21" t="inlineStr">
        <is>
          <t xml:space="preserve">         26K            26K           297K</t>
        </is>
      </c>
      <c r="O81" s="21" t="inlineStr">
        <is>
          <t>AwcCFuJgUYNYHXm6tHhr7DsXDY6FKvXUt2DFjmgHpump</t>
        </is>
      </c>
      <c r="P81" s="21">
        <f>HYPERLINK("https://photon-sol.tinyastro.io/en/lp/AwcCFuJgUYNYHXm6tHhr7DsXDY6FKvXUt2DFjmgHpump?handle=676050794bc1b1657a56b", "View")</f>
        <v/>
      </c>
    </row>
    <row r="82">
      <c r="A82" s="16" t="inlineStr">
        <is>
          <t>Profit</t>
        </is>
      </c>
      <c r="B82" s="17" t="n">
        <v>717362</v>
      </c>
      <c r="C82" s="17" t="n">
        <v>0</v>
      </c>
      <c r="D82" s="17" t="inlineStr">
        <is>
          <t>0.000710</t>
        </is>
      </c>
      <c r="E82" s="17" t="inlineStr">
        <is>
          <t>0.219 SOL</t>
        </is>
      </c>
      <c r="F82" s="17" t="inlineStr">
        <is>
          <t>0.000 SOL</t>
        </is>
      </c>
      <c r="G82" s="18" t="inlineStr">
        <is>
          <t>-0.220 SOL</t>
        </is>
      </c>
      <c r="H82" s="18" t="inlineStr">
        <is>
          <t>0.00%</t>
        </is>
      </c>
      <c r="I82" s="17" t="inlineStr">
        <is>
          <t>717,362</t>
        </is>
      </c>
      <c r="J82" s="17" t="n">
        <v>1</v>
      </c>
      <c r="K82" s="17" t="n">
        <v>0</v>
      </c>
      <c r="L82" s="17" t="inlineStr">
        <is>
          <t>27.10.2024 22:36:48</t>
        </is>
      </c>
      <c r="M82" s="19" t="inlineStr">
        <is>
          <t>0 sec</t>
        </is>
      </c>
      <c r="N82" s="17" t="inlineStr">
        <is>
          <t xml:space="preserve">         54K            54K             6K</t>
        </is>
      </c>
      <c r="O82" s="17" t="inlineStr">
        <is>
          <t>F56SaheWy5U96xHnGaR8GAZiTpwp3kFrRZcBbHWtpump</t>
        </is>
      </c>
      <c r="P82" s="17">
        <f>HYPERLINK("https://photon-sol.tinyastro.io/en/lp/F56SaheWy5U96xHnGaR8GAZiTpwp3kFrRZcBbHWtpump?handle=676050794bc1b1657a56b", "View")</f>
        <v/>
      </c>
    </row>
    <row r="83">
      <c r="A83" s="20" t="inlineStr">
        <is>
          <t>FOREVER</t>
        </is>
      </c>
      <c r="B83" s="21" t="n">
        <v>2274948</v>
      </c>
      <c r="C83" s="21" t="n">
        <v>0</v>
      </c>
      <c r="D83" s="21" t="inlineStr">
        <is>
          <t>0.000710</t>
        </is>
      </c>
      <c r="E83" s="21" t="inlineStr">
        <is>
          <t>0.227 SOL</t>
        </is>
      </c>
      <c r="F83" s="21" t="inlineStr">
        <is>
          <t>0.000 SOL</t>
        </is>
      </c>
      <c r="G83" s="18" t="inlineStr">
        <is>
          <t>-0.228 SOL</t>
        </is>
      </c>
      <c r="H83" s="18" t="inlineStr">
        <is>
          <t>0.00%</t>
        </is>
      </c>
      <c r="I83" s="21" t="inlineStr">
        <is>
          <t>2,274,948</t>
        </is>
      </c>
      <c r="J83" s="21" t="n">
        <v>1</v>
      </c>
      <c r="K83" s="21" t="n">
        <v>0</v>
      </c>
      <c r="L83" s="21" t="inlineStr">
        <is>
          <t>27.10.2024 22:19:08</t>
        </is>
      </c>
      <c r="M83" s="19" t="inlineStr">
        <is>
          <t>0 sec</t>
        </is>
      </c>
      <c r="N83" s="21" t="inlineStr">
        <is>
          <t xml:space="preserve">         18K            18K             5K</t>
        </is>
      </c>
      <c r="O83" s="21" t="inlineStr">
        <is>
          <t>6Kt6fyL87dPcyjaehBsMNAQ3PKSCPTJyPM67ZgNGpump</t>
        </is>
      </c>
      <c r="P83" s="21">
        <f>HYPERLINK("https://photon-sol.tinyastro.io/en/lp/6Kt6fyL87dPcyjaehBsMNAQ3PKSCPTJyPM67ZgNGpump?handle=676050794bc1b1657a56b", "View")</f>
        <v/>
      </c>
    </row>
    <row r="84">
      <c r="A84" s="16" t="inlineStr">
        <is>
          <t>SALMON</t>
        </is>
      </c>
      <c r="B84" s="17" t="n">
        <v>150373</v>
      </c>
      <c r="C84" s="17" t="n">
        <v>0</v>
      </c>
      <c r="D84" s="17" t="inlineStr">
        <is>
          <t>0.000710</t>
        </is>
      </c>
      <c r="E84" s="17" t="inlineStr">
        <is>
          <t>0.200 SOL</t>
        </is>
      </c>
      <c r="F84" s="17" t="inlineStr">
        <is>
          <t>0.000 SOL</t>
        </is>
      </c>
      <c r="G84" s="18" t="inlineStr">
        <is>
          <t>-0.201 SOL</t>
        </is>
      </c>
      <c r="H84" s="18" t="inlineStr">
        <is>
          <t>0.00%</t>
        </is>
      </c>
      <c r="I84" s="17" t="inlineStr">
        <is>
          <t>150,373</t>
        </is>
      </c>
      <c r="J84" s="17" t="n">
        <v>1</v>
      </c>
      <c r="K84" s="17" t="n">
        <v>0</v>
      </c>
      <c r="L84" s="17" t="inlineStr">
        <is>
          <t>27.10.2024 21:44:48</t>
        </is>
      </c>
      <c r="M84" s="19" t="inlineStr">
        <is>
          <t>0 sec</t>
        </is>
      </c>
      <c r="N84" s="17" t="inlineStr">
        <is>
          <t xml:space="preserve">        225K           225K             5K</t>
        </is>
      </c>
      <c r="O84" s="17" t="inlineStr">
        <is>
          <t>Ay4Br5jCE3UqmhrSDysdAjo9c4F5vMjf7pHQh78Jpump</t>
        </is>
      </c>
      <c r="P84" s="17">
        <f>HYPERLINK("https://dexscreener.com/solana/Ay4Br5jCE3UqmhrSDysdAjo9c4F5vMjf7pHQh78Jpump", "View")</f>
        <v/>
      </c>
    </row>
    <row r="85">
      <c r="A85" s="20" t="inlineStr">
        <is>
          <t>MEMEMAXI</t>
        </is>
      </c>
      <c r="B85" s="21" t="n">
        <v>109713</v>
      </c>
      <c r="C85" s="21" t="n">
        <v>0</v>
      </c>
      <c r="D85" s="21" t="inlineStr">
        <is>
          <t>0.000710</t>
        </is>
      </c>
      <c r="E85" s="21" t="inlineStr">
        <is>
          <t>0.200 SOL</t>
        </is>
      </c>
      <c r="F85" s="21" t="inlineStr">
        <is>
          <t>0.000 SOL</t>
        </is>
      </c>
      <c r="G85" s="18" t="inlineStr">
        <is>
          <t>-0.201 SOL</t>
        </is>
      </c>
      <c r="H85" s="18" t="inlineStr">
        <is>
          <t>0.00%</t>
        </is>
      </c>
      <c r="I85" s="21" t="inlineStr">
        <is>
          <t>109,713</t>
        </is>
      </c>
      <c r="J85" s="21" t="n">
        <v>1</v>
      </c>
      <c r="K85" s="21" t="n">
        <v>0</v>
      </c>
      <c r="L85" s="21" t="inlineStr">
        <is>
          <t>27.10.2024 21:29:28</t>
        </is>
      </c>
      <c r="M85" s="19" t="inlineStr">
        <is>
          <t>0 sec</t>
        </is>
      </c>
      <c r="N85" s="21" t="inlineStr">
        <is>
          <t xml:space="preserve">        320K           320K            12K</t>
        </is>
      </c>
      <c r="O85" s="21" t="inlineStr">
        <is>
          <t>Cc4sinjiaruP69C7Eotftsu2AjFHAaKZyGtpaLbApump</t>
        </is>
      </c>
      <c r="P85" s="21">
        <f>HYPERLINK("https://dexscreener.com/solana/Cc4sinjiaruP69C7Eotftsu2AjFHAaKZyGtpaLbApump", "View")</f>
        <v/>
      </c>
    </row>
    <row r="86">
      <c r="A86" s="16" t="inlineStr">
        <is>
          <t>BURNEY</t>
        </is>
      </c>
      <c r="B86" s="17" t="n">
        <v>3243016</v>
      </c>
      <c r="C86" s="17" t="n">
        <v>0</v>
      </c>
      <c r="D86" s="17" t="inlineStr">
        <is>
          <t>0.000710</t>
        </is>
      </c>
      <c r="E86" s="17" t="inlineStr">
        <is>
          <t>0.216 SOL</t>
        </is>
      </c>
      <c r="F86" s="17" t="inlineStr">
        <is>
          <t>0.000 SOL</t>
        </is>
      </c>
      <c r="G86" s="18" t="inlineStr">
        <is>
          <t>-0.217 SOL</t>
        </is>
      </c>
      <c r="H86" s="18" t="inlineStr">
        <is>
          <t>0.00%</t>
        </is>
      </c>
      <c r="I86" s="17" t="inlineStr">
        <is>
          <t>3,243,016</t>
        </is>
      </c>
      <c r="J86" s="17" t="n">
        <v>1</v>
      </c>
      <c r="K86" s="17" t="n">
        <v>0</v>
      </c>
      <c r="L86" s="17" t="inlineStr">
        <is>
          <t>27.10.2024 21:26:07</t>
        </is>
      </c>
      <c r="M86" s="19" t="inlineStr">
        <is>
          <t>0 sec</t>
        </is>
      </c>
      <c r="N86" s="17" t="inlineStr">
        <is>
          <t xml:space="preserve">         12K            12K             6K</t>
        </is>
      </c>
      <c r="O86" s="17" t="inlineStr">
        <is>
          <t>HjVucq5tfxXJYmssCT5mm3kUG18UtEVViAmiMmyUpump</t>
        </is>
      </c>
      <c r="P86" s="17">
        <f>HYPERLINK("https://photon-sol.tinyastro.io/en/lp/HjVucq5tfxXJYmssCT5mm3kUG18UtEVViAmiMmyUpump?handle=676050794bc1b1657a56b", "View")</f>
        <v/>
      </c>
    </row>
    <row r="87">
      <c r="A87" s="20" t="inlineStr">
        <is>
          <t>BURNEY</t>
        </is>
      </c>
      <c r="B87" s="21" t="n">
        <v>810159</v>
      </c>
      <c r="C87" s="21" t="n">
        <v>0</v>
      </c>
      <c r="D87" s="21" t="inlineStr">
        <is>
          <t>0.000710</t>
        </is>
      </c>
      <c r="E87" s="21" t="inlineStr">
        <is>
          <t>0.230 SOL</t>
        </is>
      </c>
      <c r="F87" s="21" t="inlineStr">
        <is>
          <t>0.000 SOL</t>
        </is>
      </c>
      <c r="G87" s="18" t="inlineStr">
        <is>
          <t>-0.231 SOL</t>
        </is>
      </c>
      <c r="H87" s="18" t="inlineStr">
        <is>
          <t>0.00%</t>
        </is>
      </c>
      <c r="I87" s="21" t="inlineStr">
        <is>
          <t>810,159</t>
        </is>
      </c>
      <c r="J87" s="21" t="n">
        <v>1</v>
      </c>
      <c r="K87" s="21" t="n">
        <v>0</v>
      </c>
      <c r="L87" s="21" t="inlineStr">
        <is>
          <t>27.10.2024 21:25:04</t>
        </is>
      </c>
      <c r="M87" s="19" t="inlineStr">
        <is>
          <t>0 sec</t>
        </is>
      </c>
      <c r="N87" s="21" t="inlineStr">
        <is>
          <t xml:space="preserve">         49K            49K             4K</t>
        </is>
      </c>
      <c r="O87" s="21" t="inlineStr">
        <is>
          <t>31pyJGWmd9nxb3UN4cmhpZZeeMHXWcf6Nh8VU2vPpump</t>
        </is>
      </c>
      <c r="P87" s="21">
        <f>HYPERLINK("https://photon-sol.tinyastro.io/en/lp/31pyJGWmd9nxb3UN4cmhpZZeeMHXWcf6Nh8VU2vPpump?handle=676050794bc1b1657a56b", "View")</f>
        <v/>
      </c>
    </row>
    <row r="88">
      <c r="A88" s="16" t="inlineStr">
        <is>
          <t>AI</t>
        </is>
      </c>
      <c r="B88" s="17" t="n">
        <v>5625437</v>
      </c>
      <c r="C88" s="17" t="n">
        <v>0</v>
      </c>
      <c r="D88" s="17" t="inlineStr">
        <is>
          <t>0.000710</t>
        </is>
      </c>
      <c r="E88" s="17" t="inlineStr">
        <is>
          <t>0.197 SOL</t>
        </is>
      </c>
      <c r="F88" s="17" t="inlineStr">
        <is>
          <t>0.000 SOL</t>
        </is>
      </c>
      <c r="G88" s="18" t="inlineStr">
        <is>
          <t>-0.197 SOL</t>
        </is>
      </c>
      <c r="H88" s="18" t="inlineStr">
        <is>
          <t>0.00%</t>
        </is>
      </c>
      <c r="I88" s="17" t="inlineStr">
        <is>
          <t>5,625,437</t>
        </is>
      </c>
      <c r="J88" s="17" t="n">
        <v>1</v>
      </c>
      <c r="K88" s="17" t="n">
        <v>0</v>
      </c>
      <c r="L88" s="17" t="inlineStr">
        <is>
          <t>27.10.2024 21:13:33</t>
        </is>
      </c>
      <c r="M88" s="19" t="inlineStr">
        <is>
          <t>0 sec</t>
        </is>
      </c>
      <c r="N88" s="17" t="inlineStr">
        <is>
          <t xml:space="preserve">          5K             5K             5K</t>
        </is>
      </c>
      <c r="O88" s="17" t="inlineStr">
        <is>
          <t>4ktEhYgYhP7oYUPYwH4yQFQ8p3Vr3uQ8HMeccJdopump</t>
        </is>
      </c>
      <c r="P88" s="17">
        <f>HYPERLINK("https://photon-sol.tinyastro.io/en/lp/4ktEhYgYhP7oYUPYwH4yQFQ8p3Vr3uQ8HMeccJdopump?handle=676050794bc1b1657a56b", "View")</f>
        <v/>
      </c>
    </row>
    <row r="89">
      <c r="A89" s="20" t="inlineStr">
        <is>
          <t>STFU</t>
        </is>
      </c>
      <c r="B89" s="21" t="n">
        <v>2246948</v>
      </c>
      <c r="C89" s="21" t="n">
        <v>0</v>
      </c>
      <c r="D89" s="21" t="inlineStr">
        <is>
          <t>0.000710</t>
        </is>
      </c>
      <c r="E89" s="21" t="inlineStr">
        <is>
          <t>0.200 SOL</t>
        </is>
      </c>
      <c r="F89" s="21" t="inlineStr">
        <is>
          <t>0.000 SOL</t>
        </is>
      </c>
      <c r="G89" s="18" t="inlineStr">
        <is>
          <t>-0.201 SOL</t>
        </is>
      </c>
      <c r="H89" s="18" t="inlineStr">
        <is>
          <t>0.00%</t>
        </is>
      </c>
      <c r="I89" s="21" t="inlineStr">
        <is>
          <t>2,246,948</t>
        </is>
      </c>
      <c r="J89" s="21" t="n">
        <v>1</v>
      </c>
      <c r="K89" s="21" t="n">
        <v>0</v>
      </c>
      <c r="L89" s="21" t="inlineStr">
        <is>
          <t>27.10.2024 20:48:27</t>
        </is>
      </c>
      <c r="M89" s="19" t="inlineStr">
        <is>
          <t>0 sec</t>
        </is>
      </c>
      <c r="N89" s="21" t="inlineStr">
        <is>
          <t xml:space="preserve">         16K            16K             3K</t>
        </is>
      </c>
      <c r="O89" s="21" t="inlineStr">
        <is>
          <t>FQfeJYLmD7wf6YyV29E1bjzxX7JeGKavmwociXWipump</t>
        </is>
      </c>
      <c r="P89" s="21">
        <f>HYPERLINK("https://dexscreener.com/solana/FQfeJYLmD7wf6YyV29E1bjzxX7JeGKavmwociXWipump", "View")</f>
        <v/>
      </c>
    </row>
    <row r="90">
      <c r="A90" s="16" t="inlineStr">
        <is>
          <t>SHUTUP</t>
        </is>
      </c>
      <c r="B90" s="17" t="n">
        <v>1180820</v>
      </c>
      <c r="C90" s="17" t="n">
        <v>0</v>
      </c>
      <c r="D90" s="17" t="inlineStr">
        <is>
          <t>0.000710</t>
        </is>
      </c>
      <c r="E90" s="17" t="inlineStr">
        <is>
          <t>0.248 SOL</t>
        </is>
      </c>
      <c r="F90" s="17" t="inlineStr">
        <is>
          <t>0.000 SOL</t>
        </is>
      </c>
      <c r="G90" s="18" t="inlineStr">
        <is>
          <t>-0.249 SOL</t>
        </is>
      </c>
      <c r="H90" s="18" t="inlineStr">
        <is>
          <t>0.00%</t>
        </is>
      </c>
      <c r="I90" s="17" t="inlineStr">
        <is>
          <t>1,180,820</t>
        </is>
      </c>
      <c r="J90" s="17" t="n">
        <v>1</v>
      </c>
      <c r="K90" s="17" t="n">
        <v>0</v>
      </c>
      <c r="L90" s="17" t="inlineStr">
        <is>
          <t>27.10.2024 20:47:45</t>
        </is>
      </c>
      <c r="M90" s="19" t="inlineStr">
        <is>
          <t>0 sec</t>
        </is>
      </c>
      <c r="N90" s="17" t="inlineStr">
        <is>
          <t xml:space="preserve">         37K            37K             5K</t>
        </is>
      </c>
      <c r="O90" s="17" t="inlineStr">
        <is>
          <t>9Hh3Kxo4oarGr5kA4uciKPEaFm3spqqNFfvPJALrpump</t>
        </is>
      </c>
      <c r="P90" s="17">
        <f>HYPERLINK("https://photon-sol.tinyastro.io/en/lp/9Hh3Kxo4oarGr5kA4uciKPEaFm3spqqNFfvPJALrpump?handle=676050794bc1b1657a56b", "View")</f>
        <v/>
      </c>
    </row>
    <row r="91">
      <c r="A91" s="20" t="inlineStr">
        <is>
          <t>@AI</t>
        </is>
      </c>
      <c r="B91" s="21" t="n">
        <v>1613304</v>
      </c>
      <c r="C91" s="21" t="n">
        <v>0</v>
      </c>
      <c r="D91" s="21" t="inlineStr">
        <is>
          <t>0.000710</t>
        </is>
      </c>
      <c r="E91" s="21" t="inlineStr">
        <is>
          <t>0.229 SOL</t>
        </is>
      </c>
      <c r="F91" s="21" t="inlineStr">
        <is>
          <t>0.000 SOL</t>
        </is>
      </c>
      <c r="G91" s="18" t="inlineStr">
        <is>
          <t>-0.229 SOL</t>
        </is>
      </c>
      <c r="H91" s="18" t="inlineStr">
        <is>
          <t>0.00%</t>
        </is>
      </c>
      <c r="I91" s="21" t="inlineStr">
        <is>
          <t>1,613,304</t>
        </is>
      </c>
      <c r="J91" s="21" t="n">
        <v>1</v>
      </c>
      <c r="K91" s="21" t="n">
        <v>0</v>
      </c>
      <c r="L91" s="21" t="inlineStr">
        <is>
          <t>27.10.2024 20:31:46</t>
        </is>
      </c>
      <c r="M91" s="19" t="inlineStr">
        <is>
          <t>0 sec</t>
        </is>
      </c>
      <c r="N91" s="21" t="inlineStr">
        <is>
          <t xml:space="preserve">         25K            25K             5K</t>
        </is>
      </c>
      <c r="O91" s="21" t="inlineStr">
        <is>
          <t>2DrfBeGy3iXWgmUfwxqPcA4QHkR3aPmDquu1dj5Zpump</t>
        </is>
      </c>
      <c r="P91" s="21">
        <f>HYPERLINK("https://photon-sol.tinyastro.io/en/lp/2DrfBeGy3iXWgmUfwxqPcA4QHkR3aPmDquu1dj5Zpump?handle=676050794bc1b1657a56b", "View")</f>
        <v/>
      </c>
    </row>
    <row r="92">
      <c r="A92" s="16" t="inlineStr">
        <is>
          <t>BANKSY</t>
        </is>
      </c>
      <c r="B92" s="17" t="n">
        <v>2442145</v>
      </c>
      <c r="C92" s="17" t="n">
        <v>0</v>
      </c>
      <c r="D92" s="17" t="inlineStr">
        <is>
          <t>0.000710</t>
        </is>
      </c>
      <c r="E92" s="17" t="inlineStr">
        <is>
          <t>0.100 SOL</t>
        </is>
      </c>
      <c r="F92" s="17" t="inlineStr">
        <is>
          <t>0.000 SOL</t>
        </is>
      </c>
      <c r="G92" s="18" t="inlineStr">
        <is>
          <t>-0.101 SOL</t>
        </is>
      </c>
      <c r="H92" s="18" t="inlineStr">
        <is>
          <t>0.00%</t>
        </is>
      </c>
      <c r="I92" s="17" t="inlineStr">
        <is>
          <t>2,442,145</t>
        </is>
      </c>
      <c r="J92" s="17" t="n">
        <v>1</v>
      </c>
      <c r="K92" s="17" t="n">
        <v>0</v>
      </c>
      <c r="L92" s="17" t="inlineStr">
        <is>
          <t>27.10.2024 19:45:14</t>
        </is>
      </c>
      <c r="M92" s="19" t="inlineStr">
        <is>
          <t>0 sec</t>
        </is>
      </c>
      <c r="N92" s="17" t="inlineStr">
        <is>
          <t xml:space="preserve">          7K             7K             5K</t>
        </is>
      </c>
      <c r="O92" s="17" t="inlineStr">
        <is>
          <t>GG4V3Lh63NAkvpXqfdnjgsEMTbXP4BFZA2FC5HJpump</t>
        </is>
      </c>
      <c r="P92" s="17">
        <f>HYPERLINK("https://dexscreener.com/solana/GG4V3Lh63NAkvpXqfdnjgsEMTbXP4BFZA2FC5HJpump", "View")</f>
        <v/>
      </c>
    </row>
    <row r="93">
      <c r="A93" s="20" t="inlineStr">
        <is>
          <t>iykyk</t>
        </is>
      </c>
      <c r="B93" s="21" t="n">
        <v>2185849</v>
      </c>
      <c r="C93" s="21" t="n">
        <v>0</v>
      </c>
      <c r="D93" s="21" t="inlineStr">
        <is>
          <t>0.000710</t>
        </is>
      </c>
      <c r="E93" s="21" t="inlineStr">
        <is>
          <t>0.105 SOL</t>
        </is>
      </c>
      <c r="F93" s="21" t="inlineStr">
        <is>
          <t>0.000 SOL</t>
        </is>
      </c>
      <c r="G93" s="18" t="inlineStr">
        <is>
          <t>-0.106 SOL</t>
        </is>
      </c>
      <c r="H93" s="18" t="inlineStr">
        <is>
          <t>0.00%</t>
        </is>
      </c>
      <c r="I93" s="21" t="inlineStr">
        <is>
          <t>2,185,849</t>
        </is>
      </c>
      <c r="J93" s="21" t="n">
        <v>1</v>
      </c>
      <c r="K93" s="21" t="n">
        <v>0</v>
      </c>
      <c r="L93" s="21" t="inlineStr">
        <is>
          <t>27.10.2024 19:43:24</t>
        </is>
      </c>
      <c r="M93" s="19" t="inlineStr">
        <is>
          <t>0 sec</t>
        </is>
      </c>
      <c r="N93" s="21" t="inlineStr">
        <is>
          <t xml:space="preserve">          9K             9K             5K</t>
        </is>
      </c>
      <c r="O93" s="21" t="inlineStr">
        <is>
          <t>7ruuEZv2UwSLUA8Kjyh5vUAnLFHN7GuG6T1wkfrpump</t>
        </is>
      </c>
      <c r="P93" s="21">
        <f>HYPERLINK("https://photon-sol.tinyastro.io/en/lp/7ruuEZv2UwSLUA8Kjyh5vUAnLFHN7GuG6T1wkfrpump?handle=676050794bc1b1657a56b", "View")</f>
        <v/>
      </c>
    </row>
    <row r="94">
      <c r="A94" s="16" t="inlineStr">
        <is>
          <t>TDS</t>
        </is>
      </c>
      <c r="B94" s="17" t="n">
        <v>207529</v>
      </c>
      <c r="C94" s="17" t="n">
        <v>207529</v>
      </c>
      <c r="D94" s="17" t="inlineStr">
        <is>
          <t>0.001410</t>
        </is>
      </c>
      <c r="E94" s="17" t="inlineStr">
        <is>
          <t>0.500 SOL</t>
        </is>
      </c>
      <c r="F94" s="17" t="inlineStr">
        <is>
          <t>0.091 SOL</t>
        </is>
      </c>
      <c r="G94" s="23" t="inlineStr">
        <is>
          <t>-0.411 SOL</t>
        </is>
      </c>
      <c r="H94" s="23" t="inlineStr">
        <is>
          <t>-81.93%</t>
        </is>
      </c>
      <c r="I94" s="17" t="inlineStr">
        <is>
          <t>N/A</t>
        </is>
      </c>
      <c r="J94" s="17" t="n">
        <v>1</v>
      </c>
      <c r="K94" s="17" t="n">
        <v>1</v>
      </c>
      <c r="L94" s="17" t="inlineStr">
        <is>
          <t>27.10.2024 19:43:10</t>
        </is>
      </c>
      <c r="M94" s="17" t="inlineStr">
        <is>
          <t>1 hours</t>
        </is>
      </c>
      <c r="N94" s="17" t="inlineStr">
        <is>
          <t xml:space="preserve">        423K           423K            10K</t>
        </is>
      </c>
      <c r="O94" s="17" t="inlineStr">
        <is>
          <t>FeYQWQL1s9kYVvNTb8ZnwamoZV8hTWxcAVNNfWadpump</t>
        </is>
      </c>
      <c r="P94" s="17">
        <f>HYPERLINK("https://dexscreener.com/solana/FeYQWQL1s9kYVvNTb8ZnwamoZV8hTWxcAVNNfWadpump", "View")</f>
        <v/>
      </c>
    </row>
    <row r="95">
      <c r="A95" s="20" t="inlineStr">
        <is>
          <t>MURPHY</t>
        </is>
      </c>
      <c r="B95" s="21" t="n">
        <v>209599</v>
      </c>
      <c r="C95" s="21" t="n">
        <v>0</v>
      </c>
      <c r="D95" s="21" t="inlineStr">
        <is>
          <t>0.000710</t>
        </is>
      </c>
      <c r="E95" s="21" t="inlineStr">
        <is>
          <t>0.500 SOL</t>
        </is>
      </c>
      <c r="F95" s="21" t="inlineStr">
        <is>
          <t>0.000 SOL</t>
        </is>
      </c>
      <c r="G95" s="18" t="inlineStr">
        <is>
          <t>-0.501 SOL</t>
        </is>
      </c>
      <c r="H95" s="18" t="inlineStr">
        <is>
          <t>0.00%</t>
        </is>
      </c>
      <c r="I95" s="21" t="inlineStr">
        <is>
          <t>209,599</t>
        </is>
      </c>
      <c r="J95" s="21" t="n">
        <v>1</v>
      </c>
      <c r="K95" s="21" t="n">
        <v>0</v>
      </c>
      <c r="L95" s="21" t="inlineStr">
        <is>
          <t>27.10.2024 16:54:35</t>
        </is>
      </c>
      <c r="M95" s="19" t="inlineStr">
        <is>
          <t>0 sec</t>
        </is>
      </c>
      <c r="N95" s="21" t="inlineStr">
        <is>
          <t xml:space="preserve">        420K           420K            52K</t>
        </is>
      </c>
      <c r="O95" s="21" t="inlineStr">
        <is>
          <t>7HiSM2hkmqzhZMLuKtGMWkhvDi2LpMBepWRFYjXXpump</t>
        </is>
      </c>
      <c r="P95" s="21">
        <f>HYPERLINK("https://dexscreener.com/solana/7HiSM2hkmqzhZMLuKtGMWkhvDi2LpMBepWRFYjXXpump", "View")</f>
        <v/>
      </c>
    </row>
    <row r="96">
      <c r="A96" s="16" t="inlineStr">
        <is>
          <t>NESH</t>
        </is>
      </c>
      <c r="B96" s="17" t="n">
        <v>501713</v>
      </c>
      <c r="C96" s="17" t="n">
        <v>0</v>
      </c>
      <c r="D96" s="17" t="inlineStr">
        <is>
          <t>0.000710</t>
        </is>
      </c>
      <c r="E96" s="17" t="inlineStr">
        <is>
          <t>0.500 SOL</t>
        </is>
      </c>
      <c r="F96" s="17" t="inlineStr">
        <is>
          <t>0.000 SOL</t>
        </is>
      </c>
      <c r="G96" s="18" t="inlineStr">
        <is>
          <t>-0.501 SOL</t>
        </is>
      </c>
      <c r="H96" s="18" t="inlineStr">
        <is>
          <t>0.00%</t>
        </is>
      </c>
      <c r="I96" s="17" t="inlineStr">
        <is>
          <t>501,713</t>
        </is>
      </c>
      <c r="J96" s="17" t="n">
        <v>1</v>
      </c>
      <c r="K96" s="17" t="n">
        <v>0</v>
      </c>
      <c r="L96" s="17" t="inlineStr">
        <is>
          <t>27.10.2024 15:29:07</t>
        </is>
      </c>
      <c r="M96" s="19" t="inlineStr">
        <is>
          <t>0 sec</t>
        </is>
      </c>
      <c r="N96" s="17" t="inlineStr">
        <is>
          <t xml:space="preserve">        176K           176K             4K</t>
        </is>
      </c>
      <c r="O96" s="17" t="inlineStr">
        <is>
          <t>3GMWBYirJHVpQzKNMxXR36kHPA9nB9UD3Bxxv1Qjpump</t>
        </is>
      </c>
      <c r="P96" s="17">
        <f>HYPERLINK("https://dexscreener.com/solana/3GMWBYirJHVpQzKNMxXR36kHPA9nB9UD3Bxxv1Qjpump", "View")</f>
        <v/>
      </c>
    </row>
    <row r="97">
      <c r="A97" s="20" t="inlineStr">
        <is>
          <t>PUMPAI</t>
        </is>
      </c>
      <c r="B97" s="21" t="n">
        <v>149567</v>
      </c>
      <c r="C97" s="21" t="n">
        <v>0</v>
      </c>
      <c r="D97" s="21" t="inlineStr">
        <is>
          <t>0.000710</t>
        </is>
      </c>
      <c r="E97" s="21" t="inlineStr">
        <is>
          <t>0.200 SOL</t>
        </is>
      </c>
      <c r="F97" s="21" t="inlineStr">
        <is>
          <t>0.000 SOL</t>
        </is>
      </c>
      <c r="G97" s="18" t="inlineStr">
        <is>
          <t>-0.201 SOL</t>
        </is>
      </c>
      <c r="H97" s="18" t="inlineStr">
        <is>
          <t>0.00%</t>
        </is>
      </c>
      <c r="I97" s="21" t="inlineStr">
        <is>
          <t>149,567</t>
        </is>
      </c>
      <c r="J97" s="21" t="n">
        <v>1</v>
      </c>
      <c r="K97" s="21" t="n">
        <v>0</v>
      </c>
      <c r="L97" s="21" t="inlineStr">
        <is>
          <t>27.10.2024 02:51:32</t>
        </is>
      </c>
      <c r="M97" s="19" t="inlineStr">
        <is>
          <t>0 sec</t>
        </is>
      </c>
      <c r="N97" s="21" t="inlineStr">
        <is>
          <t xml:space="preserve">        235K           235K            32K</t>
        </is>
      </c>
      <c r="O97" s="21" t="inlineStr">
        <is>
          <t>hf8aYwMK2cYv7t4uUhUAqpdwTS3sja2z9RJMQZ2pump</t>
        </is>
      </c>
      <c r="P97" s="21">
        <f>HYPERLINK("https://dexscreener.com/solana/hf8aYwMK2cYv7t4uUhUAqpdwTS3sja2z9RJMQZ2pump", "View")</f>
        <v/>
      </c>
    </row>
    <row r="98">
      <c r="A98" s="16" t="inlineStr">
        <is>
          <t>SOLOM</t>
        </is>
      </c>
      <c r="B98" s="17" t="n">
        <v>816533</v>
      </c>
      <c r="C98" s="17" t="n">
        <v>0</v>
      </c>
      <c r="D98" s="17" t="inlineStr">
        <is>
          <t>0.001410</t>
        </is>
      </c>
      <c r="E98" s="17" t="inlineStr">
        <is>
          <t>1.000 SOL</t>
        </is>
      </c>
      <c r="F98" s="17" t="inlineStr">
        <is>
          <t>0.000 SOL</t>
        </is>
      </c>
      <c r="G98" s="18" t="inlineStr">
        <is>
          <t>-1.001 SOL</t>
        </is>
      </c>
      <c r="H98" s="18" t="inlineStr">
        <is>
          <t>0.00%</t>
        </is>
      </c>
      <c r="I98" s="17" t="inlineStr">
        <is>
          <t>816,533</t>
        </is>
      </c>
      <c r="J98" s="17" t="n">
        <v>2</v>
      </c>
      <c r="K98" s="17" t="n">
        <v>0</v>
      </c>
      <c r="L98" s="17" t="inlineStr">
        <is>
          <t>26.10.2024 15:13:25</t>
        </is>
      </c>
      <c r="M98" s="19" t="inlineStr">
        <is>
          <t>0 sec</t>
        </is>
      </c>
      <c r="N98" s="17" t="inlineStr">
        <is>
          <t xml:space="preserve">        187K           187K             5K</t>
        </is>
      </c>
      <c r="O98" s="17" t="inlineStr">
        <is>
          <t>34pGiw5uBRq98c3AB468ds1AHcpnWN7zoFy6actWpump</t>
        </is>
      </c>
      <c r="P98" s="17">
        <f>HYPERLINK("https://dexscreener.com/solana/34pGiw5uBRq98c3AB468ds1AHcpnWN7zoFy6actWpump", "View")</f>
        <v/>
      </c>
    </row>
    <row r="99">
      <c r="A99" s="20" t="inlineStr">
        <is>
          <t>DAVE</t>
        </is>
      </c>
      <c r="B99" s="21" t="n">
        <v>4274201</v>
      </c>
      <c r="C99" s="21" t="n">
        <v>0</v>
      </c>
      <c r="D99" s="21" t="inlineStr">
        <is>
          <t>0.001410</t>
        </is>
      </c>
      <c r="E99" s="21" t="inlineStr">
        <is>
          <t>1.219 SOL</t>
        </is>
      </c>
      <c r="F99" s="21" t="inlineStr">
        <is>
          <t>0.000 SOL</t>
        </is>
      </c>
      <c r="G99" s="18" t="inlineStr">
        <is>
          <t>-1.221 SOL</t>
        </is>
      </c>
      <c r="H99" s="18" t="inlineStr">
        <is>
          <t>0.00%</t>
        </is>
      </c>
      <c r="I99" s="21" t="inlineStr">
        <is>
          <t>4,274,201</t>
        </is>
      </c>
      <c r="J99" s="21" t="n">
        <v>2</v>
      </c>
      <c r="K99" s="21" t="n">
        <v>0</v>
      </c>
      <c r="L99" s="21" t="inlineStr">
        <is>
          <t>26.10.2024 14:47:39</t>
        </is>
      </c>
      <c r="M99" s="19" t="inlineStr">
        <is>
          <t>0 sec</t>
        </is>
      </c>
      <c r="N99" s="21" t="inlineStr">
        <is>
          <t xml:space="preserve">         51K            51K             5K</t>
        </is>
      </c>
      <c r="O99" s="21" t="inlineStr">
        <is>
          <t>BrPjSkpdWfgz5XXPoVbDfGxLSiKbzYz76NdvuTqJ8e7H</t>
        </is>
      </c>
      <c r="P99" s="21">
        <f>HYPERLINK("https://photon-sol.tinyastro.io/en/lp/BrPjSkpdWfgz5XXPoVbDfGxLSiKbzYz76NdvuTqJ8e7H?handle=676050794bc1b1657a56b", "View")</f>
        <v/>
      </c>
    </row>
    <row r="100">
      <c r="A100" s="16" t="inlineStr">
        <is>
          <t>GlaDoS</t>
        </is>
      </c>
      <c r="B100" s="17" t="n">
        <v>645397</v>
      </c>
      <c r="C100" s="17" t="n">
        <v>0</v>
      </c>
      <c r="D100" s="17" t="inlineStr">
        <is>
          <t>0.002820</t>
        </is>
      </c>
      <c r="E100" s="17" t="inlineStr">
        <is>
          <t>2.000 SOL</t>
        </is>
      </c>
      <c r="F100" s="17" t="inlineStr">
        <is>
          <t>0.000 SOL</t>
        </is>
      </c>
      <c r="G100" s="18" t="inlineStr">
        <is>
          <t>-2.003 SOL</t>
        </is>
      </c>
      <c r="H100" s="18" t="inlineStr">
        <is>
          <t>0.00%</t>
        </is>
      </c>
      <c r="I100" s="17" t="inlineStr">
        <is>
          <t>645,397</t>
        </is>
      </c>
      <c r="J100" s="17" t="n">
        <v>4</v>
      </c>
      <c r="K100" s="17" t="n">
        <v>0</v>
      </c>
      <c r="L100" s="17" t="inlineStr">
        <is>
          <t>26.10.2024 13:57:04</t>
        </is>
      </c>
      <c r="M100" s="17" t="inlineStr">
        <is>
          <t>1 hours</t>
        </is>
      </c>
      <c r="N100" s="17" t="inlineStr">
        <is>
          <t xml:space="preserve">        509K           509K            10K</t>
        </is>
      </c>
      <c r="O100" s="17" t="inlineStr">
        <is>
          <t>zGSm7WWkUgV6NqrU47nC1iLheZsWaRMyFnzVKTUpump</t>
        </is>
      </c>
      <c r="P100" s="17">
        <f>HYPERLINK("https://dexscreener.com/solana/zGSm7WWkUgV6NqrU47nC1iLheZsWaRMyFnzVKTUpump", "View")</f>
        <v/>
      </c>
    </row>
    <row r="101">
      <c r="A101" s="20" t="inlineStr">
        <is>
          <t>glados-137</t>
        </is>
      </c>
      <c r="B101" s="21" t="n">
        <v>414455</v>
      </c>
      <c r="C101" s="21" t="n">
        <v>0</v>
      </c>
      <c r="D101" s="21" t="inlineStr">
        <is>
          <t>0.001410</t>
        </is>
      </c>
      <c r="E101" s="21" t="inlineStr">
        <is>
          <t>1.000 SOL</t>
        </is>
      </c>
      <c r="F101" s="21" t="inlineStr">
        <is>
          <t>0.000 SOL</t>
        </is>
      </c>
      <c r="G101" s="18" t="inlineStr">
        <is>
          <t>-1.001 SOL</t>
        </is>
      </c>
      <c r="H101" s="18" t="inlineStr">
        <is>
          <t>0.00%</t>
        </is>
      </c>
      <c r="I101" s="21" t="inlineStr">
        <is>
          <t>414,455</t>
        </is>
      </c>
      <c r="J101" s="21" t="n">
        <v>2</v>
      </c>
      <c r="K101" s="21" t="n">
        <v>0</v>
      </c>
      <c r="L101" s="21" t="inlineStr">
        <is>
          <t>26.10.2024 11:13:04</t>
        </is>
      </c>
      <c r="M101" s="19" t="inlineStr">
        <is>
          <t>0 sec</t>
        </is>
      </c>
      <c r="N101" s="21" t="inlineStr">
        <is>
          <t xml:space="preserve">        423K           423K            31K</t>
        </is>
      </c>
      <c r="O101" s="21" t="inlineStr">
        <is>
          <t>5AFpf9H8CPpmHe9gmwZYQPtup3MDZ887PUxvY1yapump</t>
        </is>
      </c>
      <c r="P101" s="21">
        <f>HYPERLINK("https://dexscreener.com/solana/5AFpf9H8CPpmHe9gmwZYQPtup3MDZ887PUxvY1yapump", "View")</f>
        <v/>
      </c>
    </row>
    <row r="102">
      <c r="A102" s="16" t="inlineStr">
        <is>
          <t>CRYPT</t>
        </is>
      </c>
      <c r="B102" s="17" t="n">
        <v>1711739</v>
      </c>
      <c r="C102" s="17" t="n">
        <v>0</v>
      </c>
      <c r="D102" s="17" t="inlineStr">
        <is>
          <t>0.001410</t>
        </is>
      </c>
      <c r="E102" s="17" t="inlineStr">
        <is>
          <t>1.000 SOL</t>
        </is>
      </c>
      <c r="F102" s="17" t="inlineStr">
        <is>
          <t>0.000 SOL</t>
        </is>
      </c>
      <c r="G102" s="18" t="inlineStr">
        <is>
          <t>-1.001 SOL</t>
        </is>
      </c>
      <c r="H102" s="18" t="inlineStr">
        <is>
          <t>0.00%</t>
        </is>
      </c>
      <c r="I102" s="17" t="inlineStr">
        <is>
          <t>1,711,739</t>
        </is>
      </c>
      <c r="J102" s="17" t="n">
        <v>2</v>
      </c>
      <c r="K102" s="17" t="n">
        <v>0</v>
      </c>
      <c r="L102" s="17" t="inlineStr">
        <is>
          <t>26.10.2024 09:47:48</t>
        </is>
      </c>
      <c r="M102" s="19" t="inlineStr">
        <is>
          <t>0 sec</t>
        </is>
      </c>
      <c r="N102" s="17" t="inlineStr">
        <is>
          <t xml:space="preserve">        102K           102K             4K</t>
        </is>
      </c>
      <c r="O102" s="17" t="inlineStr">
        <is>
          <t>HcpuhTEUBYoA4WeRMQE2zeRKNNFmWVcjRRzbYkFopump</t>
        </is>
      </c>
      <c r="P102" s="17">
        <f>HYPERLINK("https://dexscreener.com/solana/HcpuhTEUBYoA4WeRMQE2zeRKNNFmWVcjRRzbYkFopump", "View")</f>
        <v/>
      </c>
    </row>
    <row r="103">
      <c r="A103" s="20" t="inlineStr">
        <is>
          <t>KYUUJA</t>
        </is>
      </c>
      <c r="B103" s="21" t="n">
        <v>1691794</v>
      </c>
      <c r="C103" s="21" t="n">
        <v>0</v>
      </c>
      <c r="D103" s="21" t="inlineStr">
        <is>
          <t>0.001410</t>
        </is>
      </c>
      <c r="E103" s="21" t="inlineStr">
        <is>
          <t>1.000 SOL</t>
        </is>
      </c>
      <c r="F103" s="21" t="inlineStr">
        <is>
          <t>0.000 SOL</t>
        </is>
      </c>
      <c r="G103" s="18" t="inlineStr">
        <is>
          <t>-1.001 SOL</t>
        </is>
      </c>
      <c r="H103" s="18" t="inlineStr">
        <is>
          <t>0.00%</t>
        </is>
      </c>
      <c r="I103" s="21" t="inlineStr">
        <is>
          <t>1,691,794</t>
        </is>
      </c>
      <c r="J103" s="21" t="n">
        <v>2</v>
      </c>
      <c r="K103" s="21" t="n">
        <v>0</v>
      </c>
      <c r="L103" s="21" t="inlineStr">
        <is>
          <t>26.10.2024 05:04:30</t>
        </is>
      </c>
      <c r="M103" s="19" t="inlineStr">
        <is>
          <t>0 sec</t>
        </is>
      </c>
      <c r="N103" s="21" t="inlineStr">
        <is>
          <t xml:space="preserve">        104K           104K            13K</t>
        </is>
      </c>
      <c r="O103" s="21" t="inlineStr">
        <is>
          <t>6BbsRCdCSN5ta2MaFmfuzsbu7FKrNHTvT656Bntzpump</t>
        </is>
      </c>
      <c r="P103" s="21">
        <f>HYPERLINK("https://dexscreener.com/solana/6BbsRCdCSN5ta2MaFmfuzsbu7FKrNHTvT656Bntzpump", "View")</f>
        <v/>
      </c>
    </row>
    <row r="104">
      <c r="A104" s="16" t="inlineStr">
        <is>
          <t>KYUUJA</t>
        </is>
      </c>
      <c r="B104" s="17" t="n">
        <v>4442493</v>
      </c>
      <c r="C104" s="17" t="n">
        <v>0</v>
      </c>
      <c r="D104" s="17" t="inlineStr">
        <is>
          <t>0.001410</t>
        </is>
      </c>
      <c r="E104" s="17" t="inlineStr">
        <is>
          <t>1.197 SOL</t>
        </is>
      </c>
      <c r="F104" s="17" t="inlineStr">
        <is>
          <t>0.000 SOL</t>
        </is>
      </c>
      <c r="G104" s="18" t="inlineStr">
        <is>
          <t>-1.198 SOL</t>
        </is>
      </c>
      <c r="H104" s="18" t="inlineStr">
        <is>
          <t>0.00%</t>
        </is>
      </c>
      <c r="I104" s="17" t="inlineStr">
        <is>
          <t>4,442,493</t>
        </is>
      </c>
      <c r="J104" s="17" t="n">
        <v>2</v>
      </c>
      <c r="K104" s="17" t="n">
        <v>0</v>
      </c>
      <c r="L104" s="17" t="inlineStr">
        <is>
          <t>26.10.2024 04:50:06</t>
        </is>
      </c>
      <c r="M104" s="19" t="inlineStr">
        <is>
          <t>0 sec</t>
        </is>
      </c>
      <c r="N104" s="17" t="inlineStr">
        <is>
          <t xml:space="preserve">         47K            47K             6K</t>
        </is>
      </c>
      <c r="O104" s="17" t="inlineStr">
        <is>
          <t>2Bm2xQRgSS5GLRm8eXj3Xe8WzFq9noEkx4MmGsHBpump</t>
        </is>
      </c>
      <c r="P104" s="17">
        <f>HYPERLINK("https://photon-sol.tinyastro.io/en/lp/2Bm2xQRgSS5GLRm8eXj3Xe8WzFq9noEkx4MmGsHBpump?handle=676050794bc1b1657a56b", "View")</f>
        <v/>
      </c>
    </row>
    <row r="105">
      <c r="A105" s="20" t="inlineStr">
        <is>
          <t>PLINY</t>
        </is>
      </c>
      <c r="B105" s="21" t="n">
        <v>951659</v>
      </c>
      <c r="C105" s="21" t="n">
        <v>0</v>
      </c>
      <c r="D105" s="21" t="inlineStr">
        <is>
          <t>0.001410</t>
        </is>
      </c>
      <c r="E105" s="21" t="inlineStr">
        <is>
          <t>0.990 SOL</t>
        </is>
      </c>
      <c r="F105" s="21" t="inlineStr">
        <is>
          <t>0.000 SOL</t>
        </is>
      </c>
      <c r="G105" s="18" t="inlineStr">
        <is>
          <t>-0.991 SOL</t>
        </is>
      </c>
      <c r="H105" s="18" t="inlineStr">
        <is>
          <t>0.00%</t>
        </is>
      </c>
      <c r="I105" s="21" t="inlineStr">
        <is>
          <t>951,659</t>
        </is>
      </c>
      <c r="J105" s="21" t="n">
        <v>2</v>
      </c>
      <c r="K105" s="21" t="n">
        <v>0</v>
      </c>
      <c r="L105" s="21" t="inlineStr">
        <is>
          <t>26.10.2024 03:18:31</t>
        </is>
      </c>
      <c r="M105" s="19" t="inlineStr">
        <is>
          <t>0 sec</t>
        </is>
      </c>
      <c r="N105" s="21" t="inlineStr">
        <is>
          <t xml:space="preserve">        183K           183K            60K</t>
        </is>
      </c>
      <c r="O105" s="21" t="inlineStr">
        <is>
          <t>6MYhpb3FocZSdJS3V5krpbfMp45JxD5jXdtPfkwUpump</t>
        </is>
      </c>
      <c r="P105" s="21">
        <f>HYPERLINK("https://dexscreener.com/solana/6MYhpb3FocZSdJS3V5krpbfMp45JxD5jXdtPfkwUpump", "View")</f>
        <v/>
      </c>
    </row>
    <row r="106">
      <c r="A106" s="16" t="inlineStr">
        <is>
          <t>HAX</t>
        </is>
      </c>
      <c r="B106" s="17" t="n">
        <v>3117709</v>
      </c>
      <c r="C106" s="17" t="n">
        <v>0</v>
      </c>
      <c r="D106" s="17" t="inlineStr">
        <is>
          <t>0.001410</t>
        </is>
      </c>
      <c r="E106" s="17" t="inlineStr">
        <is>
          <t>1.041 SOL</t>
        </is>
      </c>
      <c r="F106" s="17" t="inlineStr">
        <is>
          <t>0.000 SOL</t>
        </is>
      </c>
      <c r="G106" s="18" t="inlineStr">
        <is>
          <t>-1.043 SOL</t>
        </is>
      </c>
      <c r="H106" s="18" t="inlineStr">
        <is>
          <t>0.00%</t>
        </is>
      </c>
      <c r="I106" s="17" t="inlineStr">
        <is>
          <t>3,117,709</t>
        </is>
      </c>
      <c r="J106" s="17" t="n">
        <v>2</v>
      </c>
      <c r="K106" s="17" t="n">
        <v>0</v>
      </c>
      <c r="L106" s="17" t="inlineStr">
        <is>
          <t>26.10.2024 01:59:23</t>
        </is>
      </c>
      <c r="M106" s="19" t="inlineStr">
        <is>
          <t>0 sec</t>
        </is>
      </c>
      <c r="N106" s="17" t="inlineStr">
        <is>
          <t xml:space="preserve">         58K            58K             7K</t>
        </is>
      </c>
      <c r="O106" s="17" t="inlineStr">
        <is>
          <t>8p1axiyVkUL5zTQREb8zGU2DqaiLUkG4TjDHayhVpump</t>
        </is>
      </c>
      <c r="P106" s="17">
        <f>HYPERLINK("https://photon-sol.tinyastro.io/en/lp/8p1axiyVkUL5zTQREb8zGU2DqaiLUkG4TjDHayhVpump?handle=676050794bc1b1657a56b", "View")</f>
        <v/>
      </c>
    </row>
    <row r="107">
      <c r="A107" s="20" t="inlineStr">
        <is>
          <t>Child AI</t>
        </is>
      </c>
      <c r="B107" s="21" t="n">
        <v>943038</v>
      </c>
      <c r="C107" s="21" t="n">
        <v>913038</v>
      </c>
      <c r="D107" s="21" t="inlineStr">
        <is>
          <t>0.013920</t>
        </is>
      </c>
      <c r="E107" s="21" t="inlineStr">
        <is>
          <t>0.400 SOL</t>
        </is>
      </c>
      <c r="F107" s="21" t="inlineStr">
        <is>
          <t>16.315 SOL</t>
        </is>
      </c>
      <c r="G107" s="24" t="inlineStr">
        <is>
          <t>15.901 SOL</t>
        </is>
      </c>
      <c r="H107" s="24" t="inlineStr">
        <is>
          <t>3841.65%</t>
        </is>
      </c>
      <c r="I107" s="21" t="inlineStr">
        <is>
          <t>N/A</t>
        </is>
      </c>
      <c r="J107" s="21" t="n">
        <v>2</v>
      </c>
      <c r="K107" s="21" t="n">
        <v>22</v>
      </c>
      <c r="L107" s="21" t="inlineStr">
        <is>
          <t>25.10.2024 18:24:22</t>
        </is>
      </c>
      <c r="M107" s="21" t="inlineStr">
        <is>
          <t>4 days</t>
        </is>
      </c>
      <c r="N107" s="21" t="inlineStr">
        <is>
          <t xml:space="preserve">         74K            74K           539K</t>
        </is>
      </c>
      <c r="O107" s="21" t="inlineStr">
        <is>
          <t>EYrci5wDqErWHXjKPLxeWtbXq36JcFKzCC7JoMi1pump</t>
        </is>
      </c>
      <c r="P107" s="21">
        <f>HYPERLINK("https://dexscreener.com/solana/EYrci5wDqErWHXjKPLxeWtbXq36JcFKzCC7JoMi1pump", "View")</f>
        <v/>
      </c>
    </row>
    <row r="108">
      <c r="A108" s="16" t="inlineStr">
        <is>
          <t>web</t>
        </is>
      </c>
      <c r="B108" s="17" t="n">
        <v>1909426</v>
      </c>
      <c r="C108" s="17" t="n">
        <v>0</v>
      </c>
      <c r="D108" s="17" t="inlineStr">
        <is>
          <t>0.001410</t>
        </is>
      </c>
      <c r="E108" s="17" t="inlineStr">
        <is>
          <t>0.800 SOL</t>
        </is>
      </c>
      <c r="F108" s="17" t="inlineStr">
        <is>
          <t>0.000 SOL</t>
        </is>
      </c>
      <c r="G108" s="18" t="inlineStr">
        <is>
          <t>-0.801 SOL</t>
        </is>
      </c>
      <c r="H108" s="18" t="inlineStr">
        <is>
          <t>0.00%</t>
        </is>
      </c>
      <c r="I108" s="17" t="inlineStr">
        <is>
          <t>1,909,426</t>
        </is>
      </c>
      <c r="J108" s="17" t="n">
        <v>2</v>
      </c>
      <c r="K108" s="17" t="n">
        <v>0</v>
      </c>
      <c r="L108" s="17" t="inlineStr">
        <is>
          <t>25.10.2024 16:16:27</t>
        </is>
      </c>
      <c r="M108" s="19" t="inlineStr">
        <is>
          <t>0 sec</t>
        </is>
      </c>
      <c r="N108" s="17" t="inlineStr">
        <is>
          <t xml:space="preserve">         74K            74K             6K</t>
        </is>
      </c>
      <c r="O108" s="17" t="inlineStr">
        <is>
          <t>AKjkUfgVvbmc9LfvniaaaeVJfEpYbKFDonA76fuWpump</t>
        </is>
      </c>
      <c r="P108" s="17">
        <f>HYPERLINK("https://dexscreener.com/solana/AKjkUfgVvbmc9LfvniaaaeVJfEpYbKFDonA76fuWpump", "View")</f>
        <v/>
      </c>
    </row>
    <row r="109">
      <c r="A109" s="20" t="inlineStr">
        <is>
          <t>choccy</t>
        </is>
      </c>
      <c r="B109" s="21" t="n">
        <v>286750</v>
      </c>
      <c r="C109" s="21" t="n">
        <v>0</v>
      </c>
      <c r="D109" s="21" t="inlineStr">
        <is>
          <t>0.001410</t>
        </is>
      </c>
      <c r="E109" s="21" t="inlineStr">
        <is>
          <t>0.600 SOL</t>
        </is>
      </c>
      <c r="F109" s="21" t="inlineStr">
        <is>
          <t>0.000 SOL</t>
        </is>
      </c>
      <c r="G109" s="18" t="inlineStr">
        <is>
          <t>-0.601 SOL</t>
        </is>
      </c>
      <c r="H109" s="18" t="inlineStr">
        <is>
          <t>0.00%</t>
        </is>
      </c>
      <c r="I109" s="21" t="inlineStr">
        <is>
          <t>286,750</t>
        </is>
      </c>
      <c r="J109" s="21" t="n">
        <v>2</v>
      </c>
      <c r="K109" s="21" t="n">
        <v>0</v>
      </c>
      <c r="L109" s="21" t="inlineStr">
        <is>
          <t>24.10.2024 18:34:36</t>
        </is>
      </c>
      <c r="M109" s="19" t="inlineStr">
        <is>
          <t>0 sec</t>
        </is>
      </c>
      <c r="N109" s="21" t="inlineStr">
        <is>
          <t xml:space="preserve">        367K           367K           313K</t>
        </is>
      </c>
      <c r="O109" s="21" t="inlineStr">
        <is>
          <t>DFy12AkbxKnR2s2gaYz1AvxgxqGDrMEjjzK1GG3Ypump</t>
        </is>
      </c>
      <c r="P109" s="21">
        <f>HYPERLINK("https://dexscreener.com/solana/DFy12AkbxKnR2s2gaYz1AvxgxqGDrMEjjzK1GG3Ypump", "View")</f>
        <v/>
      </c>
    </row>
    <row r="110">
      <c r="A110" s="16" t="inlineStr">
        <is>
          <t>YOUSIM</t>
        </is>
      </c>
      <c r="B110" s="17" t="n">
        <v>676275</v>
      </c>
      <c r="C110" s="17" t="n">
        <v>676275</v>
      </c>
      <c r="D110" s="17" t="inlineStr">
        <is>
          <t>0.004230</t>
        </is>
      </c>
      <c r="E110" s="17" t="inlineStr">
        <is>
          <t>0.600 SOL</t>
        </is>
      </c>
      <c r="F110" s="17" t="inlineStr">
        <is>
          <t>20.164 SOL</t>
        </is>
      </c>
      <c r="G110" s="24" t="inlineStr">
        <is>
          <t>19.560 SOL</t>
        </is>
      </c>
      <c r="H110" s="24" t="inlineStr">
        <is>
          <t>3237.13%</t>
        </is>
      </c>
      <c r="I110" s="17" t="inlineStr">
        <is>
          <t>N/A</t>
        </is>
      </c>
      <c r="J110" s="17" t="n">
        <v>2</v>
      </c>
      <c r="K110" s="17" t="n">
        <v>4</v>
      </c>
      <c r="L110" s="17" t="inlineStr">
        <is>
          <t>24.10.2024 18:12:53</t>
        </is>
      </c>
      <c r="M110" s="17" t="inlineStr">
        <is>
          <t>2 hours</t>
        </is>
      </c>
      <c r="N110" s="17" t="inlineStr">
        <is>
          <t xml:space="preserve">        156K           156K            10M</t>
        </is>
      </c>
      <c r="O110" s="17" t="inlineStr">
        <is>
          <t>66gsTs88mXJ5L4AtJnWqFW6H2L5YQDRy4W41y6zbpump</t>
        </is>
      </c>
      <c r="P110" s="17">
        <f>HYPERLINK("https://dexscreener.com/solana/66gsTs88mXJ5L4AtJnWqFW6H2L5YQDRy4W41y6zbpump", "View")</f>
        <v/>
      </c>
    </row>
    <row r="111">
      <c r="A111" s="20" t="inlineStr">
        <is>
          <t>Gape</t>
        </is>
      </c>
      <c r="B111" s="21" t="n">
        <v>192220</v>
      </c>
      <c r="C111" s="21" t="n">
        <v>0</v>
      </c>
      <c r="D111" s="21" t="inlineStr">
        <is>
          <t>0.001410</t>
        </is>
      </c>
      <c r="E111" s="21" t="inlineStr">
        <is>
          <t>0.600 SOL</t>
        </is>
      </c>
      <c r="F111" s="21" t="inlineStr">
        <is>
          <t>0.000 SOL</t>
        </is>
      </c>
      <c r="G111" s="18" t="inlineStr">
        <is>
          <t>-0.601 SOL</t>
        </is>
      </c>
      <c r="H111" s="18" t="inlineStr">
        <is>
          <t>0.00%</t>
        </is>
      </c>
      <c r="I111" s="21" t="inlineStr">
        <is>
          <t>192,220</t>
        </is>
      </c>
      <c r="J111" s="21" t="n">
        <v>2</v>
      </c>
      <c r="K111" s="21" t="n">
        <v>0</v>
      </c>
      <c r="L111" s="21" t="inlineStr">
        <is>
          <t>24.10.2024 13:56:32</t>
        </is>
      </c>
      <c r="M111" s="19" t="inlineStr">
        <is>
          <t>0 sec</t>
        </is>
      </c>
      <c r="N111" s="21" t="inlineStr">
        <is>
          <t xml:space="preserve">        548K           548K            20K</t>
        </is>
      </c>
      <c r="O111" s="21" t="inlineStr">
        <is>
          <t>58JkF2Nj981v6yxM2aQMpoeL2MaA7dA3SGcGuRyepump</t>
        </is>
      </c>
      <c r="P111" s="21">
        <f>HYPERLINK("https://dexscreener.com/solana/58JkF2Nj981v6yxM2aQMpoeL2MaA7dA3SGcGuRyepump", "View")</f>
        <v/>
      </c>
    </row>
    <row r="112">
      <c r="A112" s="16" t="inlineStr">
        <is>
          <t>gape</t>
        </is>
      </c>
      <c r="B112" s="17" t="n">
        <v>593279</v>
      </c>
      <c r="C112" s="17" t="n">
        <v>0</v>
      </c>
      <c r="D112" s="17" t="inlineStr">
        <is>
          <t>0.001410</t>
        </is>
      </c>
      <c r="E112" s="17" t="inlineStr">
        <is>
          <t>0.600 SOL</t>
        </is>
      </c>
      <c r="F112" s="17" t="inlineStr">
        <is>
          <t>0.000 SOL</t>
        </is>
      </c>
      <c r="G112" s="18" t="inlineStr">
        <is>
          <t>-0.601 SOL</t>
        </is>
      </c>
      <c r="H112" s="18" t="inlineStr">
        <is>
          <t>0.00%</t>
        </is>
      </c>
      <c r="I112" s="17" t="inlineStr">
        <is>
          <t>593,279</t>
        </is>
      </c>
      <c r="J112" s="17" t="n">
        <v>2</v>
      </c>
      <c r="K112" s="17" t="n">
        <v>0</v>
      </c>
      <c r="L112" s="17" t="inlineStr">
        <is>
          <t>24.10.2024 13:28:14</t>
        </is>
      </c>
      <c r="M112" s="19" t="inlineStr">
        <is>
          <t>0 sec</t>
        </is>
      </c>
      <c r="N112" s="17" t="inlineStr">
        <is>
          <t xml:space="preserve">        177K           177K             6K</t>
        </is>
      </c>
      <c r="O112" s="17" t="inlineStr">
        <is>
          <t>zatHUKJXCvgYBkbDMFn6Q8FukeLQkywroBw5Uv4pump</t>
        </is>
      </c>
      <c r="P112" s="17">
        <f>HYPERLINK("https://dexscreener.com/solana/zatHUKJXCvgYBkbDMFn6Q8FukeLQkywroBw5Uv4pump", "View")</f>
        <v/>
      </c>
    </row>
    <row r="113">
      <c r="A113" s="20" t="inlineStr">
        <is>
          <t>buttcoin</t>
        </is>
      </c>
      <c r="B113" s="21" t="n">
        <v>610560</v>
      </c>
      <c r="C113" s="21" t="n">
        <v>0</v>
      </c>
      <c r="D113" s="21" t="inlineStr">
        <is>
          <t>0.001410</t>
        </is>
      </c>
      <c r="E113" s="21" t="inlineStr">
        <is>
          <t>0.600 SOL</t>
        </is>
      </c>
      <c r="F113" s="21" t="inlineStr">
        <is>
          <t>0.000 SOL</t>
        </is>
      </c>
      <c r="G113" s="18" t="inlineStr">
        <is>
          <t>-0.601 SOL</t>
        </is>
      </c>
      <c r="H113" s="18" t="inlineStr">
        <is>
          <t>0.00%</t>
        </is>
      </c>
      <c r="I113" s="21" t="inlineStr">
        <is>
          <t>610,560</t>
        </is>
      </c>
      <c r="J113" s="21" t="n">
        <v>2</v>
      </c>
      <c r="K113" s="21" t="n">
        <v>0</v>
      </c>
      <c r="L113" s="21" t="inlineStr">
        <is>
          <t>24.10.2024 07:13:13</t>
        </is>
      </c>
      <c r="M113" s="19" t="inlineStr">
        <is>
          <t>0 sec</t>
        </is>
      </c>
      <c r="N113" s="21" t="inlineStr">
        <is>
          <t xml:space="preserve">        172K           172K             7K</t>
        </is>
      </c>
      <c r="O113" s="21" t="inlineStr">
        <is>
          <t>4Q7A2HQf544SnCVD16asPRb67xMVw94qaYQCWnvEpump</t>
        </is>
      </c>
      <c r="P113" s="21">
        <f>HYPERLINK("https://dexscreener.com/solana/4Q7A2HQf544SnCVD16asPRb67xMVw94qaYQCWnvEpump", "View")</f>
        <v/>
      </c>
    </row>
    <row r="114">
      <c r="A114" s="16" t="inlineStr">
        <is>
          <t>Cybercab</t>
        </is>
      </c>
      <c r="B114" s="17" t="n">
        <v>659295</v>
      </c>
      <c r="C114" s="17" t="n">
        <v>0</v>
      </c>
      <c r="D114" s="17" t="inlineStr">
        <is>
          <t>0.001410</t>
        </is>
      </c>
      <c r="E114" s="17" t="inlineStr">
        <is>
          <t>0.246 SOL</t>
        </is>
      </c>
      <c r="F114" s="17" t="inlineStr">
        <is>
          <t>0.000 SOL</t>
        </is>
      </c>
      <c r="G114" s="18" t="inlineStr">
        <is>
          <t>-0.247 SOL</t>
        </is>
      </c>
      <c r="H114" s="18" t="inlineStr">
        <is>
          <t>0.00%</t>
        </is>
      </c>
      <c r="I114" s="17" t="inlineStr">
        <is>
          <t>659,295</t>
        </is>
      </c>
      <c r="J114" s="17" t="n">
        <v>2</v>
      </c>
      <c r="K114" s="17" t="n">
        <v>0</v>
      </c>
      <c r="L114" s="17" t="inlineStr">
        <is>
          <t>23.10.2024 17:58:39</t>
        </is>
      </c>
      <c r="M114" s="19" t="inlineStr">
        <is>
          <t>0 sec</t>
        </is>
      </c>
      <c r="N114" s="17" t="inlineStr">
        <is>
          <t xml:space="preserve">        N/A           N/A           N/A</t>
        </is>
      </c>
      <c r="O114" s="17" t="inlineStr">
        <is>
          <t>DRgibxudczieNizFWtnnpWFDwYXnFChQ6nHFKMm2pump</t>
        </is>
      </c>
      <c r="P114" s="17">
        <f>HYPERLINK("https://photon-sol.tinyastro.io/en/lp/DRgibxudczieNizFWtnnpWFDwYXnFChQ6nHFKMm2pump?handle=676050794bc1b1657a56b", "View")</f>
        <v/>
      </c>
    </row>
    <row r="115">
      <c r="A115" s="20" t="inlineStr">
        <is>
          <t>API</t>
        </is>
      </c>
      <c r="B115" s="21" t="n">
        <v>979940</v>
      </c>
      <c r="C115" s="21" t="n">
        <v>0</v>
      </c>
      <c r="D115" s="21" t="inlineStr">
        <is>
          <t>0.001410</t>
        </is>
      </c>
      <c r="E115" s="21" t="inlineStr">
        <is>
          <t>0.396 SOL</t>
        </is>
      </c>
      <c r="F115" s="21" t="inlineStr">
        <is>
          <t>0.000 SOL</t>
        </is>
      </c>
      <c r="G115" s="18" t="inlineStr">
        <is>
          <t>-0.397 SOL</t>
        </is>
      </c>
      <c r="H115" s="18" t="inlineStr">
        <is>
          <t>0.00%</t>
        </is>
      </c>
      <c r="I115" s="21" t="inlineStr">
        <is>
          <t>979,940</t>
        </is>
      </c>
      <c r="J115" s="21" t="n">
        <v>2</v>
      </c>
      <c r="K115" s="21" t="n">
        <v>0</v>
      </c>
      <c r="L115" s="21" t="inlineStr">
        <is>
          <t>23.10.2024 16:18:53</t>
        </is>
      </c>
      <c r="M115" s="19" t="inlineStr">
        <is>
          <t>0 sec</t>
        </is>
      </c>
      <c r="N115" s="21" t="inlineStr">
        <is>
          <t xml:space="preserve">         70K            70K            25K</t>
        </is>
      </c>
      <c r="O115" s="21" t="inlineStr">
        <is>
          <t>4QmvAPffMFAvDPfHPJg4aepGqCqHKfASGRAUqicSpump</t>
        </is>
      </c>
      <c r="P115" s="21">
        <f>HYPERLINK("https://dexscreener.com/solana/4QmvAPffMFAvDPfHPJg4aepGqCqHKfASGRAUqicSpump", "View")</f>
        <v/>
      </c>
    </row>
    <row r="116">
      <c r="A116" s="16" t="inlineStr">
        <is>
          <t>GRUMPY</t>
        </is>
      </c>
      <c r="B116" s="17" t="n">
        <v>1448116</v>
      </c>
      <c r="C116" s="17" t="n">
        <v>0</v>
      </c>
      <c r="D116" s="17" t="inlineStr">
        <is>
          <t>0.001410</t>
        </is>
      </c>
      <c r="E116" s="17" t="inlineStr">
        <is>
          <t>0.099 SOL</t>
        </is>
      </c>
      <c r="F116" s="17" t="inlineStr">
        <is>
          <t>0.000 SOL</t>
        </is>
      </c>
      <c r="G116" s="18" t="inlineStr">
        <is>
          <t>-0.100 SOL</t>
        </is>
      </c>
      <c r="H116" s="18" t="inlineStr">
        <is>
          <t>0.00%</t>
        </is>
      </c>
      <c r="I116" s="17" t="inlineStr">
        <is>
          <t>1,448,116</t>
        </is>
      </c>
      <c r="J116" s="17" t="n">
        <v>2</v>
      </c>
      <c r="K116" s="17" t="n">
        <v>0</v>
      </c>
      <c r="L116" s="17" t="inlineStr">
        <is>
          <t>23.10.2024 16:05:27</t>
        </is>
      </c>
      <c r="M116" s="19" t="inlineStr">
        <is>
          <t>0 sec</t>
        </is>
      </c>
      <c r="N116" s="17" t="inlineStr">
        <is>
          <t xml:space="preserve">         10K            10K             6K</t>
        </is>
      </c>
      <c r="O116" s="17" t="inlineStr">
        <is>
          <t>5hZc1qQKpzTBLFm31VfhWPjo81rCJ2NspXjF9Uujpump</t>
        </is>
      </c>
      <c r="P116" s="17">
        <f>HYPERLINK("https://dexscreener.com/solana/5hZc1qQKpzTBLFm31VfhWPjo81rCJ2NspXjF9Uujpump", "View")</f>
        <v/>
      </c>
    </row>
    <row r="117">
      <c r="A117" s="20" t="inlineStr">
        <is>
          <t>CC</t>
        </is>
      </c>
      <c r="B117" s="21" t="n">
        <v>136574</v>
      </c>
      <c r="C117" s="21" t="n">
        <v>0</v>
      </c>
      <c r="D117" s="21" t="inlineStr">
        <is>
          <t>0.001410</t>
        </is>
      </c>
      <c r="E117" s="21" t="inlineStr">
        <is>
          <t>0.600 SOL</t>
        </is>
      </c>
      <c r="F117" s="21" t="inlineStr">
        <is>
          <t>0.000 SOL</t>
        </is>
      </c>
      <c r="G117" s="18" t="inlineStr">
        <is>
          <t>-0.601 SOL</t>
        </is>
      </c>
      <c r="H117" s="18" t="inlineStr">
        <is>
          <t>0.00%</t>
        </is>
      </c>
      <c r="I117" s="21" t="inlineStr">
        <is>
          <t>136,574</t>
        </is>
      </c>
      <c r="J117" s="21" t="n">
        <v>2</v>
      </c>
      <c r="K117" s="21" t="n">
        <v>0</v>
      </c>
      <c r="L117" s="21" t="inlineStr">
        <is>
          <t>23.10.2024 15:58:12</t>
        </is>
      </c>
      <c r="M117" s="19" t="inlineStr">
        <is>
          <t>0 sec</t>
        </is>
      </c>
      <c r="N117" s="21" t="inlineStr">
        <is>
          <t xml:space="preserve">        771K           771K            10K</t>
        </is>
      </c>
      <c r="O117" s="21" t="inlineStr">
        <is>
          <t>G7YVLUYbhiqBXFt4uhKF4Ejs1eC7yvbDhr2syFKWpump</t>
        </is>
      </c>
      <c r="P117" s="21">
        <f>HYPERLINK("https://dexscreener.com/solana/G7YVLUYbhiqBXFt4uhKF4Ejs1eC7yvbDhr2syFKWpump", "View")</f>
        <v/>
      </c>
    </row>
    <row r="118">
      <c r="A118" s="16" t="inlineStr">
        <is>
          <t>Jungians</t>
        </is>
      </c>
      <c r="B118" s="17" t="n">
        <v>1287890</v>
      </c>
      <c r="C118" s="17" t="n">
        <v>0</v>
      </c>
      <c r="D118" s="17" t="inlineStr">
        <is>
          <t>0.001410</t>
        </is>
      </c>
      <c r="E118" s="17" t="inlineStr">
        <is>
          <t>0.396 SOL</t>
        </is>
      </c>
      <c r="F118" s="17" t="inlineStr">
        <is>
          <t>0.000 SOL</t>
        </is>
      </c>
      <c r="G118" s="18" t="inlineStr">
        <is>
          <t>-0.397 SOL</t>
        </is>
      </c>
      <c r="H118" s="18" t="inlineStr">
        <is>
          <t>0.00%</t>
        </is>
      </c>
      <c r="I118" s="17" t="inlineStr">
        <is>
          <t>1,287,890</t>
        </is>
      </c>
      <c r="J118" s="17" t="n">
        <v>2</v>
      </c>
      <c r="K118" s="17" t="n">
        <v>0</v>
      </c>
      <c r="L118" s="17" t="inlineStr">
        <is>
          <t>23.10.2024 15:44:26</t>
        </is>
      </c>
      <c r="M118" s="19" t="inlineStr">
        <is>
          <t>0 sec</t>
        </is>
      </c>
      <c r="N118" s="17" t="inlineStr">
        <is>
          <t xml:space="preserve">         54K            54K             4K</t>
        </is>
      </c>
      <c r="O118" s="17" t="inlineStr">
        <is>
          <t>8T7n6U2GSzpCqFNbNdt4JSoZHtdXp6kdb9BXHs8Ypump</t>
        </is>
      </c>
      <c r="P118" s="17">
        <f>HYPERLINK("https://dexscreener.com/solana/8T7n6U2GSzpCqFNbNdt4JSoZHtdXp6kdb9BXHs8Ypump", "View")</f>
        <v/>
      </c>
    </row>
    <row r="119">
      <c r="A119" s="20" t="inlineStr">
        <is>
          <t>kleros</t>
        </is>
      </c>
      <c r="B119" s="21" t="n">
        <v>219083</v>
      </c>
      <c r="C119" s="21" t="n">
        <v>0</v>
      </c>
      <c r="D119" s="21" t="inlineStr">
        <is>
          <t>0.001410</t>
        </is>
      </c>
      <c r="E119" s="21" t="inlineStr">
        <is>
          <t>0.594 SOL</t>
        </is>
      </c>
      <c r="F119" s="21" t="inlineStr">
        <is>
          <t>0.000 SOL</t>
        </is>
      </c>
      <c r="G119" s="18" t="inlineStr">
        <is>
          <t>-0.595 SOL</t>
        </is>
      </c>
      <c r="H119" s="18" t="inlineStr">
        <is>
          <t>0.00%</t>
        </is>
      </c>
      <c r="I119" s="21" t="inlineStr">
        <is>
          <t>219,083</t>
        </is>
      </c>
      <c r="J119" s="21" t="n">
        <v>2</v>
      </c>
      <c r="K119" s="21" t="n">
        <v>0</v>
      </c>
      <c r="L119" s="21" t="inlineStr">
        <is>
          <t>23.10.2024 10:39:05</t>
        </is>
      </c>
      <c r="M119" s="19" t="inlineStr">
        <is>
          <t>0 sec</t>
        </is>
      </c>
      <c r="N119" s="21" t="inlineStr">
        <is>
          <t xml:space="preserve">        476K           476K            13K</t>
        </is>
      </c>
      <c r="O119" s="21" t="inlineStr">
        <is>
          <t>6G9UoNmvtpgdwzwNQuqCrTD4Bz3j8VyKVJPsjKnrpump</t>
        </is>
      </c>
      <c r="P119" s="21">
        <f>HYPERLINK("https://dexscreener.com/solana/6G9UoNmvtpgdwzwNQuqCrTD4Bz3j8VyKVJPsjKnrpump", "View")</f>
        <v/>
      </c>
    </row>
    <row r="120">
      <c r="A120" s="16" t="inlineStr">
        <is>
          <t>DWF</t>
        </is>
      </c>
      <c r="B120" s="17" t="n">
        <v>1014353</v>
      </c>
      <c r="C120" s="17" t="n">
        <v>1014353</v>
      </c>
      <c r="D120" s="17" t="inlineStr">
        <is>
          <t>0.004230</t>
        </is>
      </c>
      <c r="E120" s="17" t="inlineStr">
        <is>
          <t>0.396 SOL</t>
        </is>
      </c>
      <c r="F120" s="17" t="inlineStr">
        <is>
          <t>0.417 SOL</t>
        </is>
      </c>
      <c r="G120" s="22" t="inlineStr">
        <is>
          <t>0.017 SOL</t>
        </is>
      </c>
      <c r="H120" s="22" t="inlineStr">
        <is>
          <t>4.31%</t>
        </is>
      </c>
      <c r="I120" s="17" t="inlineStr">
        <is>
          <t>N/A</t>
        </is>
      </c>
      <c r="J120" s="17" t="n">
        <v>2</v>
      </c>
      <c r="K120" s="17" t="n">
        <v>4</v>
      </c>
      <c r="L120" s="17" t="inlineStr">
        <is>
          <t>23.10.2024 10:36:00</t>
        </is>
      </c>
      <c r="M120" s="17" t="inlineStr">
        <is>
          <t>17 min</t>
        </is>
      </c>
      <c r="N120" s="17" t="inlineStr">
        <is>
          <t xml:space="preserve">         68K           218K             4K</t>
        </is>
      </c>
      <c r="O120" s="17" t="inlineStr">
        <is>
          <t>49BpEqdXm9uahssPR9x8uzBhjoaKbAzWqMS9oCb8pump</t>
        </is>
      </c>
      <c r="P120" s="17">
        <f>HYPERLINK("https://dexscreener.com/solana/49BpEqdXm9uahssPR9x8uzBhjoaKbAzWqMS9oCb8pump", "View")</f>
        <v/>
      </c>
    </row>
    <row r="121">
      <c r="A121" s="20" t="inlineStr">
        <is>
          <t>Kleros</t>
        </is>
      </c>
      <c r="B121" s="21" t="n">
        <v>1411842</v>
      </c>
      <c r="C121" s="21" t="n">
        <v>1411842</v>
      </c>
      <c r="D121" s="21" t="inlineStr">
        <is>
          <t>0.002820</t>
        </is>
      </c>
      <c r="E121" s="21" t="inlineStr">
        <is>
          <t>0.228 SOL</t>
        </is>
      </c>
      <c r="F121" s="21" t="inlineStr">
        <is>
          <t>0.043 SOL</t>
        </is>
      </c>
      <c r="G121" s="23" t="inlineStr">
        <is>
          <t>-0.188 SOL</t>
        </is>
      </c>
      <c r="H121" s="23" t="inlineStr">
        <is>
          <t>-81.54%</t>
        </is>
      </c>
      <c r="I121" s="21" t="inlineStr">
        <is>
          <t>N/A</t>
        </is>
      </c>
      <c r="J121" s="21" t="n">
        <v>2</v>
      </c>
      <c r="K121" s="21" t="n">
        <v>2</v>
      </c>
      <c r="L121" s="21" t="inlineStr">
        <is>
          <t>23.10.2024 10:34:50</t>
        </is>
      </c>
      <c r="M121" s="21" t="inlineStr">
        <is>
          <t>2 min</t>
        </is>
      </c>
      <c r="N121" s="21" t="inlineStr">
        <is>
          <t xml:space="preserve">         28K             5K             5K</t>
        </is>
      </c>
      <c r="O121" s="21" t="inlineStr">
        <is>
          <t>HQXmwse6Uatgj175V2UJuv8CNunK4TptoFW56L2aCT3a</t>
        </is>
      </c>
      <c r="P121" s="21">
        <f>HYPERLINK("https://photon-sol.tinyastro.io/en/lp/HQXmwse6Uatgj175V2UJuv8CNunK4TptoFW56L2aCT3a?handle=676050794bc1b1657a56b", "View")</f>
        <v/>
      </c>
    </row>
    <row r="122">
      <c r="A122" s="16" t="inlineStr">
        <is>
          <t>REYNA</t>
        </is>
      </c>
      <c r="B122" s="17" t="n">
        <v>887002</v>
      </c>
      <c r="C122" s="17" t="n">
        <v>887002</v>
      </c>
      <c r="D122" s="17" t="inlineStr">
        <is>
          <t>0.002820</t>
        </is>
      </c>
      <c r="E122" s="17" t="inlineStr">
        <is>
          <t>0.600 SOL</t>
        </is>
      </c>
      <c r="F122" s="17" t="inlineStr">
        <is>
          <t>0.047 SOL</t>
        </is>
      </c>
      <c r="G122" s="23" t="inlineStr">
        <is>
          <t>-0.556 SOL</t>
        </is>
      </c>
      <c r="H122" s="23" t="inlineStr">
        <is>
          <t>-92.23%</t>
        </is>
      </c>
      <c r="I122" s="17" t="inlineStr">
        <is>
          <t>N/A</t>
        </is>
      </c>
      <c r="J122" s="17" t="n">
        <v>2</v>
      </c>
      <c r="K122" s="17" t="n">
        <v>2</v>
      </c>
      <c r="L122" s="17" t="inlineStr">
        <is>
          <t>23.10.2024 07:13:57</t>
        </is>
      </c>
      <c r="M122" s="17" t="inlineStr">
        <is>
          <t>6 min</t>
        </is>
      </c>
      <c r="N122" s="17" t="inlineStr">
        <is>
          <t xml:space="preserve">        119K             9K             3K</t>
        </is>
      </c>
      <c r="O122" s="17" t="inlineStr">
        <is>
          <t>DyC9KmJpoSNtSfWrg1AVCsDi6UR1BRgCd7nmK5wRpump</t>
        </is>
      </c>
      <c r="P122" s="17">
        <f>HYPERLINK("https://dexscreener.com/solana/DyC9KmJpoSNtSfWrg1AVCsDi6UR1BRgCd7nmK5wRpump", "View")</f>
        <v/>
      </c>
    </row>
    <row r="123">
      <c r="A123" s="20" t="inlineStr">
        <is>
          <t>REYNA</t>
        </is>
      </c>
      <c r="B123" s="21" t="n">
        <v>457552</v>
      </c>
      <c r="C123" s="21" t="n">
        <v>457552</v>
      </c>
      <c r="D123" s="21" t="inlineStr">
        <is>
          <t>0.002820</t>
        </is>
      </c>
      <c r="E123" s="21" t="inlineStr">
        <is>
          <t>0.594 SOL</t>
        </is>
      </c>
      <c r="F123" s="21" t="inlineStr">
        <is>
          <t>0.109 SOL</t>
        </is>
      </c>
      <c r="G123" s="23" t="inlineStr">
        <is>
          <t>-0.488 SOL</t>
        </is>
      </c>
      <c r="H123" s="23" t="inlineStr">
        <is>
          <t>-81.80%</t>
        </is>
      </c>
      <c r="I123" s="21" t="inlineStr">
        <is>
          <t>N/A</t>
        </is>
      </c>
      <c r="J123" s="21" t="n">
        <v>2</v>
      </c>
      <c r="K123" s="21" t="n">
        <v>2</v>
      </c>
      <c r="L123" s="21" t="inlineStr">
        <is>
          <t>23.10.2024 06:52:41</t>
        </is>
      </c>
      <c r="M123" s="21" t="inlineStr">
        <is>
          <t>12 min</t>
        </is>
      </c>
      <c r="N123" s="21" t="inlineStr">
        <is>
          <t xml:space="preserve">        228K           228K             5K</t>
        </is>
      </c>
      <c r="O123" s="21" t="inlineStr">
        <is>
          <t>DuLuUb4QegcAEbDYgnuaz9BJhJFTfvDbJDdJ3q9Mpump</t>
        </is>
      </c>
      <c r="P123" s="21">
        <f>HYPERLINK("https://dexscreener.com/solana/DuLuUb4QegcAEbDYgnuaz9BJhJFTfvDbJDdJ3q9Mpump", "View")</f>
        <v/>
      </c>
    </row>
    <row r="124">
      <c r="A124" s="16" t="inlineStr">
        <is>
          <t>PFPAI</t>
        </is>
      </c>
      <c r="B124" s="17" t="n">
        <v>413459</v>
      </c>
      <c r="C124" s="17" t="n">
        <v>413459</v>
      </c>
      <c r="D124" s="17" t="inlineStr">
        <is>
          <t>0.002820</t>
        </is>
      </c>
      <c r="E124" s="17" t="inlineStr">
        <is>
          <t>0.594 SOL</t>
        </is>
      </c>
      <c r="F124" s="17" t="inlineStr">
        <is>
          <t>0.123 SOL</t>
        </is>
      </c>
      <c r="G124" s="23" t="inlineStr">
        <is>
          <t>-0.473 SOL</t>
        </is>
      </c>
      <c r="H124" s="23" t="inlineStr">
        <is>
          <t>-79.33%</t>
        </is>
      </c>
      <c r="I124" s="17" t="inlineStr">
        <is>
          <t>N/A</t>
        </is>
      </c>
      <c r="J124" s="17" t="n">
        <v>2</v>
      </c>
      <c r="K124" s="17" t="n">
        <v>2</v>
      </c>
      <c r="L124" s="17" t="inlineStr">
        <is>
          <t>23.10.2024 04:52:51</t>
        </is>
      </c>
      <c r="M124" s="17" t="inlineStr">
        <is>
          <t>1 min</t>
        </is>
      </c>
      <c r="N124" s="17" t="inlineStr">
        <is>
          <t xml:space="preserve">        253K            53K             4K</t>
        </is>
      </c>
      <c r="O124" s="17" t="inlineStr">
        <is>
          <t>G9iehSSjm4SVcT85s1DNmNiTyaAhHrenYiWSLfXopump</t>
        </is>
      </c>
      <c r="P124" s="17">
        <f>HYPERLINK("https://dexscreener.com/solana/G9iehSSjm4SVcT85s1DNmNiTyaAhHrenYiWSLfXopump", "View")</f>
        <v/>
      </c>
    </row>
    <row r="125">
      <c r="A125" s="20" t="inlineStr">
        <is>
          <t>HARAMBAI</t>
        </is>
      </c>
      <c r="B125" s="21" t="n">
        <v>2476910</v>
      </c>
      <c r="C125" s="21" t="n">
        <v>0</v>
      </c>
      <c r="D125" s="21" t="inlineStr">
        <is>
          <t>0.001410</t>
        </is>
      </c>
      <c r="E125" s="21" t="inlineStr">
        <is>
          <t>0.262 SOL</t>
        </is>
      </c>
      <c r="F125" s="21" t="inlineStr">
        <is>
          <t>0.000 SOL</t>
        </is>
      </c>
      <c r="G125" s="18" t="inlineStr">
        <is>
          <t>-0.263 SOL</t>
        </is>
      </c>
      <c r="H125" s="18" t="inlineStr">
        <is>
          <t>0.00%</t>
        </is>
      </c>
      <c r="I125" s="21" t="inlineStr">
        <is>
          <t>2,476,910</t>
        </is>
      </c>
      <c r="J125" s="21" t="n">
        <v>2</v>
      </c>
      <c r="K125" s="21" t="n">
        <v>0</v>
      </c>
      <c r="L125" s="21" t="inlineStr">
        <is>
          <t>23.10.2024 03:25:10</t>
        </is>
      </c>
      <c r="M125" s="19" t="inlineStr">
        <is>
          <t>0 sec</t>
        </is>
      </c>
      <c r="N125" s="21" t="inlineStr">
        <is>
          <t xml:space="preserve">         19K            19K             7K</t>
        </is>
      </c>
      <c r="O125" s="21" t="inlineStr">
        <is>
          <t>KviFcA9aXLXeY9rKYjp8h2KXUrZUYyaKkqLm6v2pump</t>
        </is>
      </c>
      <c r="P125" s="21">
        <f>HYPERLINK("https://photon-sol.tinyastro.io/en/lp/KviFcA9aXLXeY9rKYjp8h2KXUrZUYyaKkqLm6v2pump?handle=676050794bc1b1657a56b", "View")</f>
        <v/>
      </c>
    </row>
    <row r="126">
      <c r="A126" s="16" t="inlineStr">
        <is>
          <t>endAI</t>
        </is>
      </c>
      <c r="B126" s="17" t="n">
        <v>334557</v>
      </c>
      <c r="C126" s="17" t="n">
        <v>334557</v>
      </c>
      <c r="D126" s="17" t="inlineStr">
        <is>
          <t>0.002820</t>
        </is>
      </c>
      <c r="E126" s="17" t="inlineStr">
        <is>
          <t>0.400 SOL</t>
        </is>
      </c>
      <c r="F126" s="17" t="inlineStr">
        <is>
          <t>0.950 SOL</t>
        </is>
      </c>
      <c r="G126" s="24" t="inlineStr">
        <is>
          <t>0.547 SOL</t>
        </is>
      </c>
      <c r="H126" s="24" t="inlineStr">
        <is>
          <t>135.75%</t>
        </is>
      </c>
      <c r="I126" s="17" t="inlineStr">
        <is>
          <t>N/A</t>
        </is>
      </c>
      <c r="J126" s="17" t="n">
        <v>2</v>
      </c>
      <c r="K126" s="17" t="n">
        <v>2</v>
      </c>
      <c r="L126" s="17" t="inlineStr">
        <is>
          <t>23.10.2024 00:46:23</t>
        </is>
      </c>
      <c r="M126" s="17" t="inlineStr">
        <is>
          <t>2 days</t>
        </is>
      </c>
      <c r="N126" s="17" t="inlineStr">
        <is>
          <t xml:space="preserve">        211K           211K            19K</t>
        </is>
      </c>
      <c r="O126" s="17" t="inlineStr">
        <is>
          <t>CUsLQwd3wvcXxin2UyxcstTTaSmXvWXSo3E18G3Fpump</t>
        </is>
      </c>
      <c r="P126" s="17">
        <f>HYPERLINK("https://dexscreener.com/solana/CUsLQwd3wvcXxin2UyxcstTTaSmXvWXSo3E18G3Fpump", "View")</f>
        <v/>
      </c>
    </row>
    <row r="127">
      <c r="A127" s="20" t="inlineStr">
        <is>
          <t>Opus</t>
        </is>
      </c>
      <c r="B127" s="21" t="n">
        <v>580036</v>
      </c>
      <c r="C127" s="21" t="n">
        <v>0</v>
      </c>
      <c r="D127" s="21" t="inlineStr">
        <is>
          <t>0.001410</t>
        </is>
      </c>
      <c r="E127" s="21" t="inlineStr">
        <is>
          <t>0.594 SOL</t>
        </is>
      </c>
      <c r="F127" s="21" t="inlineStr">
        <is>
          <t>0.000 SOL</t>
        </is>
      </c>
      <c r="G127" s="18" t="inlineStr">
        <is>
          <t>-0.595 SOL</t>
        </is>
      </c>
      <c r="H127" s="18" t="inlineStr">
        <is>
          <t>0.00%</t>
        </is>
      </c>
      <c r="I127" s="21" t="inlineStr">
        <is>
          <t>580,036</t>
        </is>
      </c>
      <c r="J127" s="21" t="n">
        <v>2</v>
      </c>
      <c r="K127" s="21" t="n">
        <v>0</v>
      </c>
      <c r="L127" s="21" t="inlineStr">
        <is>
          <t>22.10.2024 14:22:32</t>
        </is>
      </c>
      <c r="M127" s="19" t="inlineStr">
        <is>
          <t>0 sec</t>
        </is>
      </c>
      <c r="N127" s="21" t="inlineStr">
        <is>
          <t xml:space="preserve">        179K           179K             5K</t>
        </is>
      </c>
      <c r="O127" s="21" t="inlineStr">
        <is>
          <t>we2uCiJ3PsjSLjcYPgdmTuJ7AfocnysF7U4sakwpump</t>
        </is>
      </c>
      <c r="P127" s="21">
        <f>HYPERLINK("https://dexscreener.com/solana/we2uCiJ3PsjSLjcYPgdmTuJ7AfocnysF7U4sakwpump", "View")</f>
        <v/>
      </c>
    </row>
    <row r="128">
      <c r="A128" s="16" t="inlineStr">
        <is>
          <t>DANK</t>
        </is>
      </c>
      <c r="B128" s="17" t="n">
        <v>214445</v>
      </c>
      <c r="C128" s="17" t="n">
        <v>214445</v>
      </c>
      <c r="D128" s="17" t="inlineStr">
        <is>
          <t>0.002820</t>
        </is>
      </c>
      <c r="E128" s="17" t="inlineStr">
        <is>
          <t>0.396 SOL</t>
        </is>
      </c>
      <c r="F128" s="17" t="inlineStr">
        <is>
          <t>0.016 SOL</t>
        </is>
      </c>
      <c r="G128" s="23" t="inlineStr">
        <is>
          <t>-0.382 SOL</t>
        </is>
      </c>
      <c r="H128" s="23" t="inlineStr">
        <is>
          <t>-95.87%</t>
        </is>
      </c>
      <c r="I128" s="17" t="inlineStr">
        <is>
          <t>N/A</t>
        </is>
      </c>
      <c r="J128" s="17" t="n">
        <v>2</v>
      </c>
      <c r="K128" s="17" t="n">
        <v>2</v>
      </c>
      <c r="L128" s="17" t="inlineStr">
        <is>
          <t>22.10.2024 12:41:37</t>
        </is>
      </c>
      <c r="M128" s="17" t="inlineStr">
        <is>
          <t>8 hours</t>
        </is>
      </c>
      <c r="N128" s="17" t="inlineStr">
        <is>
          <t xml:space="preserve">        325K           325K             4K</t>
        </is>
      </c>
      <c r="O128" s="17" t="inlineStr">
        <is>
          <t>6zY3btk8QZ6aikpkswnuqA3RQkVYGJBwrpb13HzDpump</t>
        </is>
      </c>
      <c r="P128" s="17">
        <f>HYPERLINK("https://dexscreener.com/solana/6zY3btk8QZ6aikpkswnuqA3RQkVYGJBwrpb13HzDpump", "View")</f>
        <v/>
      </c>
    </row>
    <row r="129">
      <c r="A129" s="20" t="inlineStr">
        <is>
          <t>GMTR</t>
        </is>
      </c>
      <c r="B129" s="21" t="n">
        <v>287293</v>
      </c>
      <c r="C129" s="21" t="n">
        <v>0</v>
      </c>
      <c r="D129" s="21" t="inlineStr">
        <is>
          <t>0.001410</t>
        </is>
      </c>
      <c r="E129" s="21" t="inlineStr">
        <is>
          <t>0.400 SOL</t>
        </is>
      </c>
      <c r="F129" s="21" t="inlineStr">
        <is>
          <t>0.000 SOL</t>
        </is>
      </c>
      <c r="G129" s="18" t="inlineStr">
        <is>
          <t>-0.401 SOL</t>
        </is>
      </c>
      <c r="H129" s="18" t="inlineStr">
        <is>
          <t>0.00%</t>
        </is>
      </c>
      <c r="I129" s="21" t="inlineStr">
        <is>
          <t>287,293</t>
        </is>
      </c>
      <c r="J129" s="21" t="n">
        <v>2</v>
      </c>
      <c r="K129" s="21" t="n">
        <v>0</v>
      </c>
      <c r="L129" s="21" t="inlineStr">
        <is>
          <t>22.10.2024 10:55:36</t>
        </is>
      </c>
      <c r="M129" s="19" t="inlineStr">
        <is>
          <t>0 sec</t>
        </is>
      </c>
      <c r="N129" s="21" t="inlineStr">
        <is>
          <t xml:space="preserve">        244K           244K            14K</t>
        </is>
      </c>
      <c r="O129" s="21" t="inlineStr">
        <is>
          <t>FAVwsjCnEvSDTCJXmvyeSBX3RrYH8dTYSyFQH9SApump</t>
        </is>
      </c>
      <c r="P129" s="21">
        <f>HYPERLINK("https://dexscreener.com/solana/FAVwsjCnEvSDTCJXmvyeSBX3RrYH8dTYSyFQH9SApump", "View")</f>
        <v/>
      </c>
    </row>
    <row r="130">
      <c r="A130" s="16" t="inlineStr">
        <is>
          <t>GMTR</t>
        </is>
      </c>
      <c r="B130" s="17" t="n">
        <v>368652</v>
      </c>
      <c r="C130" s="17" t="n">
        <v>0</v>
      </c>
      <c r="D130" s="17" t="inlineStr">
        <is>
          <t>0.001410</t>
        </is>
      </c>
      <c r="E130" s="17" t="inlineStr">
        <is>
          <t>0.400 SOL</t>
        </is>
      </c>
      <c r="F130" s="17" t="inlineStr">
        <is>
          <t>0.000 SOL</t>
        </is>
      </c>
      <c r="G130" s="18" t="inlineStr">
        <is>
          <t>-0.401 SOL</t>
        </is>
      </c>
      <c r="H130" s="18" t="inlineStr">
        <is>
          <t>0.00%</t>
        </is>
      </c>
      <c r="I130" s="17" t="inlineStr">
        <is>
          <t>368,652</t>
        </is>
      </c>
      <c r="J130" s="17" t="n">
        <v>2</v>
      </c>
      <c r="K130" s="17" t="n">
        <v>0</v>
      </c>
      <c r="L130" s="17" t="inlineStr">
        <is>
          <t>22.10.2024 10:22:29</t>
        </is>
      </c>
      <c r="M130" s="19" t="inlineStr">
        <is>
          <t>0 sec</t>
        </is>
      </c>
      <c r="N130" s="17" t="inlineStr">
        <is>
          <t xml:space="preserve">        191K           191K             6K</t>
        </is>
      </c>
      <c r="O130" s="17" t="inlineStr">
        <is>
          <t>DCh7xKpTMH9sNrEssMhPX9CPQeeXDyW6mvEmVy4Mpump</t>
        </is>
      </c>
      <c r="P130" s="17">
        <f>HYPERLINK("https://dexscreener.com/solana/DCh7xKpTMH9sNrEssMhPX9CPQeeXDyW6mvEmVy4Mpump", "View")</f>
        <v/>
      </c>
    </row>
    <row r="131">
      <c r="A131" s="20" t="inlineStr">
        <is>
          <t>TTT</t>
        </is>
      </c>
      <c r="B131" s="21" t="n">
        <v>933338</v>
      </c>
      <c r="C131" s="21" t="n">
        <v>233334</v>
      </c>
      <c r="D131" s="21" t="inlineStr">
        <is>
          <t>0.004230</t>
        </is>
      </c>
      <c r="E131" s="21" t="inlineStr">
        <is>
          <t>0.700 SOL</t>
        </is>
      </c>
      <c r="F131" s="21" t="inlineStr">
        <is>
          <t>3.942 SOL</t>
        </is>
      </c>
      <c r="G131" s="24" t="inlineStr">
        <is>
          <t>3.237 SOL</t>
        </is>
      </c>
      <c r="H131" s="24" t="inlineStr">
        <is>
          <t>459.70%</t>
        </is>
      </c>
      <c r="I131" s="21" t="inlineStr">
        <is>
          <t>N/A</t>
        </is>
      </c>
      <c r="J131" s="21" t="n">
        <v>4</v>
      </c>
      <c r="K131" s="21" t="n">
        <v>2</v>
      </c>
      <c r="L131" s="21" t="inlineStr">
        <is>
          <t>22.10.2024 07:25:51</t>
        </is>
      </c>
      <c r="M131" s="21" t="inlineStr">
        <is>
          <t>2 days</t>
        </is>
      </c>
      <c r="N131" s="21" t="inlineStr">
        <is>
          <t xml:space="preserve">         86K           218K            82K</t>
        </is>
      </c>
      <c r="O131" s="21" t="inlineStr">
        <is>
          <t>LBkz8mkiyhNeJspzs6rtFYrSc62j369kahEGuuNtYo5</t>
        </is>
      </c>
      <c r="P131" s="21">
        <f>HYPERLINK("https://dexscreener.com/solana/LBkz8mkiyhNeJspzs6rtFYrSc62j369kahEGuuNtYo5", "View")</f>
        <v/>
      </c>
    </row>
    <row r="132">
      <c r="A132" s="16" t="inlineStr">
        <is>
          <t>FIJI</t>
        </is>
      </c>
      <c r="B132" s="17" t="n">
        <v>251070</v>
      </c>
      <c r="C132" s="17" t="n">
        <v>219686</v>
      </c>
      <c r="D132" s="17" t="inlineStr">
        <is>
          <t>0.004230</t>
        </is>
      </c>
      <c r="E132" s="17" t="inlineStr">
        <is>
          <t>0.400 SOL</t>
        </is>
      </c>
      <c r="F132" s="17" t="inlineStr">
        <is>
          <t>0.188 SOL</t>
        </is>
      </c>
      <c r="G132" s="23" t="inlineStr">
        <is>
          <t>-0.217 SOL</t>
        </is>
      </c>
      <c r="H132" s="23" t="inlineStr">
        <is>
          <t>-53.60%</t>
        </is>
      </c>
      <c r="I132" s="17" t="inlineStr">
        <is>
          <t>N/A</t>
        </is>
      </c>
      <c r="J132" s="17" t="n">
        <v>2</v>
      </c>
      <c r="K132" s="17" t="n">
        <v>4</v>
      </c>
      <c r="L132" s="17" t="inlineStr">
        <is>
          <t>22.10.2024 05:45:36</t>
        </is>
      </c>
      <c r="M132" s="17" t="inlineStr">
        <is>
          <t>35 min</t>
        </is>
      </c>
      <c r="N132" s="17" t="inlineStr">
        <is>
          <t xml:space="preserve">        264K           138K             2M</t>
        </is>
      </c>
      <c r="O132" s="17" t="inlineStr">
        <is>
          <t>A9e6JzPQstmz94pMnzxgyV14QUqoULSXuf5FPsq8UiRa</t>
        </is>
      </c>
      <c r="P132" s="17">
        <f>HYPERLINK("https://dexscreener.com/solana/A9e6JzPQstmz94pMnzxgyV14QUqoULSXuf5FPsq8UiRa", "View")</f>
        <v/>
      </c>
    </row>
    <row r="133">
      <c r="A133" s="20" t="inlineStr">
        <is>
          <t>fun</t>
        </is>
      </c>
      <c r="B133" s="21" t="n">
        <v>267754</v>
      </c>
      <c r="C133" s="21" t="n">
        <v>200816</v>
      </c>
      <c r="D133" s="21" t="inlineStr">
        <is>
          <t>0.002820</t>
        </is>
      </c>
      <c r="E133" s="21" t="inlineStr">
        <is>
          <t>0.400 SOL</t>
        </is>
      </c>
      <c r="F133" s="21" t="inlineStr">
        <is>
          <t>11.824 SOL</t>
        </is>
      </c>
      <c r="G133" s="24" t="inlineStr">
        <is>
          <t>11.422 SOL</t>
        </is>
      </c>
      <c r="H133" s="24" t="inlineStr">
        <is>
          <t>2835.43%</t>
        </is>
      </c>
      <c r="I133" s="21" t="inlineStr">
        <is>
          <t>N/A</t>
        </is>
      </c>
      <c r="J133" s="21" t="n">
        <v>2</v>
      </c>
      <c r="K133" s="21" t="n">
        <v>2</v>
      </c>
      <c r="L133" s="21" t="inlineStr">
        <is>
          <t>22.10.2024 04:41:22</t>
        </is>
      </c>
      <c r="M133" s="21" t="inlineStr">
        <is>
          <t>3 hours</t>
        </is>
      </c>
      <c r="N133" s="21" t="inlineStr">
        <is>
          <t xml:space="preserve">        253K            10M           325K</t>
        </is>
      </c>
      <c r="O133" s="21" t="inlineStr">
        <is>
          <t>9MnKTgwFyXJgnZumHGT9NdHuzm98ACjkNwpLniLhpump</t>
        </is>
      </c>
      <c r="P133" s="21">
        <f>HYPERLINK("https://dexscreener.com/solana/9MnKTgwFyXJgnZumHGT9NdHuzm98ACjkNwpLniLhpump", "View")</f>
        <v/>
      </c>
    </row>
    <row r="134">
      <c r="A134" s="16" t="inlineStr">
        <is>
          <t>LEWD</t>
        </is>
      </c>
      <c r="B134" s="17" t="n">
        <v>1736195</v>
      </c>
      <c r="C134" s="17" t="n">
        <v>0</v>
      </c>
      <c r="D134" s="17" t="inlineStr">
        <is>
          <t>0.001410</t>
        </is>
      </c>
      <c r="E134" s="17" t="inlineStr">
        <is>
          <t>0.198 SOL</t>
        </is>
      </c>
      <c r="F134" s="17" t="inlineStr">
        <is>
          <t>0.000 SOL</t>
        </is>
      </c>
      <c r="G134" s="18" t="inlineStr">
        <is>
          <t>-0.199 SOL</t>
        </is>
      </c>
      <c r="H134" s="18" t="inlineStr">
        <is>
          <t>0.00%</t>
        </is>
      </c>
      <c r="I134" s="17" t="inlineStr">
        <is>
          <t>1,736,195</t>
        </is>
      </c>
      <c r="J134" s="17" t="n">
        <v>2</v>
      </c>
      <c r="K134" s="17" t="n">
        <v>0</v>
      </c>
      <c r="L134" s="17" t="inlineStr">
        <is>
          <t>22.10.2024 01:13:01</t>
        </is>
      </c>
      <c r="M134" s="19" t="inlineStr">
        <is>
          <t>0 sec</t>
        </is>
      </c>
      <c r="N134" s="17" t="inlineStr">
        <is>
          <t xml:space="preserve">         19K            19K             5K</t>
        </is>
      </c>
      <c r="O134" s="17" t="inlineStr">
        <is>
          <t>FiEJeVw6MJToGkN6KVktYzMvX1zQS9H6RtV15ARdpump</t>
        </is>
      </c>
      <c r="P134" s="17">
        <f>HYPERLINK("https://dexscreener.com/solana/FiEJeVw6MJToGkN6KVktYzMvX1zQS9H6RtV15ARdpump", "View")</f>
        <v/>
      </c>
    </row>
    <row r="135">
      <c r="A135" s="20" t="inlineStr">
        <is>
          <t>Ruri</t>
        </is>
      </c>
      <c r="B135" s="21" t="n">
        <v>477118</v>
      </c>
      <c r="C135" s="21" t="n">
        <v>0</v>
      </c>
      <c r="D135" s="21" t="inlineStr">
        <is>
          <t>0.001410</t>
        </is>
      </c>
      <c r="E135" s="21" t="inlineStr">
        <is>
          <t>0.198 SOL</t>
        </is>
      </c>
      <c r="F135" s="21" t="inlineStr">
        <is>
          <t>0.000 SOL</t>
        </is>
      </c>
      <c r="G135" s="18" t="inlineStr">
        <is>
          <t>-0.199 SOL</t>
        </is>
      </c>
      <c r="H135" s="18" t="inlineStr">
        <is>
          <t>0.00%</t>
        </is>
      </c>
      <c r="I135" s="21" t="inlineStr">
        <is>
          <t>477,118</t>
        </is>
      </c>
      <c r="J135" s="21" t="n">
        <v>2</v>
      </c>
      <c r="K135" s="21" t="n">
        <v>0</v>
      </c>
      <c r="L135" s="21" t="inlineStr">
        <is>
          <t>22.10.2024 01:05:26</t>
        </is>
      </c>
      <c r="M135" s="19" t="inlineStr">
        <is>
          <t>0 sec</t>
        </is>
      </c>
      <c r="N135" s="21" t="inlineStr">
        <is>
          <t xml:space="preserve">         72K            72K            28K</t>
        </is>
      </c>
      <c r="O135" s="21" t="inlineStr">
        <is>
          <t>7q9koN6yzdiP3b5noPMN4V3LVVkh1msBAzHHiVCppump</t>
        </is>
      </c>
      <c r="P135" s="21">
        <f>HYPERLINK("https://dexscreener.com/solana/7q9koN6yzdiP3b5noPMN4V3LVVkh1msBAzHHiVCppump", "View")</f>
        <v/>
      </c>
    </row>
    <row r="136">
      <c r="A136" s="16" t="inlineStr">
        <is>
          <t>MDOG</t>
        </is>
      </c>
      <c r="B136" s="17" t="n">
        <v>513932</v>
      </c>
      <c r="C136" s="17" t="n">
        <v>0</v>
      </c>
      <c r="D136" s="17" t="inlineStr">
        <is>
          <t>0.001410</t>
        </is>
      </c>
      <c r="E136" s="17" t="inlineStr">
        <is>
          <t>0.396 SOL</t>
        </is>
      </c>
      <c r="F136" s="17" t="inlineStr">
        <is>
          <t>0.000 SOL</t>
        </is>
      </c>
      <c r="G136" s="18" t="inlineStr">
        <is>
          <t>-0.397 SOL</t>
        </is>
      </c>
      <c r="H136" s="18" t="inlineStr">
        <is>
          <t>0.00%</t>
        </is>
      </c>
      <c r="I136" s="17" t="inlineStr">
        <is>
          <t>513,932</t>
        </is>
      </c>
      <c r="J136" s="17" t="n">
        <v>2</v>
      </c>
      <c r="K136" s="17" t="n">
        <v>0</v>
      </c>
      <c r="L136" s="17" t="inlineStr">
        <is>
          <t>22.10.2024 00:16:21</t>
        </is>
      </c>
      <c r="M136" s="19" t="inlineStr">
        <is>
          <t>0 sec</t>
        </is>
      </c>
      <c r="N136" s="17" t="inlineStr">
        <is>
          <t xml:space="preserve">        135K           135K             5K</t>
        </is>
      </c>
      <c r="O136" s="17" t="inlineStr">
        <is>
          <t>wpxTGswisVp6q33Rfnt39A7q7R6NzV523pXRpA9pump</t>
        </is>
      </c>
      <c r="P136" s="17">
        <f>HYPERLINK("https://dexscreener.com/solana/wpxTGswisVp6q33Rfnt39A7q7R6NzV523pXRpA9pump", "View")</f>
        <v/>
      </c>
    </row>
    <row r="137">
      <c r="A137" s="20" t="inlineStr">
        <is>
          <t>✨</t>
        </is>
      </c>
      <c r="B137" s="21" t="n">
        <v>2075077</v>
      </c>
      <c r="C137" s="21" t="n">
        <v>0</v>
      </c>
      <c r="D137" s="21" t="inlineStr">
        <is>
          <t>0.001410</t>
        </is>
      </c>
      <c r="E137" s="21" t="inlineStr">
        <is>
          <t>0.198 SOL</t>
        </is>
      </c>
      <c r="F137" s="21" t="inlineStr">
        <is>
          <t>0.000 SOL</t>
        </is>
      </c>
      <c r="G137" s="18" t="inlineStr">
        <is>
          <t>-0.199 SOL</t>
        </is>
      </c>
      <c r="H137" s="18" t="inlineStr">
        <is>
          <t>0.00%</t>
        </is>
      </c>
      <c r="I137" s="21" t="inlineStr">
        <is>
          <t>2,075,077</t>
        </is>
      </c>
      <c r="J137" s="21" t="n">
        <v>2</v>
      </c>
      <c r="K137" s="21" t="n">
        <v>0</v>
      </c>
      <c r="L137" s="21" t="inlineStr">
        <is>
          <t>21.10.2024 14:38:46</t>
        </is>
      </c>
      <c r="M137" s="19" t="inlineStr">
        <is>
          <t>0 sec</t>
        </is>
      </c>
      <c r="N137" s="21" t="inlineStr">
        <is>
          <t xml:space="preserve">         18K            18K             5K</t>
        </is>
      </c>
      <c r="O137" s="21" t="inlineStr">
        <is>
          <t>8KapfTcDKMMCN1xujKvDFPA4QSbRci9nSkpyYxoMpump</t>
        </is>
      </c>
      <c r="P137" s="21">
        <f>HYPERLINK("https://dexscreener.com/solana/8KapfTcDKMMCN1xujKvDFPA4QSbRci9nSkpyYxoMpump", "View")</f>
        <v/>
      </c>
    </row>
    <row r="138">
      <c r="A138" s="16" t="inlineStr">
        <is>
          <t>Slopo</t>
        </is>
      </c>
      <c r="B138" s="17" t="n">
        <v>3507858</v>
      </c>
      <c r="C138" s="17" t="n">
        <v>0</v>
      </c>
      <c r="D138" s="17" t="inlineStr">
        <is>
          <t>0.001410</t>
        </is>
      </c>
      <c r="E138" s="17" t="inlineStr">
        <is>
          <t>0.396 SOL</t>
        </is>
      </c>
      <c r="F138" s="17" t="inlineStr">
        <is>
          <t>0.000 SOL</t>
        </is>
      </c>
      <c r="G138" s="18" t="inlineStr">
        <is>
          <t>-0.397 SOL</t>
        </is>
      </c>
      <c r="H138" s="18" t="inlineStr">
        <is>
          <t>0.00%</t>
        </is>
      </c>
      <c r="I138" s="17" t="inlineStr">
        <is>
          <t>3,507,858</t>
        </is>
      </c>
      <c r="J138" s="17" t="n">
        <v>2</v>
      </c>
      <c r="K138" s="17" t="n">
        <v>0</v>
      </c>
      <c r="L138" s="17" t="inlineStr">
        <is>
          <t>21.10.2024 12:30:48</t>
        </is>
      </c>
      <c r="M138" s="19" t="inlineStr">
        <is>
          <t>0 sec</t>
        </is>
      </c>
      <c r="N138" s="17" t="inlineStr">
        <is>
          <t xml:space="preserve">         19K            19K             5K</t>
        </is>
      </c>
      <c r="O138" s="17" t="inlineStr">
        <is>
          <t>HTK8TMTEKuWVQTQXpk4cAzhz19bzwh57rBtMqv8upump</t>
        </is>
      </c>
      <c r="P138" s="17">
        <f>HYPERLINK("https://dexscreener.com/solana/HTK8TMTEKuWVQTQXpk4cAzhz19bzwh57rBtMqv8upump", "View")</f>
        <v/>
      </c>
    </row>
    <row r="139">
      <c r="A139" s="20" t="inlineStr">
        <is>
          <t>SLOM</t>
        </is>
      </c>
      <c r="B139" s="21" t="n">
        <v>987378</v>
      </c>
      <c r="C139" s="21" t="n">
        <v>0</v>
      </c>
      <c r="D139" s="21" t="inlineStr">
        <is>
          <t>0.001410</t>
        </is>
      </c>
      <c r="E139" s="21" t="inlineStr">
        <is>
          <t>0.396 SOL</t>
        </is>
      </c>
      <c r="F139" s="21" t="inlineStr">
        <is>
          <t>0.000 SOL</t>
        </is>
      </c>
      <c r="G139" s="18" t="inlineStr">
        <is>
          <t>-0.397 SOL</t>
        </is>
      </c>
      <c r="H139" s="18" t="inlineStr">
        <is>
          <t>0.00%</t>
        </is>
      </c>
      <c r="I139" s="21" t="inlineStr">
        <is>
          <t>987,378</t>
        </is>
      </c>
      <c r="J139" s="21" t="n">
        <v>2</v>
      </c>
      <c r="K139" s="21" t="n">
        <v>0</v>
      </c>
      <c r="L139" s="21" t="inlineStr">
        <is>
          <t>21.10.2024 12:06:58</t>
        </is>
      </c>
      <c r="M139" s="19" t="inlineStr">
        <is>
          <t>0 sec</t>
        </is>
      </c>
      <c r="N139" s="21" t="inlineStr">
        <is>
          <t xml:space="preserve">         70K            70K             9K</t>
        </is>
      </c>
      <c r="O139" s="21" t="inlineStr">
        <is>
          <t>5Uzw4pxZuHfrcMsrZgkjMeyk7WGnj6gFwn1bGqitpump</t>
        </is>
      </c>
      <c r="P139" s="21">
        <f>HYPERLINK("https://dexscreener.com/solana/5Uzw4pxZuHfrcMsrZgkjMeyk7WGnj6gFwn1bGqitpump", "View")</f>
        <v/>
      </c>
    </row>
    <row r="140">
      <c r="A140" s="16" t="inlineStr">
        <is>
          <t>NexCoin</t>
        </is>
      </c>
      <c r="B140" s="17" t="n">
        <v>2408118</v>
      </c>
      <c r="C140" s="17" t="n">
        <v>0</v>
      </c>
      <c r="D140" s="17" t="inlineStr">
        <is>
          <t>0.001410</t>
        </is>
      </c>
      <c r="E140" s="17" t="inlineStr">
        <is>
          <t>0.099 SOL</t>
        </is>
      </c>
      <c r="F140" s="17" t="inlineStr">
        <is>
          <t>0.000 SOL</t>
        </is>
      </c>
      <c r="G140" s="18" t="inlineStr">
        <is>
          <t>-0.100 SOL</t>
        </is>
      </c>
      <c r="H140" s="18" t="inlineStr">
        <is>
          <t>0.00%</t>
        </is>
      </c>
      <c r="I140" s="17" t="inlineStr">
        <is>
          <t>2,408,118</t>
        </is>
      </c>
      <c r="J140" s="17" t="n">
        <v>2</v>
      </c>
      <c r="K140" s="17" t="n">
        <v>0</v>
      </c>
      <c r="L140" s="17" t="inlineStr">
        <is>
          <t>21.10.2024 09:00:15</t>
        </is>
      </c>
      <c r="M140" s="19" t="inlineStr">
        <is>
          <t>0 sec</t>
        </is>
      </c>
      <c r="N140" s="17" t="inlineStr">
        <is>
          <t xml:space="preserve">          7K             7K             5K</t>
        </is>
      </c>
      <c r="O140" s="17" t="inlineStr">
        <is>
          <t>FApzaVYXjGqibTvzJKGhSNscQDFYH3JDnRpcpAfypump</t>
        </is>
      </c>
      <c r="P140" s="17">
        <f>HYPERLINK("https://dexscreener.com/solana/FApzaVYXjGqibTvzJKGhSNscQDFYH3JDnRpcpAfypump", "View")</f>
        <v/>
      </c>
    </row>
    <row r="141">
      <c r="A141" s="20" t="inlineStr">
        <is>
          <t>exo</t>
        </is>
      </c>
      <c r="B141" s="21" t="n">
        <v>1879910</v>
      </c>
      <c r="C141" s="21" t="n">
        <v>0</v>
      </c>
      <c r="D141" s="21" t="inlineStr">
        <is>
          <t>0.001410</t>
        </is>
      </c>
      <c r="E141" s="21" t="inlineStr">
        <is>
          <t>0.198 SOL</t>
        </is>
      </c>
      <c r="F141" s="21" t="inlineStr">
        <is>
          <t>0.000 SOL</t>
        </is>
      </c>
      <c r="G141" s="18" t="inlineStr">
        <is>
          <t>-0.199 SOL</t>
        </is>
      </c>
      <c r="H141" s="18" t="inlineStr">
        <is>
          <t>0.00%</t>
        </is>
      </c>
      <c r="I141" s="21" t="inlineStr">
        <is>
          <t>1,879,910</t>
        </is>
      </c>
      <c r="J141" s="21" t="n">
        <v>2</v>
      </c>
      <c r="K141" s="21" t="n">
        <v>0</v>
      </c>
      <c r="L141" s="21" t="inlineStr">
        <is>
          <t>21.10.2024 08:34:26</t>
        </is>
      </c>
      <c r="M141" s="19" t="inlineStr">
        <is>
          <t>0 sec</t>
        </is>
      </c>
      <c r="N141" s="21" t="inlineStr">
        <is>
          <t xml:space="preserve">         19K            19K            25K</t>
        </is>
      </c>
      <c r="O141" s="21" t="inlineStr">
        <is>
          <t>26LDHcthoC5jeQtYJFyRJ14yFVYqwsrMDznAUhWepump</t>
        </is>
      </c>
      <c r="P141" s="21">
        <f>HYPERLINK("https://dexscreener.com/solana/26LDHcthoC5jeQtYJFyRJ14yFVYqwsrMDznAUhWepump", "View")</f>
        <v/>
      </c>
    </row>
    <row r="142">
      <c r="A142" s="16" t="inlineStr">
        <is>
          <t>GLIFY</t>
        </is>
      </c>
      <c r="B142" s="17" t="n">
        <v>1542967</v>
      </c>
      <c r="C142" s="17" t="n">
        <v>1542967</v>
      </c>
      <c r="D142" s="17" t="inlineStr">
        <is>
          <t>0.005640</t>
        </is>
      </c>
      <c r="E142" s="17" t="inlineStr">
        <is>
          <t>0.800 SOL</t>
        </is>
      </c>
      <c r="F142" s="17" t="inlineStr">
        <is>
          <t>0.910 SOL</t>
        </is>
      </c>
      <c r="G142" s="22" t="inlineStr">
        <is>
          <t>0.105 SOL</t>
        </is>
      </c>
      <c r="H142" s="22" t="inlineStr">
        <is>
          <t>13.00%</t>
        </is>
      </c>
      <c r="I142" s="17" t="inlineStr">
        <is>
          <t>N/A</t>
        </is>
      </c>
      <c r="J142" s="17" t="n">
        <v>4</v>
      </c>
      <c r="K142" s="17" t="n">
        <v>4</v>
      </c>
      <c r="L142" s="17" t="inlineStr">
        <is>
          <t>21.10.2024 05:18:59</t>
        </is>
      </c>
      <c r="M142" s="17" t="inlineStr">
        <is>
          <t>19 min</t>
        </is>
      </c>
      <c r="N142" s="17" t="inlineStr">
        <is>
          <t xml:space="preserve">         77K            90K             5K</t>
        </is>
      </c>
      <c r="O142" s="17" t="inlineStr">
        <is>
          <t>5qXSRVe9RG7U39DbAtKSM7Jq6zfaD9Me1mupfbGmpump</t>
        </is>
      </c>
      <c r="P142" s="17">
        <f>HYPERLINK("https://dexscreener.com/solana/5qXSRVe9RG7U39DbAtKSM7Jq6zfaD9Me1mupfbGmpump", "View")</f>
        <v/>
      </c>
    </row>
    <row r="143">
      <c r="A143" s="20" t="inlineStr">
        <is>
          <t>AICAT</t>
        </is>
      </c>
      <c r="B143" s="21" t="n">
        <v>3352867</v>
      </c>
      <c r="C143" s="21" t="n">
        <v>0</v>
      </c>
      <c r="D143" s="21" t="inlineStr">
        <is>
          <t>0.001410</t>
        </is>
      </c>
      <c r="E143" s="21" t="inlineStr">
        <is>
          <t>0.396 SOL</t>
        </is>
      </c>
      <c r="F143" s="21" t="inlineStr">
        <is>
          <t>0.000 SOL</t>
        </is>
      </c>
      <c r="G143" s="18" t="inlineStr">
        <is>
          <t>-0.397 SOL</t>
        </is>
      </c>
      <c r="H143" s="18" t="inlineStr">
        <is>
          <t>0.00%</t>
        </is>
      </c>
      <c r="I143" s="21" t="inlineStr">
        <is>
          <t>3,352,867</t>
        </is>
      </c>
      <c r="J143" s="21" t="n">
        <v>2</v>
      </c>
      <c r="K143" s="21" t="n">
        <v>0</v>
      </c>
      <c r="L143" s="21" t="inlineStr">
        <is>
          <t>21.10.2024 04:44:03</t>
        </is>
      </c>
      <c r="M143" s="19" t="inlineStr">
        <is>
          <t>0 sec</t>
        </is>
      </c>
      <c r="N143" s="21" t="inlineStr">
        <is>
          <t xml:space="preserve">         21K            21K            12K</t>
        </is>
      </c>
      <c r="O143" s="21" t="inlineStr">
        <is>
          <t>FX7RsVm1y59Cr166Eb4VteRzAdTY9idPWtcN15j4pump</t>
        </is>
      </c>
      <c r="P143" s="21">
        <f>HYPERLINK("https://dexscreener.com/solana/FX7RsVm1y59Cr166Eb4VteRzAdTY9idPWtcN15j4pump", "View")</f>
        <v/>
      </c>
    </row>
    <row r="144">
      <c r="A144" s="16" t="inlineStr">
        <is>
          <t>CfAR</t>
        </is>
      </c>
      <c r="B144" s="17" t="n">
        <v>1414010</v>
      </c>
      <c r="C144" s="17" t="n">
        <v>1414010</v>
      </c>
      <c r="D144" s="17" t="inlineStr">
        <is>
          <t>0.002820</t>
        </is>
      </c>
      <c r="E144" s="17" t="inlineStr">
        <is>
          <t>0.400 SOL</t>
        </is>
      </c>
      <c r="F144" s="17" t="inlineStr">
        <is>
          <t>0.181 SOL</t>
        </is>
      </c>
      <c r="G144" s="23" t="inlineStr">
        <is>
          <t>-0.222 SOL</t>
        </is>
      </c>
      <c r="H144" s="23" t="inlineStr">
        <is>
          <t>-55.13%</t>
        </is>
      </c>
      <c r="I144" s="17" t="inlineStr">
        <is>
          <t>N/A</t>
        </is>
      </c>
      <c r="J144" s="17" t="n">
        <v>2</v>
      </c>
      <c r="K144" s="17" t="n">
        <v>2</v>
      </c>
      <c r="L144" s="17" t="inlineStr">
        <is>
          <t>20.10.2024 15:39:52</t>
        </is>
      </c>
      <c r="M144" s="17" t="inlineStr">
        <is>
          <t>8 hours</t>
        </is>
      </c>
      <c r="N144" s="17" t="inlineStr">
        <is>
          <t xml:space="preserve">         49K            23K             5K</t>
        </is>
      </c>
      <c r="O144" s="17" t="inlineStr">
        <is>
          <t>5VrJTBsjpmeGaQaf6EYewARFYVzF1ZCYmxoLf7RPpump</t>
        </is>
      </c>
      <c r="P144" s="17">
        <f>HYPERLINK("https://dexscreener.com/solana/5VrJTBsjpmeGaQaf6EYewARFYVzF1ZCYmxoLf7RPpump", "View")</f>
        <v/>
      </c>
    </row>
    <row r="145">
      <c r="A145" s="20" t="inlineStr">
        <is>
          <t>NOSM</t>
        </is>
      </c>
      <c r="B145" s="21" t="n">
        <v>960039</v>
      </c>
      <c r="C145" s="21" t="n">
        <v>960039</v>
      </c>
      <c r="D145" s="21" t="inlineStr">
        <is>
          <t>0.002820</t>
        </is>
      </c>
      <c r="E145" s="21" t="inlineStr">
        <is>
          <t>0.222 SOL</t>
        </is>
      </c>
      <c r="F145" s="21" t="inlineStr">
        <is>
          <t>0.089 SOL</t>
        </is>
      </c>
      <c r="G145" s="23" t="inlineStr">
        <is>
          <t>-0.135 SOL</t>
        </is>
      </c>
      <c r="H145" s="23" t="inlineStr">
        <is>
          <t>-60.22%</t>
        </is>
      </c>
      <c r="I145" s="21" t="inlineStr">
        <is>
          <t>N/A</t>
        </is>
      </c>
      <c r="J145" s="21" t="n">
        <v>2</v>
      </c>
      <c r="K145" s="21" t="n">
        <v>2</v>
      </c>
      <c r="L145" s="21" t="inlineStr">
        <is>
          <t>20.10.2024 14:36:17</t>
        </is>
      </c>
      <c r="M145" s="21" t="inlineStr">
        <is>
          <t>8 hours</t>
        </is>
      </c>
      <c r="N145" s="21" t="inlineStr">
        <is>
          <t xml:space="preserve">         40K            16K             7K</t>
        </is>
      </c>
      <c r="O145" s="21" t="inlineStr">
        <is>
          <t>Jq27m8AfBJ5gyuzpZqtjfQAgDFUwD8CVAH9dS9hpump</t>
        </is>
      </c>
      <c r="P145" s="21">
        <f>HYPERLINK("https://photon-sol.tinyastro.io/en/lp/Jq27m8AfBJ5gyuzpZqtjfQAgDFUwD8CVAH9dS9hpump?handle=676050794bc1b1657a56b", "View")</f>
        <v/>
      </c>
    </row>
    <row r="146">
      <c r="A146" s="16" t="inlineStr">
        <is>
          <t>JANUS</t>
        </is>
      </c>
      <c r="B146" s="17" t="n">
        <v>2207771</v>
      </c>
      <c r="C146" s="17" t="n">
        <v>2207771</v>
      </c>
      <c r="D146" s="17" t="inlineStr">
        <is>
          <t>0.002820</t>
        </is>
      </c>
      <c r="E146" s="17" t="inlineStr">
        <is>
          <t>0.099 SOL</t>
        </is>
      </c>
      <c r="F146" s="17" t="inlineStr">
        <is>
          <t>0.061 SOL</t>
        </is>
      </c>
      <c r="G146" s="25" t="inlineStr">
        <is>
          <t>-0.041 SOL</t>
        </is>
      </c>
      <c r="H146" s="25" t="inlineStr">
        <is>
          <t>-40.00%</t>
        </is>
      </c>
      <c r="I146" s="17" t="inlineStr">
        <is>
          <t>N/A</t>
        </is>
      </c>
      <c r="J146" s="17" t="n">
        <v>2</v>
      </c>
      <c r="K146" s="17" t="n">
        <v>2</v>
      </c>
      <c r="L146" s="17" t="inlineStr">
        <is>
          <t>20.10.2024 06:47:01</t>
        </is>
      </c>
      <c r="M146" s="17" t="inlineStr">
        <is>
          <t>17 hours</t>
        </is>
      </c>
      <c r="N146" s="17" t="inlineStr">
        <is>
          <t xml:space="preserve">          7K             7K             4K</t>
        </is>
      </c>
      <c r="O146" s="17" t="inlineStr">
        <is>
          <t>8joRyg6QjWq83ZtGY25A3bpcMAgtyEcKY4iNPusCpump</t>
        </is>
      </c>
      <c r="P146" s="17">
        <f>HYPERLINK("https://dexscreener.com/solana/8joRyg6QjWq83ZtGY25A3bpcMAgtyEcKY4iNPusCpump", "View")</f>
        <v/>
      </c>
    </row>
    <row r="147">
      <c r="A147" s="20" t="inlineStr">
        <is>
          <t>Samantha</t>
        </is>
      </c>
      <c r="B147" s="21" t="n">
        <v>1924687</v>
      </c>
      <c r="C147" s="21" t="n">
        <v>0</v>
      </c>
      <c r="D147" s="21" t="inlineStr">
        <is>
          <t>0.001410</t>
        </is>
      </c>
      <c r="E147" s="21" t="inlineStr">
        <is>
          <t>0.099 SOL</t>
        </is>
      </c>
      <c r="F147" s="21" t="inlineStr">
        <is>
          <t>0.000 SOL</t>
        </is>
      </c>
      <c r="G147" s="18" t="inlineStr">
        <is>
          <t>-0.100 SOL</t>
        </is>
      </c>
      <c r="H147" s="18" t="inlineStr">
        <is>
          <t>0.00%</t>
        </is>
      </c>
      <c r="I147" s="21" t="inlineStr">
        <is>
          <t>1,924,687</t>
        </is>
      </c>
      <c r="J147" s="21" t="n">
        <v>2</v>
      </c>
      <c r="K147" s="21" t="n">
        <v>0</v>
      </c>
      <c r="L147" s="21" t="inlineStr">
        <is>
          <t>20.10.2024 06:11:25</t>
        </is>
      </c>
      <c r="M147" s="19" t="inlineStr">
        <is>
          <t>0 sec</t>
        </is>
      </c>
      <c r="N147" s="21" t="inlineStr">
        <is>
          <t xml:space="preserve">          9K             9K             4K</t>
        </is>
      </c>
      <c r="O147" s="21" t="inlineStr">
        <is>
          <t>BWaMsm4AaCEpMXV9iQsyZtwRemVBty5z4HS8oxbApump</t>
        </is>
      </c>
      <c r="P147" s="21">
        <f>HYPERLINK("https://dexscreener.com/solana/BWaMsm4AaCEpMXV9iQsyZtwRemVBty5z4HS8oxbApump", "View")</f>
        <v/>
      </c>
    </row>
    <row r="148">
      <c r="A148" s="16" t="inlineStr">
        <is>
          <t>ECHO</t>
        </is>
      </c>
      <c r="B148" s="17" t="n">
        <v>165007</v>
      </c>
      <c r="C148" s="17" t="n">
        <v>0</v>
      </c>
      <c r="D148" s="17" t="inlineStr">
        <is>
          <t>0.001410</t>
        </is>
      </c>
      <c r="E148" s="17" t="inlineStr">
        <is>
          <t>0.400 SOL</t>
        </is>
      </c>
      <c r="F148" s="17" t="inlineStr">
        <is>
          <t>0.000 SOL</t>
        </is>
      </c>
      <c r="G148" s="18" t="inlineStr">
        <is>
          <t>-0.401 SOL</t>
        </is>
      </c>
      <c r="H148" s="18" t="inlineStr">
        <is>
          <t>0.00%</t>
        </is>
      </c>
      <c r="I148" s="17" t="inlineStr">
        <is>
          <t>165,007</t>
        </is>
      </c>
      <c r="J148" s="17" t="n">
        <v>2</v>
      </c>
      <c r="K148" s="17" t="n">
        <v>0</v>
      </c>
      <c r="L148" s="17" t="inlineStr">
        <is>
          <t>20.10.2024 04:37:02</t>
        </is>
      </c>
      <c r="M148" s="19" t="inlineStr">
        <is>
          <t>0 sec</t>
        </is>
      </c>
      <c r="N148" s="17" t="inlineStr">
        <is>
          <t xml:space="preserve">        383K           383K             9K</t>
        </is>
      </c>
      <c r="O148" s="17" t="inlineStr">
        <is>
          <t>A1VW4WZVQxBvwyxMXdaXp3vYez9ULfFBiTHCVLHapump</t>
        </is>
      </c>
      <c r="P148" s="17">
        <f>HYPERLINK("https://dexscreener.com/solana/A1VW4WZVQxBvwyxMXdaXp3vYez9ULfFBiTHCVLHapump", "View")</f>
        <v/>
      </c>
    </row>
    <row r="149">
      <c r="A149" s="20" t="inlineStr">
        <is>
          <t>ACT</t>
        </is>
      </c>
      <c r="B149" s="21" t="n">
        <v>14886</v>
      </c>
      <c r="C149" s="21" t="n">
        <v>9304</v>
      </c>
      <c r="D149" s="21" t="inlineStr">
        <is>
          <t>0.004230</t>
        </is>
      </c>
      <c r="E149" s="21" t="inlineStr">
        <is>
          <t>0.200 SOL</t>
        </is>
      </c>
      <c r="F149" s="21" t="inlineStr">
        <is>
          <t>1.913 SOL</t>
        </is>
      </c>
      <c r="G149" s="24" t="inlineStr">
        <is>
          <t>1.709 SOL</t>
        </is>
      </c>
      <c r="H149" s="24" t="inlineStr">
        <is>
          <t>836.84%</t>
        </is>
      </c>
      <c r="I149" s="21" t="inlineStr">
        <is>
          <t>N/A</t>
        </is>
      </c>
      <c r="J149" s="21" t="n">
        <v>2</v>
      </c>
      <c r="K149" s="21" t="n">
        <v>4</v>
      </c>
      <c r="L149" s="21" t="inlineStr">
        <is>
          <t>19.10.2024 15:26:33</t>
        </is>
      </c>
      <c r="M149" s="21" t="inlineStr">
        <is>
          <t>3 hours</t>
        </is>
      </c>
      <c r="N149" s="21" t="inlineStr">
        <is>
          <t xml:space="preserve">          2M            36M            35M</t>
        </is>
      </c>
      <c r="O149" s="21" t="inlineStr">
        <is>
          <t>GJAFwWjJ3vnTsrQVabjBVK2TYB1YtRCQXRDfDgUnpump</t>
        </is>
      </c>
      <c r="P149" s="21">
        <f>HYPERLINK("https://dexscreener.com/solana/GJAFwWjJ3vnTsrQVabjBVK2TYB1YtRCQXRDfDgUnpump", "View")</f>
        <v/>
      </c>
    </row>
    <row r="150">
      <c r="A150" s="16" t="inlineStr">
        <is>
          <t>MENA</t>
        </is>
      </c>
      <c r="B150" s="17" t="n">
        <v>187041</v>
      </c>
      <c r="C150" s="17" t="n">
        <v>65394</v>
      </c>
      <c r="D150" s="17" t="inlineStr">
        <is>
          <t>0.004230</t>
        </is>
      </c>
      <c r="E150" s="17" t="inlineStr">
        <is>
          <t>0.500 SOL</t>
        </is>
      </c>
      <c r="F150" s="17" t="inlineStr">
        <is>
          <t>0.226 SOL</t>
        </is>
      </c>
      <c r="G150" s="23" t="inlineStr">
        <is>
          <t>-0.279 SOL</t>
        </is>
      </c>
      <c r="H150" s="23" t="inlineStr">
        <is>
          <t>-55.26%</t>
        </is>
      </c>
      <c r="I150" s="17" t="inlineStr">
        <is>
          <t>N/A</t>
        </is>
      </c>
      <c r="J150" s="17" t="n">
        <v>4</v>
      </c>
      <c r="K150" s="17" t="n">
        <v>2</v>
      </c>
      <c r="L150" s="17" t="inlineStr">
        <is>
          <t>19.10.2024 15:26:00</t>
        </is>
      </c>
      <c r="M150" s="17" t="inlineStr">
        <is>
          <t>42 min</t>
        </is>
      </c>
      <c r="N150" s="17" t="inlineStr">
        <is>
          <t xml:space="preserve">        402K           625K            14K</t>
        </is>
      </c>
      <c r="O150" s="17" t="inlineStr">
        <is>
          <t>4ytpWfVCpJ2nSjahbioPkejnLVBsc7FGZi2hCojppump</t>
        </is>
      </c>
      <c r="P150" s="17">
        <f>HYPERLINK("https://dexscreener.com/solana/4ytpWfVCpJ2nSjahbioPkejnLVBsc7FGZi2hCojppump", "View")</f>
        <v/>
      </c>
    </row>
    <row r="151">
      <c r="A151" s="20" t="inlineStr">
        <is>
          <t>a/alt</t>
        </is>
      </c>
      <c r="B151" s="21" t="n">
        <v>1619350</v>
      </c>
      <c r="C151" s="21" t="n">
        <v>0</v>
      </c>
      <c r="D151" s="21" t="inlineStr">
        <is>
          <t>0.001410</t>
        </is>
      </c>
      <c r="E151" s="21" t="inlineStr">
        <is>
          <t>0.297 SOL</t>
        </is>
      </c>
      <c r="F151" s="21" t="inlineStr">
        <is>
          <t>0.000 SOL</t>
        </is>
      </c>
      <c r="G151" s="18" t="inlineStr">
        <is>
          <t>-0.298 SOL</t>
        </is>
      </c>
      <c r="H151" s="18" t="inlineStr">
        <is>
          <t>0.00%</t>
        </is>
      </c>
      <c r="I151" s="21" t="inlineStr">
        <is>
          <t>1,619,350</t>
        </is>
      </c>
      <c r="J151" s="21" t="n">
        <v>2</v>
      </c>
      <c r="K151" s="21" t="n">
        <v>0</v>
      </c>
      <c r="L151" s="21" t="inlineStr">
        <is>
          <t>19.10.2024 14:31:19</t>
        </is>
      </c>
      <c r="M151" s="19" t="inlineStr">
        <is>
          <t>0 sec</t>
        </is>
      </c>
      <c r="N151" s="21" t="inlineStr">
        <is>
          <t xml:space="preserve">         32K            32K             6K</t>
        </is>
      </c>
      <c r="O151" s="21" t="inlineStr">
        <is>
          <t>B6tbCTAMGzMVitT8Hjj9P6oirBEfAL5cZfELjAg3pump</t>
        </is>
      </c>
      <c r="P151" s="21">
        <f>HYPERLINK("https://dexscreener.com/solana/B6tbCTAMGzMVitT8Hjj9P6oirBEfAL5cZfELjAg3pump", "View")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113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HYPERLINK("https://gmgn.ai/sol/address/dikyzV9BxbNgLX3VYeyaXJceUE5S3fFFfxmB6nUQpRM", "GMGN")</f>
        <v/>
      </c>
    </row>
    <row r="2">
      <c r="A2" s="3" t="inlineStr">
        <is>
          <t>dikyzV9BxbNgLX3VYeyaXJceUE5S3fFFfxmB6nUQpRM</t>
        </is>
      </c>
      <c r="B2" s="3" t="inlineStr">
        <is>
          <t>40.76 SOL</t>
        </is>
      </c>
      <c r="C2" s="3" t="inlineStr">
        <is>
          <t>18%</t>
        </is>
      </c>
      <c r="D2" s="3" t="inlineStr">
        <is>
          <t>6%</t>
        </is>
      </c>
      <c r="E2" s="3" t="inlineStr">
        <is>
          <t>19.38 SOL</t>
        </is>
      </c>
      <c r="F2" s="3" t="inlineStr">
        <is>
          <t>2 (2%)</t>
        </is>
      </c>
      <c r="G2" s="3" t="inlineStr">
        <is>
          <t>0 (0%)</t>
        </is>
      </c>
      <c r="H2" s="3" t="n">
        <v>94</v>
      </c>
      <c r="I2" s="3" t="n">
        <v>14</v>
      </c>
      <c r="J2" s="3" t="inlineStr">
        <is>
          <t>11 days</t>
        </is>
      </c>
      <c r="K2" s="3" t="inlineStr">
        <is>
          <t>7 h</t>
        </is>
      </c>
      <c r="L2" s="3" t="n">
        <v>18</v>
      </c>
      <c r="M2" s="3" t="n">
        <v>29</v>
      </c>
      <c r="N2" s="3">
        <f>HYPERLINK("https://solscan.io/account/dikyzV9BxbNgLX3VYeyaXJceUE5S3fFFfxmB6nUQpRM",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HYPERLINK("https://birdeye.so/profile/dikyzV9BxbNgLX3VYeyaXJceUE5S3fFFfxmB6nUQpRM", "Birdeye")</f>
        <v/>
      </c>
    </row>
    <row r="4">
      <c r="A4" s="7" t="inlineStr">
        <is>
          <t>Rockets percent</t>
        </is>
      </c>
      <c r="B4" s="3" t="inlineStr">
        <is>
          <t>5%</t>
        </is>
      </c>
      <c r="C4" s="3" t="inlineStr"/>
      <c r="D4" s="3" t="inlineStr">
        <is>
          <t>16%</t>
        </is>
      </c>
      <c r="E4" s="3" t="inlineStr">
        <is>
          <t>55.8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1.6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5</v>
      </c>
      <c r="D10" s="7" t="n">
        <v>5</v>
      </c>
      <c r="E10" s="7" t="n">
        <v>7</v>
      </c>
      <c r="F10" s="7" t="n">
        <v>18</v>
      </c>
      <c r="G10" s="7" t="n">
        <v>59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5.3%</t>
        </is>
      </c>
      <c r="D11" s="7" t="inlineStr">
        <is>
          <t>5.3%</t>
        </is>
      </c>
      <c r="E11" s="7" t="inlineStr">
        <is>
          <t>7.4%</t>
        </is>
      </c>
      <c r="F11" s="7" t="inlineStr">
        <is>
          <t>19.1%</t>
        </is>
      </c>
      <c r="G11" s="7" t="inlineStr">
        <is>
          <t>62.8%</t>
        </is>
      </c>
      <c r="H11" s="3" t="n"/>
      <c r="I11" s="3" t="inlineStr">
        <is>
          <t>5k-30k</t>
        </is>
      </c>
      <c r="J11" s="3" t="inlineStr">
        <is>
          <t>15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79.7 SOL</t>
        </is>
      </c>
      <c r="D12" s="7" t="inlineStr">
        <is>
          <t>66.8 SOL</t>
        </is>
      </c>
      <c r="E12" s="7" t="inlineStr">
        <is>
          <t>3.8 SOL</t>
        </is>
      </c>
      <c r="F12" s="7" t="inlineStr">
        <is>
          <t>-11.2 SOL</t>
        </is>
      </c>
      <c r="G12" s="7" t="inlineStr">
        <is>
          <t>-119.7 SOL</t>
        </is>
      </c>
      <c r="H12" s="3" t="n"/>
      <c r="I12" s="3" t="inlineStr">
        <is>
          <t>30k-100k</t>
        </is>
      </c>
      <c r="J12" s="3" t="inlineStr">
        <is>
          <t>16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47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389.0K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XENO</t>
        </is>
      </c>
      <c r="B20" s="17" t="n">
        <v>21793</v>
      </c>
      <c r="C20" s="17" t="n">
        <v>0</v>
      </c>
      <c r="D20" s="17" t="inlineStr">
        <is>
          <t>0.007510</t>
        </is>
      </c>
      <c r="E20" s="17" t="inlineStr">
        <is>
          <t>1.000 SOL</t>
        </is>
      </c>
      <c r="F20" s="17" t="inlineStr">
        <is>
          <t>0.000 SOL</t>
        </is>
      </c>
      <c r="G20" s="18" t="inlineStr">
        <is>
          <t>-1.008 SOL</t>
        </is>
      </c>
      <c r="H20" s="18" t="inlineStr">
        <is>
          <t>0.00%</t>
        </is>
      </c>
      <c r="I20" s="17" t="inlineStr">
        <is>
          <t>21,793</t>
        </is>
      </c>
      <c r="J20" s="17" t="n">
        <v>1</v>
      </c>
      <c r="K20" s="17" t="n">
        <v>0</v>
      </c>
      <c r="L20" s="17" t="inlineStr">
        <is>
          <t>30.10.2024 17:41:01</t>
        </is>
      </c>
      <c r="M20" s="19" t="inlineStr">
        <is>
          <t>0 sec</t>
        </is>
      </c>
      <c r="N20" s="17" t="inlineStr">
        <is>
          <t xml:space="preserve">          8M             8M             4M</t>
        </is>
      </c>
      <c r="O20" s="17" t="inlineStr">
        <is>
          <t>Db7ZUaWTThwZy7bVhjn5Dda8D3fbbAhihcxPV4m9pump</t>
        </is>
      </c>
      <c r="P20" s="17">
        <f>HYPERLINK("https://dexscreener.com/solana/Db7ZUaWTThwZy7bVhjn5Dda8D3fbbAhihcxPV4m9pump", "View")</f>
        <v/>
      </c>
    </row>
    <row r="21">
      <c r="A21" s="20" t="inlineStr">
        <is>
          <t>Mr Bitcoin</t>
        </is>
      </c>
      <c r="B21" s="21" t="n">
        <v>6307831</v>
      </c>
      <c r="C21" s="21" t="n">
        <v>3153916</v>
      </c>
      <c r="D21" s="21" t="inlineStr">
        <is>
          <t>0.009010</t>
        </is>
      </c>
      <c r="E21" s="21" t="inlineStr">
        <is>
          <t>1.040 SOL</t>
        </is>
      </c>
      <c r="F21" s="21" t="inlineStr">
        <is>
          <t>0.999 SOL</t>
        </is>
      </c>
      <c r="G21" s="25" t="inlineStr">
        <is>
          <t>-0.050 SOL</t>
        </is>
      </c>
      <c r="H21" s="25" t="inlineStr">
        <is>
          <t>-4.72%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17:10:26</t>
        </is>
      </c>
      <c r="M21" s="21" t="inlineStr">
        <is>
          <t>11 min</t>
        </is>
      </c>
      <c r="N21" s="21" t="inlineStr">
        <is>
          <t xml:space="preserve">         28K            56K            37K</t>
        </is>
      </c>
      <c r="O21" s="21" t="inlineStr">
        <is>
          <t>6JocA9yXWP3nsVN7XYTXmf6gm69nMzUSj8Rbnt9rpump</t>
        </is>
      </c>
      <c r="P21" s="21">
        <f>HYPERLINK("https://photon-sol.tinyastro.io/en/lp/6JocA9yXWP3nsVN7XYTXmf6gm69nMzUSj8Rbnt9rpump?handle=676050794bc1b1657a56b", "View")</f>
        <v/>
      </c>
    </row>
    <row r="22">
      <c r="A22" s="16" t="inlineStr">
        <is>
          <t>Gacha</t>
        </is>
      </c>
      <c r="B22" s="17" t="n">
        <v>6174753</v>
      </c>
      <c r="C22" s="17" t="n">
        <v>5603303</v>
      </c>
      <c r="D22" s="17" t="inlineStr">
        <is>
          <t>0.149470</t>
        </is>
      </c>
      <c r="E22" s="17" t="inlineStr">
        <is>
          <t>28.395 SOL</t>
        </is>
      </c>
      <c r="F22" s="17" t="inlineStr">
        <is>
          <t>26.931 SOL</t>
        </is>
      </c>
      <c r="G22" s="25" t="inlineStr">
        <is>
          <t>-1.614 SOL</t>
        </is>
      </c>
      <c r="H22" s="25" t="inlineStr">
        <is>
          <t>-5.65%</t>
        </is>
      </c>
      <c r="I22" s="17" t="inlineStr">
        <is>
          <t>N/A</t>
        </is>
      </c>
      <c r="J22" s="17" t="n">
        <v>15</v>
      </c>
      <c r="K22" s="17" t="n">
        <v>14</v>
      </c>
      <c r="L22" s="17" t="inlineStr">
        <is>
          <t>30.10.2024 17:00:22</t>
        </is>
      </c>
      <c r="M22" s="17" t="inlineStr">
        <is>
          <t>1 days</t>
        </is>
      </c>
      <c r="N22" s="17" t="inlineStr">
        <is>
          <t xml:space="preserve">        980K             1M           338K</t>
        </is>
      </c>
      <c r="O22" s="17" t="inlineStr">
        <is>
          <t>9Z3LF3ymEVwCPLd9uBda9ieySYKVK7MzukPRGHDPpump</t>
        </is>
      </c>
      <c r="P22" s="17">
        <f>HYPERLINK("https://dexscreener.com/solana/9Z3LF3ymEVwCPLd9uBda9ieySYKVK7MzukPRGHDPpump", "View")</f>
        <v/>
      </c>
    </row>
    <row r="23">
      <c r="A23" s="20" t="inlineStr">
        <is>
          <t>RED</t>
        </is>
      </c>
      <c r="B23" s="21" t="n">
        <v>1618967</v>
      </c>
      <c r="C23" s="21" t="n">
        <v>0</v>
      </c>
      <c r="D23" s="21" t="inlineStr">
        <is>
          <t>0.022520</t>
        </is>
      </c>
      <c r="E23" s="21" t="inlineStr">
        <is>
          <t>3.000 SOL</t>
        </is>
      </c>
      <c r="F23" s="21" t="inlineStr">
        <is>
          <t>0.000 SOL</t>
        </is>
      </c>
      <c r="G23" s="18" t="inlineStr">
        <is>
          <t>-3.023 SOL</t>
        </is>
      </c>
      <c r="H23" s="18" t="inlineStr">
        <is>
          <t>0.00%</t>
        </is>
      </c>
      <c r="I23" s="21" t="inlineStr">
        <is>
          <t>1,618,967</t>
        </is>
      </c>
      <c r="J23" s="21" t="n">
        <v>3</v>
      </c>
      <c r="K23" s="21" t="n">
        <v>0</v>
      </c>
      <c r="L23" s="21" t="inlineStr">
        <is>
          <t>30.10.2024 16:11:57</t>
        </is>
      </c>
      <c r="M23" s="21" t="inlineStr">
        <is>
          <t>2 min</t>
        </is>
      </c>
      <c r="N23" s="21" t="inlineStr">
        <is>
          <t xml:space="preserve">        393K           274K             6K</t>
        </is>
      </c>
      <c r="O23" s="21" t="inlineStr">
        <is>
          <t>2XNttS6pkEHjz2xUL6MpTgsBXTAEMaMhjqiwKEg7pump</t>
        </is>
      </c>
      <c r="P23" s="21">
        <f>HYPERLINK("https://dexscreener.com/solana/2XNttS6pkEHjz2xUL6MpTgsBXTAEMaMhjqiwKEg7pump", "View")</f>
        <v/>
      </c>
    </row>
    <row r="24">
      <c r="A24" s="16" t="inlineStr">
        <is>
          <t>MORT</t>
        </is>
      </c>
      <c r="B24" s="17" t="n">
        <v>762626</v>
      </c>
      <c r="C24" s="17" t="n">
        <v>0</v>
      </c>
      <c r="D24" s="17" t="inlineStr">
        <is>
          <t>0.007510</t>
        </is>
      </c>
      <c r="E24" s="17" t="inlineStr">
        <is>
          <t>1.000 SOL</t>
        </is>
      </c>
      <c r="F24" s="17" t="inlineStr">
        <is>
          <t>0.000 SOL</t>
        </is>
      </c>
      <c r="G24" s="18" t="inlineStr">
        <is>
          <t>-1.008 SOL</t>
        </is>
      </c>
      <c r="H24" s="18" t="inlineStr">
        <is>
          <t>0.00%</t>
        </is>
      </c>
      <c r="I24" s="17" t="inlineStr">
        <is>
          <t>762,626</t>
        </is>
      </c>
      <c r="J24" s="17" t="n">
        <v>1</v>
      </c>
      <c r="K24" s="17" t="n">
        <v>0</v>
      </c>
      <c r="L24" s="17" t="inlineStr">
        <is>
          <t>30.10.2024 13:54:00</t>
        </is>
      </c>
      <c r="M24" s="19" t="inlineStr">
        <is>
          <t>0 sec</t>
        </is>
      </c>
      <c r="N24" s="17" t="inlineStr">
        <is>
          <t xml:space="preserve">        223K           223K            38K</t>
        </is>
      </c>
      <c r="O24" s="17" t="inlineStr">
        <is>
          <t>BDF9vxbCbsRZS2DBCSgBQvb45uA2wjKmTHNXcfK7pump</t>
        </is>
      </c>
      <c r="P24" s="17">
        <f>HYPERLINK("https://dexscreener.com/solana/BDF9vxbCbsRZS2DBCSgBQvb45uA2wjKmTHNXcfK7pump", "View")</f>
        <v/>
      </c>
    </row>
    <row r="25">
      <c r="A25" s="20" t="inlineStr">
        <is>
          <t>XIN</t>
        </is>
      </c>
      <c r="B25" s="21" t="n">
        <v>2175859</v>
      </c>
      <c r="C25" s="21" t="n">
        <v>1087930</v>
      </c>
      <c r="D25" s="21" t="inlineStr">
        <is>
          <t>0.007220</t>
        </is>
      </c>
      <c r="E25" s="21" t="inlineStr">
        <is>
          <t>1.000 SOL</t>
        </is>
      </c>
      <c r="F25" s="21" t="inlineStr">
        <is>
          <t>1.034 SOL</t>
        </is>
      </c>
      <c r="G25" s="22" t="inlineStr">
        <is>
          <t>0.027 SOL</t>
        </is>
      </c>
      <c r="H25" s="22" t="inlineStr">
        <is>
          <t>2.66%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30.10.2024 12:07:03</t>
        </is>
      </c>
      <c r="M25" s="21" t="inlineStr">
        <is>
          <t>10 hours</t>
        </is>
      </c>
      <c r="N25" s="21" t="inlineStr">
        <is>
          <t xml:space="preserve">         75K            75K            80K</t>
        </is>
      </c>
      <c r="O25" s="21" t="inlineStr">
        <is>
          <t>59LjgLwuWGnvW2rBZqCyt1JZETj3U2Yajb2uqUbmpump</t>
        </is>
      </c>
      <c r="P25" s="21">
        <f>HYPERLINK("https://dexscreener.com/solana/59LjgLwuWGnvW2rBZqCyt1JZETj3U2Yajb2uqUbmpump", "View")</f>
        <v/>
      </c>
    </row>
    <row r="26">
      <c r="A26" s="16" t="inlineStr">
        <is>
          <t>speed</t>
        </is>
      </c>
      <c r="B26" s="17" t="n">
        <v>239135</v>
      </c>
      <c r="C26" s="17" t="n">
        <v>119568</v>
      </c>
      <c r="D26" s="17" t="inlineStr">
        <is>
          <t>0.003050</t>
        </is>
      </c>
      <c r="E26" s="17" t="inlineStr">
        <is>
          <t>3.000 SOL</t>
        </is>
      </c>
      <c r="F26" s="17" t="inlineStr">
        <is>
          <t>1.607 SOL</t>
        </is>
      </c>
      <c r="G26" s="25" t="inlineStr">
        <is>
          <t>-1.396 SOL</t>
        </is>
      </c>
      <c r="H26" s="25" t="inlineStr">
        <is>
          <t>-46.50%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12:06:27</t>
        </is>
      </c>
      <c r="M26" s="17" t="inlineStr">
        <is>
          <t>1 days</t>
        </is>
      </c>
      <c r="N26" s="17" t="inlineStr">
        <is>
          <t xml:space="preserve">          2M             2M             1M</t>
        </is>
      </c>
      <c r="O26" s="17" t="inlineStr">
        <is>
          <t>5Wd2ALxQfnpgQKCyH4WL9giBiiuuLuJs84CJxfQccvmN</t>
        </is>
      </c>
      <c r="P26" s="17">
        <f>HYPERLINK("https://dexscreener.com/solana/5Wd2ALxQfnpgQKCyH4WL9giBiiuuLuJs84CJxfQccvmN", "View")</f>
        <v/>
      </c>
    </row>
    <row r="27">
      <c r="A27" s="20" t="inlineStr">
        <is>
          <t>Santino</t>
        </is>
      </c>
      <c r="B27" s="21" t="n">
        <v>913073</v>
      </c>
      <c r="C27" s="21" t="n">
        <v>684805</v>
      </c>
      <c r="D27" s="21" t="inlineStr">
        <is>
          <t>0.015610</t>
        </is>
      </c>
      <c r="E27" s="21" t="inlineStr">
        <is>
          <t>2.000 SOL</t>
        </is>
      </c>
      <c r="F27" s="21" t="inlineStr">
        <is>
          <t>3.387 SOL</t>
        </is>
      </c>
      <c r="G27" s="24" t="inlineStr">
        <is>
          <t>1.371 SOL</t>
        </is>
      </c>
      <c r="H27" s="24" t="inlineStr">
        <is>
          <t>68.03%</t>
        </is>
      </c>
      <c r="I27" s="21" t="inlineStr">
        <is>
          <t>N/A</t>
        </is>
      </c>
      <c r="J27" s="21" t="n">
        <v>1</v>
      </c>
      <c r="K27" s="21" t="n">
        <v>2</v>
      </c>
      <c r="L27" s="21" t="inlineStr">
        <is>
          <t>30.10.2024 12:05:24</t>
        </is>
      </c>
      <c r="M27" s="21" t="inlineStr">
        <is>
          <t>1 days</t>
        </is>
      </c>
      <c r="N27" s="21" t="inlineStr">
        <is>
          <t xml:space="preserve">        385K           385K           544K</t>
        </is>
      </c>
      <c r="O27" s="21" t="inlineStr">
        <is>
          <t>Fof1DyVSYiQGCnT3uTbmq8kQMPdwL35x1bD82NaTs9mM</t>
        </is>
      </c>
      <c r="P27" s="21">
        <f>HYPERLINK("https://dexscreener.com/solana/Fof1DyVSYiQGCnT3uTbmq8kQMPdwL35x1bD82NaTs9mM", "View")</f>
        <v/>
      </c>
    </row>
    <row r="28">
      <c r="A28" s="16" t="inlineStr">
        <is>
          <t>WUMPUS</t>
        </is>
      </c>
      <c r="B28" s="17" t="n">
        <v>11259160</v>
      </c>
      <c r="C28" s="17" t="n">
        <v>0</v>
      </c>
      <c r="D28" s="17" t="inlineStr">
        <is>
          <t>0.002380</t>
        </is>
      </c>
      <c r="E28" s="17" t="inlineStr">
        <is>
          <t>0.500 SOL</t>
        </is>
      </c>
      <c r="F28" s="17" t="inlineStr">
        <is>
          <t>0.000 SOL</t>
        </is>
      </c>
      <c r="G28" s="18" t="inlineStr">
        <is>
          <t>-0.502 SOL</t>
        </is>
      </c>
      <c r="H28" s="18" t="inlineStr">
        <is>
          <t>0.00%</t>
        </is>
      </c>
      <c r="I28" s="17" t="inlineStr">
        <is>
          <t>11,259,160</t>
        </is>
      </c>
      <c r="J28" s="17" t="n">
        <v>1</v>
      </c>
      <c r="K28" s="17" t="n">
        <v>0</v>
      </c>
      <c r="L28" s="17" t="inlineStr">
        <is>
          <t>30.10.2024 11:49:42</t>
        </is>
      </c>
      <c r="M28" s="19" t="inlineStr">
        <is>
          <t>0 sec</t>
        </is>
      </c>
      <c r="N28" s="17" t="inlineStr">
        <is>
          <t xml:space="preserve">          7K             7K             7K</t>
        </is>
      </c>
      <c r="O28" s="17" t="inlineStr">
        <is>
          <t>2pAGNKBTxSYt5rpGUpHZm4D3kAUNqo7WHg7GBpUMcFvW</t>
        </is>
      </c>
      <c r="P28" s="17">
        <f>HYPERLINK("https://dexscreener.com/solana/2pAGNKBTxSYt5rpGUpHZm4D3kAUNqo7WHg7GBpUMcFvW", "View")</f>
        <v/>
      </c>
    </row>
    <row r="29">
      <c r="A29" s="20" t="inlineStr">
        <is>
          <t>OMBRA</t>
        </is>
      </c>
      <c r="B29" s="21" t="n">
        <v>17773060</v>
      </c>
      <c r="C29" s="21" t="n">
        <v>12991504</v>
      </c>
      <c r="D29" s="21" t="inlineStr">
        <is>
          <t>0.015580</t>
        </is>
      </c>
      <c r="E29" s="21" t="inlineStr">
        <is>
          <t>1.093 SOL</t>
        </is>
      </c>
      <c r="F29" s="21" t="inlineStr">
        <is>
          <t>3.132 SOL</t>
        </is>
      </c>
      <c r="G29" s="24" t="inlineStr">
        <is>
          <t>2.023 SOL</t>
        </is>
      </c>
      <c r="H29" s="24" t="inlineStr">
        <is>
          <t>182.53%</t>
        </is>
      </c>
      <c r="I29" s="21" t="inlineStr">
        <is>
          <t>N/A</t>
        </is>
      </c>
      <c r="J29" s="21" t="n">
        <v>1</v>
      </c>
      <c r="K29" s="21" t="n">
        <v>3</v>
      </c>
      <c r="L29" s="21" t="inlineStr">
        <is>
          <t>30.10.2024 10:58:42</t>
        </is>
      </c>
      <c r="M29" s="21" t="inlineStr">
        <is>
          <t>18 hours</t>
        </is>
      </c>
      <c r="N29" s="21" t="inlineStr">
        <is>
          <t xml:space="preserve">         11K            28K            19K</t>
        </is>
      </c>
      <c r="O29" s="21" t="inlineStr">
        <is>
          <t>ABGuyFsRx6coPxDqXnFwUmFNG3hsg5i24XSsHV1Apump</t>
        </is>
      </c>
      <c r="P29" s="21">
        <f>HYPERLINK("https://photon-sol.tinyastro.io/en/lp/ABGuyFsRx6coPxDqXnFwUmFNG3hsg5i24XSsHV1Apump?handle=676050794bc1b1657a56b", "View")</f>
        <v/>
      </c>
    </row>
    <row r="30">
      <c r="A30" s="16" t="inlineStr">
        <is>
          <t>Doja</t>
        </is>
      </c>
      <c r="B30" s="17" t="n">
        <v>6891205</v>
      </c>
      <c r="C30" s="17" t="n">
        <v>0</v>
      </c>
      <c r="D30" s="17" t="inlineStr">
        <is>
          <t>0.007510</t>
        </is>
      </c>
      <c r="E30" s="17" t="inlineStr">
        <is>
          <t>1.000 SOL</t>
        </is>
      </c>
      <c r="F30" s="17" t="inlineStr">
        <is>
          <t>0.000 SOL</t>
        </is>
      </c>
      <c r="G30" s="18" t="inlineStr">
        <is>
          <t>-1.008 SOL</t>
        </is>
      </c>
      <c r="H30" s="18" t="inlineStr">
        <is>
          <t>0.00%</t>
        </is>
      </c>
      <c r="I30" s="17" t="inlineStr">
        <is>
          <t>6,891,205</t>
        </is>
      </c>
      <c r="J30" s="17" t="n">
        <v>1</v>
      </c>
      <c r="K30" s="17" t="n">
        <v>0</v>
      </c>
      <c r="L30" s="17" t="inlineStr">
        <is>
          <t>30.10.2024 10:57:58</t>
        </is>
      </c>
      <c r="M30" s="19" t="inlineStr">
        <is>
          <t>0 sec</t>
        </is>
      </c>
      <c r="N30" s="17" t="inlineStr">
        <is>
          <t xml:space="preserve">         26K            26K             5K</t>
        </is>
      </c>
      <c r="O30" s="17" t="inlineStr">
        <is>
          <t>3nB247drq79SpWvfFrCUDeLP5Su12aQAsnyoofNzpump</t>
        </is>
      </c>
      <c r="P30" s="17">
        <f>HYPERLINK("https://dexscreener.com/solana/3nB247drq79SpWvfFrCUDeLP5Su12aQAsnyoofNzpump", "View")</f>
        <v/>
      </c>
    </row>
    <row r="31">
      <c r="A31" s="20" t="inlineStr">
        <is>
          <t>Torin</t>
        </is>
      </c>
      <c r="B31" s="21" t="n">
        <v>17294125</v>
      </c>
      <c r="C31" s="21" t="n">
        <v>0</v>
      </c>
      <c r="D31" s="21" t="inlineStr">
        <is>
          <t>0.005870</t>
        </is>
      </c>
      <c r="E31" s="21" t="inlineStr">
        <is>
          <t>2.000 SOL</t>
        </is>
      </c>
      <c r="F31" s="21" t="inlineStr">
        <is>
          <t>0.000 SOL</t>
        </is>
      </c>
      <c r="G31" s="18" t="inlineStr">
        <is>
          <t>-2.006 SOL</t>
        </is>
      </c>
      <c r="H31" s="18" t="inlineStr">
        <is>
          <t>0.00%</t>
        </is>
      </c>
      <c r="I31" s="21" t="inlineStr">
        <is>
          <t>17,294,125</t>
        </is>
      </c>
      <c r="J31" s="21" t="n">
        <v>1</v>
      </c>
      <c r="K31" s="21" t="n">
        <v>0</v>
      </c>
      <c r="L31" s="21" t="inlineStr">
        <is>
          <t>30.10.2024 10:29:29</t>
        </is>
      </c>
      <c r="M31" s="19" t="inlineStr">
        <is>
          <t>0 sec</t>
        </is>
      </c>
      <c r="N31" s="21" t="inlineStr">
        <is>
          <t xml:space="preserve">         21K            21K             7K</t>
        </is>
      </c>
      <c r="O31" s="21" t="inlineStr">
        <is>
          <t>ALKTKLRTyF3P83KMCAvGEtY4CsoMzvh1k38uixCgpump</t>
        </is>
      </c>
      <c r="P31" s="21">
        <f>HYPERLINK("https://dexscreener.com/solana/ALKTKLRTyF3P83KMCAvGEtY4CsoMzvh1k38uixCgpump", "View")</f>
        <v/>
      </c>
    </row>
    <row r="32">
      <c r="A32" s="16" t="inlineStr">
        <is>
          <t>Ban</t>
        </is>
      </c>
      <c r="B32" s="17" t="n">
        <v>3048877</v>
      </c>
      <c r="C32" s="17" t="n">
        <v>3002745</v>
      </c>
      <c r="D32" s="17" t="inlineStr">
        <is>
          <t>0.180610</t>
        </is>
      </c>
      <c r="E32" s="17" t="inlineStr">
        <is>
          <t>67.438 SOL</t>
        </is>
      </c>
      <c r="F32" s="17" t="inlineStr">
        <is>
          <t>119.981 SOL</t>
        </is>
      </c>
      <c r="G32" s="24" t="inlineStr">
        <is>
          <t>52.363 SOL</t>
        </is>
      </c>
      <c r="H32" s="24" t="inlineStr">
        <is>
          <t>77.44%</t>
        </is>
      </c>
      <c r="I32" s="17" t="inlineStr">
        <is>
          <t>N/A</t>
        </is>
      </c>
      <c r="J32" s="17" t="n">
        <v>14</v>
      </c>
      <c r="K32" s="17" t="n">
        <v>20</v>
      </c>
      <c r="L32" s="17" t="inlineStr">
        <is>
          <t>30.10.2024 09:49:21</t>
        </is>
      </c>
      <c r="M32" s="17" t="inlineStr">
        <is>
          <t>4 days</t>
        </is>
      </c>
      <c r="N32" s="17" t="inlineStr">
        <is>
          <t xml:space="preserve">         22M             2M            25M</t>
        </is>
      </c>
      <c r="O32" s="17" t="inlineStr">
        <is>
          <t>9PR7nCP9DpcUotnDPVLUBUZKu5WAYkwrCUx9wDnSpump</t>
        </is>
      </c>
      <c r="P32" s="17">
        <f>HYPERLINK("https://dexscreener.com/solana/9PR7nCP9DpcUotnDPVLUBUZKu5WAYkwrCUx9wDnSpump", "View")</f>
        <v/>
      </c>
    </row>
    <row r="33">
      <c r="A33" s="20" t="inlineStr">
        <is>
          <t>ohto</t>
        </is>
      </c>
      <c r="B33" s="21" t="n">
        <v>3417887</v>
      </c>
      <c r="C33" s="21" t="n">
        <v>0</v>
      </c>
      <c r="D33" s="21" t="inlineStr">
        <is>
          <t>0.002490</t>
        </is>
      </c>
      <c r="E33" s="21" t="inlineStr">
        <is>
          <t>1.058 SOL</t>
        </is>
      </c>
      <c r="F33" s="21" t="inlineStr">
        <is>
          <t>0.000 SOL</t>
        </is>
      </c>
      <c r="G33" s="18" t="inlineStr">
        <is>
          <t>-1.060 SOL</t>
        </is>
      </c>
      <c r="H33" s="18" t="inlineStr">
        <is>
          <t>0.00%</t>
        </is>
      </c>
      <c r="I33" s="21" t="inlineStr">
        <is>
          <t>3,417,887</t>
        </is>
      </c>
      <c r="J33" s="21" t="n">
        <v>1</v>
      </c>
      <c r="K33" s="21" t="n">
        <v>0</v>
      </c>
      <c r="L33" s="21" t="inlineStr">
        <is>
          <t>30.10.2024 09:11:46</t>
        </is>
      </c>
      <c r="M33" s="19" t="inlineStr">
        <is>
          <t>0 sec</t>
        </is>
      </c>
      <c r="N33" s="21" t="inlineStr">
        <is>
          <t xml:space="preserve">         54K            54K             4K</t>
        </is>
      </c>
      <c r="O33" s="21" t="inlineStr">
        <is>
          <t>97tJR4nXFb8oajs1AEFzUzjgpA84c6iHeQ1X5ehDpump</t>
        </is>
      </c>
      <c r="P33" s="21">
        <f>HYPERLINK("https://photon-sol.tinyastro.io/en/lp/97tJR4nXFb8oajs1AEFzUzjgpA84c6iHeQ1X5ehDpump?handle=676050794bc1b1657a56b", "View")</f>
        <v/>
      </c>
    </row>
    <row r="34">
      <c r="A34" s="16" t="inlineStr">
        <is>
          <t>SHIBU</t>
        </is>
      </c>
      <c r="B34" s="17" t="n">
        <v>634870</v>
      </c>
      <c r="C34" s="17" t="n">
        <v>611913</v>
      </c>
      <c r="D34" s="17" t="inlineStr">
        <is>
          <t>0.072750</t>
        </is>
      </c>
      <c r="E34" s="17" t="inlineStr">
        <is>
          <t>16.230 SOL</t>
        </is>
      </c>
      <c r="F34" s="17" t="inlineStr">
        <is>
          <t>14.685 SOL</t>
        </is>
      </c>
      <c r="G34" s="25" t="inlineStr">
        <is>
          <t>-1.617 SOL</t>
        </is>
      </c>
      <c r="H34" s="25" t="inlineStr">
        <is>
          <t>-9.92%</t>
        </is>
      </c>
      <c r="I34" s="17" t="inlineStr">
        <is>
          <t>N/A</t>
        </is>
      </c>
      <c r="J34" s="17" t="n">
        <v>6</v>
      </c>
      <c r="K34" s="17" t="n">
        <v>7</v>
      </c>
      <c r="L34" s="17" t="inlineStr">
        <is>
          <t>30.10.2024 04:39:54</t>
        </is>
      </c>
      <c r="M34" s="17" t="inlineStr">
        <is>
          <t>23 hours</t>
        </is>
      </c>
      <c r="N34" s="17" t="inlineStr">
        <is>
          <t xml:space="preserve">          2M             4M             7M</t>
        </is>
      </c>
      <c r="O34" s="17" t="inlineStr">
        <is>
          <t>yG6bXPEFaUnGAEHHqH9H7t1VSfaK7YrggCqHy35pump</t>
        </is>
      </c>
      <c r="P34" s="17">
        <f>HYPERLINK("https://dexscreener.com/solana/yG6bXPEFaUnGAEHHqH9H7t1VSfaK7YrggCqHy35pump", "View")</f>
        <v/>
      </c>
    </row>
    <row r="35">
      <c r="A35" s="20" t="inlineStr">
        <is>
          <t>IUBI</t>
        </is>
      </c>
      <c r="B35" s="21" t="n">
        <v>3149455</v>
      </c>
      <c r="C35" s="21" t="n">
        <v>0</v>
      </c>
      <c r="D35" s="21" t="inlineStr">
        <is>
          <t>0.001780</t>
        </is>
      </c>
      <c r="E35" s="21" t="inlineStr">
        <is>
          <t>1.000 SOL</t>
        </is>
      </c>
      <c r="F35" s="21" t="inlineStr">
        <is>
          <t>0.000 SOL</t>
        </is>
      </c>
      <c r="G35" s="18" t="inlineStr">
        <is>
          <t>-1.002 SOL</t>
        </is>
      </c>
      <c r="H35" s="18" t="inlineStr">
        <is>
          <t>0.00%</t>
        </is>
      </c>
      <c r="I35" s="21" t="inlineStr">
        <is>
          <t>3,149,455</t>
        </is>
      </c>
      <c r="J35" s="21" t="n">
        <v>1</v>
      </c>
      <c r="K35" s="21" t="n">
        <v>0</v>
      </c>
      <c r="L35" s="21" t="inlineStr">
        <is>
          <t>30.10.2024 01:57:53</t>
        </is>
      </c>
      <c r="M35" s="19" t="inlineStr">
        <is>
          <t>0 sec</t>
        </is>
      </c>
      <c r="N35" s="21" t="inlineStr">
        <is>
          <t xml:space="preserve">         56K            56K            27K</t>
        </is>
      </c>
      <c r="O35" s="21" t="inlineStr">
        <is>
          <t>6UmGJtWHW13YLJCrdk9jEAnHeSgARTJEfCVV1sX4pump</t>
        </is>
      </c>
      <c r="P35" s="21">
        <f>HYPERLINK("https://dexscreener.com/solana/6UmGJtWHW13YLJCrdk9jEAnHeSgARTJEfCVV1sX4pump", "View")</f>
        <v/>
      </c>
    </row>
    <row r="36">
      <c r="A36" s="16" t="inlineStr">
        <is>
          <t>Aura</t>
        </is>
      </c>
      <c r="B36" s="17" t="n">
        <v>5377824</v>
      </c>
      <c r="C36" s="17" t="n">
        <v>0</v>
      </c>
      <c r="D36" s="17" t="inlineStr">
        <is>
          <t>0.001780</t>
        </is>
      </c>
      <c r="E36" s="17" t="inlineStr">
        <is>
          <t>1.000 SOL</t>
        </is>
      </c>
      <c r="F36" s="17" t="inlineStr">
        <is>
          <t>0.000 SOL</t>
        </is>
      </c>
      <c r="G36" s="18" t="inlineStr">
        <is>
          <t>-1.002 SOL</t>
        </is>
      </c>
      <c r="H36" s="18" t="inlineStr">
        <is>
          <t>0.00%</t>
        </is>
      </c>
      <c r="I36" s="17" t="inlineStr">
        <is>
          <t>5,377,824</t>
        </is>
      </c>
      <c r="J36" s="17" t="n">
        <v>1</v>
      </c>
      <c r="K36" s="17" t="n">
        <v>0</v>
      </c>
      <c r="L36" s="17" t="inlineStr">
        <is>
          <t>30.10.2024 01:57:32</t>
        </is>
      </c>
      <c r="M36" s="19" t="inlineStr">
        <is>
          <t>0 sec</t>
        </is>
      </c>
      <c r="N36" s="17" t="inlineStr">
        <is>
          <t xml:space="preserve">         33K            33K            11K</t>
        </is>
      </c>
      <c r="O36" s="17" t="inlineStr">
        <is>
          <t>GoxMPi7T3VgvgkWgnNsY9Lys8tT3dAPTEm8dsqJHZEVf</t>
        </is>
      </c>
      <c r="P36" s="17">
        <f>HYPERLINK("https://dexscreener.com/solana/GoxMPi7T3VgvgkWgnNsY9Lys8tT3dAPTEm8dsqJHZEVf", "View")</f>
        <v/>
      </c>
    </row>
    <row r="37">
      <c r="A37" s="20" t="inlineStr">
        <is>
          <t>Sky</t>
        </is>
      </c>
      <c r="B37" s="21" t="n">
        <v>6662211</v>
      </c>
      <c r="C37" s="21" t="n">
        <v>0</v>
      </c>
      <c r="D37" s="21" t="inlineStr">
        <is>
          <t>0.005960</t>
        </is>
      </c>
      <c r="E37" s="21" t="inlineStr">
        <is>
          <t>1.000 SOL</t>
        </is>
      </c>
      <c r="F37" s="21" t="inlineStr">
        <is>
          <t>0.000 SOL</t>
        </is>
      </c>
      <c r="G37" s="18" t="inlineStr">
        <is>
          <t>-1.006 SOL</t>
        </is>
      </c>
      <c r="H37" s="18" t="inlineStr">
        <is>
          <t>0.00%</t>
        </is>
      </c>
      <c r="I37" s="21" t="inlineStr">
        <is>
          <t>6,662,211</t>
        </is>
      </c>
      <c r="J37" s="21" t="n">
        <v>1</v>
      </c>
      <c r="K37" s="21" t="n">
        <v>0</v>
      </c>
      <c r="L37" s="21" t="inlineStr">
        <is>
          <t>30.10.2024 01:56:59</t>
        </is>
      </c>
      <c r="M37" s="19" t="inlineStr">
        <is>
          <t>0 sec</t>
        </is>
      </c>
      <c r="N37" s="21" t="inlineStr">
        <is>
          <t xml:space="preserve">         26K            26K            16K</t>
        </is>
      </c>
      <c r="O37" s="21" t="inlineStr">
        <is>
          <t>GjXpowEmJecAxHaMgYrxrTsWfuPR7DyLxwe8z2v4YvKW</t>
        </is>
      </c>
      <c r="P37" s="21">
        <f>HYPERLINK("https://dexscreener.com/solana/GjXpowEmJecAxHaMgYrxrTsWfuPR7DyLxwe8z2v4YvKW", "View")</f>
        <v/>
      </c>
    </row>
    <row r="38">
      <c r="A38" s="16" t="inlineStr">
        <is>
          <t>FE</t>
        </is>
      </c>
      <c r="B38" s="17" t="n">
        <v>8918644</v>
      </c>
      <c r="C38" s="17" t="n">
        <v>0</v>
      </c>
      <c r="D38" s="17" t="inlineStr">
        <is>
          <t>0.002060</t>
        </is>
      </c>
      <c r="E38" s="17" t="inlineStr">
        <is>
          <t>1.000 SOL</t>
        </is>
      </c>
      <c r="F38" s="17" t="inlineStr">
        <is>
          <t>0.000 SOL</t>
        </is>
      </c>
      <c r="G38" s="18" t="inlineStr">
        <is>
          <t>-1.002 SOL</t>
        </is>
      </c>
      <c r="H38" s="18" t="inlineStr">
        <is>
          <t>0.00%</t>
        </is>
      </c>
      <c r="I38" s="17" t="inlineStr">
        <is>
          <t>8,918,644</t>
        </is>
      </c>
      <c r="J38" s="17" t="n">
        <v>1</v>
      </c>
      <c r="K38" s="17" t="n">
        <v>0</v>
      </c>
      <c r="L38" s="17" t="inlineStr">
        <is>
          <t>30.10.2024 01:56:00</t>
        </is>
      </c>
      <c r="M38" s="19" t="inlineStr">
        <is>
          <t>0 sec</t>
        </is>
      </c>
      <c r="N38" s="17" t="inlineStr">
        <is>
          <t xml:space="preserve">         19K            19K            13K</t>
        </is>
      </c>
      <c r="O38" s="17" t="inlineStr">
        <is>
          <t>4AyViLduWHAiR6MhS8upSTx6A9C4dvMUa1F9Krzgpump</t>
        </is>
      </c>
      <c r="P38" s="17">
        <f>HYPERLINK("https://dexscreener.com/solana/4AyViLduWHAiR6MhS8upSTx6A9C4dvMUa1F9Krzgpump", "View")</f>
        <v/>
      </c>
    </row>
    <row r="39">
      <c r="A39" s="20" t="inlineStr">
        <is>
          <t>LUCE</t>
        </is>
      </c>
      <c r="B39" s="21" t="n">
        <v>421979</v>
      </c>
      <c r="C39" s="21" t="n">
        <v>421979</v>
      </c>
      <c r="D39" s="21" t="inlineStr">
        <is>
          <t>0.062660</t>
        </is>
      </c>
      <c r="E39" s="21" t="inlineStr">
        <is>
          <t>7.367 SOL</t>
        </is>
      </c>
      <c r="F39" s="21" t="inlineStr">
        <is>
          <t>41.067 SOL</t>
        </is>
      </c>
      <c r="G39" s="24" t="inlineStr">
        <is>
          <t>33.637 SOL</t>
        </is>
      </c>
      <c r="H39" s="24" t="inlineStr">
        <is>
          <t>452.71%</t>
        </is>
      </c>
      <c r="I39" s="21" t="inlineStr">
        <is>
          <t>N/A</t>
        </is>
      </c>
      <c r="J39" s="21" t="n">
        <v>3</v>
      </c>
      <c r="K39" s="21" t="n">
        <v>10</v>
      </c>
      <c r="L39" s="21" t="inlineStr">
        <is>
          <t>30.10.2024 01:37:14</t>
        </is>
      </c>
      <c r="M39" s="21" t="inlineStr">
        <is>
          <t>1 days</t>
        </is>
      </c>
      <c r="N39" s="21" t="inlineStr">
        <is>
          <t xml:space="preserve">          8M             5M            57M</t>
        </is>
      </c>
      <c r="O39" s="21" t="inlineStr">
        <is>
          <t>CBdCxKo9QavR9hfShgpEBG3zekorAeD7W1jfq2o3pump</t>
        </is>
      </c>
      <c r="P39" s="21">
        <f>HYPERLINK("https://dexscreener.com/solana/CBdCxKo9QavR9hfShgpEBG3zekorAeD7W1jfq2o3pump", "View")</f>
        <v/>
      </c>
    </row>
    <row r="40">
      <c r="A40" s="16" t="inlineStr">
        <is>
          <t>$FF</t>
        </is>
      </c>
      <c r="B40" s="17" t="n">
        <v>173263</v>
      </c>
      <c r="C40" s="17" t="n">
        <v>0</v>
      </c>
      <c r="D40" s="17" t="inlineStr">
        <is>
          <t>0.003440</t>
        </is>
      </c>
      <c r="E40" s="17" t="inlineStr">
        <is>
          <t>3.000 SOL</t>
        </is>
      </c>
      <c r="F40" s="17" t="inlineStr">
        <is>
          <t>0.000 SOL</t>
        </is>
      </c>
      <c r="G40" s="18" t="inlineStr">
        <is>
          <t>-3.003 SOL</t>
        </is>
      </c>
      <c r="H40" s="18" t="inlineStr">
        <is>
          <t>0.00%</t>
        </is>
      </c>
      <c r="I40" s="17" t="inlineStr">
        <is>
          <t>173,263</t>
        </is>
      </c>
      <c r="J40" s="17" t="n">
        <v>1</v>
      </c>
      <c r="K40" s="17" t="n">
        <v>0</v>
      </c>
      <c r="L40" s="17" t="inlineStr">
        <is>
          <t>29.10.2024 19:03:22</t>
        </is>
      </c>
      <c r="M40" s="19" t="inlineStr">
        <is>
          <t>0 sec</t>
        </is>
      </c>
      <c r="N40" s="17" t="inlineStr">
        <is>
          <t xml:space="preserve">          3M             3M           647K</t>
        </is>
      </c>
      <c r="O40" s="17" t="inlineStr">
        <is>
          <t>DqWbfzoFmZPrrQP7MdqYvwZbCkBNu2fSSaJqUrqEVYyX</t>
        </is>
      </c>
      <c r="P40" s="17">
        <f>HYPERLINK("https://dexscreener.com/solana/DqWbfzoFmZPrrQP7MdqYvwZbCkBNu2fSSaJqUrqEVYyX", "View")</f>
        <v/>
      </c>
    </row>
    <row r="41">
      <c r="A41" s="20" t="inlineStr">
        <is>
          <t>frank</t>
        </is>
      </c>
      <c r="B41" s="21" t="n">
        <v>238359</v>
      </c>
      <c r="C41" s="21" t="n">
        <v>119179</v>
      </c>
      <c r="D41" s="21" t="inlineStr">
        <is>
          <t>0.006630</t>
        </is>
      </c>
      <c r="E41" s="21" t="inlineStr">
        <is>
          <t>2.000 SOL</t>
        </is>
      </c>
      <c r="F41" s="21" t="inlineStr">
        <is>
          <t>2.052 SOL</t>
        </is>
      </c>
      <c r="G41" s="22" t="inlineStr">
        <is>
          <t>0.046 SOL</t>
        </is>
      </c>
      <c r="H41" s="22" t="inlineStr">
        <is>
          <t>2.28%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29.10.2024 18:51:09</t>
        </is>
      </c>
      <c r="M41" s="21" t="inlineStr">
        <is>
          <t>14 min</t>
        </is>
      </c>
      <c r="N41" s="21" t="inlineStr">
        <is>
          <t xml:space="preserve">          1M             3M             3M</t>
        </is>
      </c>
      <c r="O41" s="21" t="inlineStr">
        <is>
          <t>AYhFJk9ZyKN5aCRwrG78iTvuxnrrLp5q4fGfyBM7pump</t>
        </is>
      </c>
      <c r="P41" s="21">
        <f>HYPERLINK("https://dexscreener.com/solana/AYhFJk9ZyKN5aCRwrG78iTvuxnrrLp5q4fGfyBM7pump", "View")</f>
        <v/>
      </c>
    </row>
    <row r="42">
      <c r="A42" s="16" t="inlineStr">
        <is>
          <t>FOMO3D.FUN</t>
        </is>
      </c>
      <c r="B42" s="17" t="n">
        <v>4160908</v>
      </c>
      <c r="C42" s="17" t="n">
        <v>4160908</v>
      </c>
      <c r="D42" s="17" t="inlineStr">
        <is>
          <t>0.009010</t>
        </is>
      </c>
      <c r="E42" s="17" t="inlineStr">
        <is>
          <t>0.972 SOL</t>
        </is>
      </c>
      <c r="F42" s="17" t="inlineStr">
        <is>
          <t>0.921 SOL</t>
        </is>
      </c>
      <c r="G42" s="25" t="inlineStr">
        <is>
          <t>-0.060 SOL</t>
        </is>
      </c>
      <c r="H42" s="25" t="inlineStr">
        <is>
          <t>-6.09%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29.10.2024 18:28:48</t>
        </is>
      </c>
      <c r="M42" s="19" t="inlineStr">
        <is>
          <t>55 sec</t>
        </is>
      </c>
      <c r="N42" s="17" t="inlineStr">
        <is>
          <t xml:space="preserve">        N/A           N/A           N/A</t>
        </is>
      </c>
      <c r="O42" s="17" t="inlineStr">
        <is>
          <t>GpGW2SJMwbD8JuKVVHsd8QPCJkBQ4txAorBRJk4Cpump</t>
        </is>
      </c>
      <c r="P42" s="17">
        <f>HYPERLINK("https://photon-sol.tinyastro.io/en/lp/GpGW2SJMwbD8JuKVVHsd8QPCJkBQ4txAorBRJk4Cpump?handle=676050794bc1b1657a56b", "View")</f>
        <v/>
      </c>
    </row>
    <row r="43">
      <c r="A43" s="20" t="inlineStr">
        <is>
          <t>peace</t>
        </is>
      </c>
      <c r="B43" s="21" t="n">
        <v>25871753</v>
      </c>
      <c r="C43" s="21" t="n">
        <v>0</v>
      </c>
      <c r="D43" s="21" t="inlineStr">
        <is>
          <t>0.004510</t>
        </is>
      </c>
      <c r="E43" s="21" t="inlineStr">
        <is>
          <t>1.043 SOL</t>
        </is>
      </c>
      <c r="F43" s="21" t="inlineStr">
        <is>
          <t>0.000 SOL</t>
        </is>
      </c>
      <c r="G43" s="18" t="inlineStr">
        <is>
          <t>-1.048 SOL</t>
        </is>
      </c>
      <c r="H43" s="18" t="inlineStr">
        <is>
          <t>0.00%</t>
        </is>
      </c>
      <c r="I43" s="21" t="inlineStr">
        <is>
          <t>25,871,753</t>
        </is>
      </c>
      <c r="J43" s="21" t="n">
        <v>1</v>
      </c>
      <c r="K43" s="21" t="n">
        <v>0</v>
      </c>
      <c r="L43" s="21" t="inlineStr">
        <is>
          <t>29.10.2024 16:34:27</t>
        </is>
      </c>
      <c r="M43" s="19" t="inlineStr">
        <is>
          <t>0 sec</t>
        </is>
      </c>
      <c r="N43" s="21" t="inlineStr">
        <is>
          <t xml:space="preserve">          7K             7K             5K</t>
        </is>
      </c>
      <c r="O43" s="21" t="inlineStr">
        <is>
          <t>HXrus7tU6KZS6qU63M4haRkaLfTL5r24daQEmbrrGzGZ</t>
        </is>
      </c>
      <c r="P43" s="21">
        <f>HYPERLINK("https://photon-sol.tinyastro.io/en/lp/HXrus7tU6KZS6qU63M4haRkaLfTL5r24daQEmbrrGzGZ?handle=676050794bc1b1657a56b", "View")</f>
        <v/>
      </c>
    </row>
    <row r="44">
      <c r="A44" s="16" t="inlineStr">
        <is>
          <t>Mr.Noodles</t>
        </is>
      </c>
      <c r="B44" s="17" t="n">
        <v>19882891</v>
      </c>
      <c r="C44" s="17" t="n">
        <v>17378556</v>
      </c>
      <c r="D44" s="17" t="inlineStr">
        <is>
          <t>0.064370</t>
        </is>
      </c>
      <c r="E44" s="17" t="inlineStr">
        <is>
          <t>14.900 SOL</t>
        </is>
      </c>
      <c r="F44" s="17" t="inlineStr">
        <is>
          <t>40.428 SOL</t>
        </is>
      </c>
      <c r="G44" s="24" t="inlineStr">
        <is>
          <t>25.463 SOL</t>
        </is>
      </c>
      <c r="H44" s="24" t="inlineStr">
        <is>
          <t>170.15%</t>
        </is>
      </c>
      <c r="I44" s="17" t="inlineStr">
        <is>
          <t>N/A</t>
        </is>
      </c>
      <c r="J44" s="17" t="n">
        <v>5</v>
      </c>
      <c r="K44" s="17" t="n">
        <v>7</v>
      </c>
      <c r="L44" s="17" t="inlineStr">
        <is>
          <t>29.10.2024 16:24:12</t>
        </is>
      </c>
      <c r="M44" s="17" t="inlineStr">
        <is>
          <t>23 hours</t>
        </is>
      </c>
      <c r="N44" s="17" t="inlineStr">
        <is>
          <t xml:space="preserve">        472K            12K             8K</t>
        </is>
      </c>
      <c r="O44" s="17" t="inlineStr">
        <is>
          <t>9jso3Fzdp8xuLXXbRuMAzZqpnp9U2Dn5s17Bxr11pump</t>
        </is>
      </c>
      <c r="P44" s="17">
        <f>HYPERLINK("https://photon-sol.tinyastro.io/en/lp/9jso3Fzdp8xuLXXbRuMAzZqpnp9U2Dn5s17Bxr11pump?handle=676050794bc1b1657a56b", "View")</f>
        <v/>
      </c>
    </row>
    <row r="45">
      <c r="A45" s="20" t="inlineStr">
        <is>
          <t>PEEP</t>
        </is>
      </c>
      <c r="B45" s="21" t="n">
        <v>7313073</v>
      </c>
      <c r="C45" s="21" t="n">
        <v>0</v>
      </c>
      <c r="D45" s="21" t="inlineStr">
        <is>
          <t>0.000710</t>
        </is>
      </c>
      <c r="E45" s="21" t="inlineStr">
        <is>
          <t>1.040 SOL</t>
        </is>
      </c>
      <c r="F45" s="21" t="inlineStr">
        <is>
          <t>0.000 SOL</t>
        </is>
      </c>
      <c r="G45" s="18" t="inlineStr">
        <is>
          <t>-1.040 SOL</t>
        </is>
      </c>
      <c r="H45" s="18" t="inlineStr">
        <is>
          <t>0.00%</t>
        </is>
      </c>
      <c r="I45" s="21" t="inlineStr">
        <is>
          <t>7,313,073</t>
        </is>
      </c>
      <c r="J45" s="21" t="n">
        <v>1</v>
      </c>
      <c r="K45" s="21" t="n">
        <v>0</v>
      </c>
      <c r="L45" s="21" t="inlineStr">
        <is>
          <t>29.10.2024 15:34:39</t>
        </is>
      </c>
      <c r="M45" s="19" t="inlineStr">
        <is>
          <t>0 sec</t>
        </is>
      </c>
      <c r="N45" s="21" t="inlineStr">
        <is>
          <t xml:space="preserve">         25K            25K             6K</t>
        </is>
      </c>
      <c r="O45" s="21" t="inlineStr">
        <is>
          <t>3i8MpsF8nPqhnGecmR4oiD2N4vDVdn8kcKvPqZkmpump</t>
        </is>
      </c>
      <c r="P45" s="21">
        <f>HYPERLINK("https://photon-sol.tinyastro.io/en/lp/3i8MpsF8nPqhnGecmR4oiD2N4vDVdn8kcKvPqZkmpump?handle=676050794bc1b1657a56b", "View")</f>
        <v/>
      </c>
    </row>
    <row r="46">
      <c r="A46" s="16" t="inlineStr">
        <is>
          <t>$slop</t>
        </is>
      </c>
      <c r="B46" s="17" t="n">
        <v>99838</v>
      </c>
      <c r="C46" s="17" t="n">
        <v>0</v>
      </c>
      <c r="D46" s="17" t="inlineStr">
        <is>
          <t>0.007510</t>
        </is>
      </c>
      <c r="E46" s="17" t="inlineStr">
        <is>
          <t>2.000 SOL</t>
        </is>
      </c>
      <c r="F46" s="17" t="inlineStr">
        <is>
          <t>0.000 SOL</t>
        </is>
      </c>
      <c r="G46" s="18" t="inlineStr">
        <is>
          <t>-2.008 SOL</t>
        </is>
      </c>
      <c r="H46" s="18" t="inlineStr">
        <is>
          <t>0.00%</t>
        </is>
      </c>
      <c r="I46" s="17" t="inlineStr">
        <is>
          <t>99,838</t>
        </is>
      </c>
      <c r="J46" s="17" t="n">
        <v>1</v>
      </c>
      <c r="K46" s="17" t="n">
        <v>0</v>
      </c>
      <c r="L46" s="17" t="inlineStr">
        <is>
          <t>29.10.2024 14:55:17</t>
        </is>
      </c>
      <c r="M46" s="19" t="inlineStr">
        <is>
          <t>0 sec</t>
        </is>
      </c>
      <c r="N46" s="17" t="inlineStr">
        <is>
          <t xml:space="preserve">          4M             4M             3M</t>
        </is>
      </c>
      <c r="O46" s="17" t="inlineStr">
        <is>
          <t>FqvtZ2UFR9we82Ni4LeacC1zyTiQ77usDo31DUokpump</t>
        </is>
      </c>
      <c r="P46" s="17">
        <f>HYPERLINK("https://dexscreener.com/solana/FqvtZ2UFR9we82Ni4LeacC1zyTiQ77usDo31DUokpump", "View")</f>
        <v/>
      </c>
    </row>
    <row r="47">
      <c r="A47" s="20" t="inlineStr">
        <is>
          <t>shaun</t>
        </is>
      </c>
      <c r="B47" s="21" t="n">
        <v>4790618</v>
      </c>
      <c r="C47" s="21" t="n">
        <v>0</v>
      </c>
      <c r="D47" s="21" t="inlineStr">
        <is>
          <t>0.003570</t>
        </is>
      </c>
      <c r="E47" s="21" t="inlineStr">
        <is>
          <t>1.006 SOL</t>
        </is>
      </c>
      <c r="F47" s="21" t="inlineStr">
        <is>
          <t>0.000 SOL</t>
        </is>
      </c>
      <c r="G47" s="18" t="inlineStr">
        <is>
          <t>-1.009 SOL</t>
        </is>
      </c>
      <c r="H47" s="18" t="inlineStr">
        <is>
          <t>0.00%</t>
        </is>
      </c>
      <c r="I47" s="21" t="inlineStr">
        <is>
          <t>4,790,618</t>
        </is>
      </c>
      <c r="J47" s="21" t="n">
        <v>1</v>
      </c>
      <c r="K47" s="21" t="n">
        <v>0</v>
      </c>
      <c r="L47" s="21" t="inlineStr">
        <is>
          <t>29.10.2024 14:53:39</t>
        </is>
      </c>
      <c r="M47" s="19" t="inlineStr">
        <is>
          <t>0 sec</t>
        </is>
      </c>
      <c r="N47" s="21" t="inlineStr">
        <is>
          <t xml:space="preserve">         37K            37K             5K</t>
        </is>
      </c>
      <c r="O47" s="21" t="inlineStr">
        <is>
          <t>8DZzow4ZmvUJGstj54EuKSyu5DtVCVxbphAxFoiYpump</t>
        </is>
      </c>
      <c r="P47" s="21">
        <f>HYPERLINK("https://photon-sol.tinyastro.io/en/lp/8DZzow4ZmvUJGstj54EuKSyu5DtVCVxbphAxFoiYpump?handle=676050794bc1b1657a56b", "View")</f>
        <v/>
      </c>
    </row>
    <row r="48">
      <c r="A48" s="16" t="inlineStr">
        <is>
          <t>DINNER</t>
        </is>
      </c>
      <c r="B48" s="17" t="n">
        <v>16348566</v>
      </c>
      <c r="C48" s="17" t="n">
        <v>0</v>
      </c>
      <c r="D48" s="17" t="inlineStr">
        <is>
          <t>0.015010</t>
        </is>
      </c>
      <c r="E48" s="17" t="inlineStr">
        <is>
          <t>3.000 SOL</t>
        </is>
      </c>
      <c r="F48" s="17" t="inlineStr">
        <is>
          <t>0.000 SOL</t>
        </is>
      </c>
      <c r="G48" s="18" t="inlineStr">
        <is>
          <t>-3.015 SOL</t>
        </is>
      </c>
      <c r="H48" s="18" t="inlineStr">
        <is>
          <t>0.00%</t>
        </is>
      </c>
      <c r="I48" s="17" t="inlineStr">
        <is>
          <t>16,348,566</t>
        </is>
      </c>
      <c r="J48" s="17" t="n">
        <v>2</v>
      </c>
      <c r="K48" s="17" t="n">
        <v>0</v>
      </c>
      <c r="L48" s="17" t="inlineStr">
        <is>
          <t>29.10.2024 14:27:06</t>
        </is>
      </c>
      <c r="M48" s="17" t="inlineStr">
        <is>
          <t>14 min</t>
        </is>
      </c>
      <c r="N48" s="17" t="inlineStr">
        <is>
          <t xml:space="preserve">         31K            33K            15K</t>
        </is>
      </c>
      <c r="O48" s="17" t="inlineStr">
        <is>
          <t>EvRzwCKxMg7689votYzPxQhA6Qx2JAuKcxj2tNUz52uK</t>
        </is>
      </c>
      <c r="P48" s="17">
        <f>HYPERLINK("https://dexscreener.com/solana/EvRzwCKxMg7689votYzPxQhA6Qx2JAuKcxj2tNUz52uK", "View")</f>
        <v/>
      </c>
    </row>
    <row r="49">
      <c r="A49" s="20" t="inlineStr">
        <is>
          <t>BOODENG</t>
        </is>
      </c>
      <c r="B49" s="21" t="n">
        <v>3417592</v>
      </c>
      <c r="C49" s="21" t="n">
        <v>0</v>
      </c>
      <c r="D49" s="21" t="inlineStr">
        <is>
          <t>0.005560</t>
        </is>
      </c>
      <c r="E49" s="21" t="inlineStr">
        <is>
          <t>3.000 SOL</t>
        </is>
      </c>
      <c r="F49" s="21" t="inlineStr">
        <is>
          <t>0.000 SOL</t>
        </is>
      </c>
      <c r="G49" s="18" t="inlineStr">
        <is>
          <t>-3.006 SOL</t>
        </is>
      </c>
      <c r="H49" s="18" t="inlineStr">
        <is>
          <t>0.00%</t>
        </is>
      </c>
      <c r="I49" s="21" t="inlineStr">
        <is>
          <t>3,417,592</t>
        </is>
      </c>
      <c r="J49" s="21" t="n">
        <v>1</v>
      </c>
      <c r="K49" s="21" t="n">
        <v>0</v>
      </c>
      <c r="L49" s="21" t="inlineStr">
        <is>
          <t>29.10.2024 13:27:17</t>
        </is>
      </c>
      <c r="M49" s="19" t="inlineStr">
        <is>
          <t>0 sec</t>
        </is>
      </c>
      <c r="N49" s="21" t="inlineStr">
        <is>
          <t xml:space="preserve">        155K           155K             9K</t>
        </is>
      </c>
      <c r="O49" s="21" t="inlineStr">
        <is>
          <t>BY1phzPpWavqEMC5zQsHpsVD2Tp11q4HpK2DfEpspump</t>
        </is>
      </c>
      <c r="P49" s="21">
        <f>HYPERLINK("https://dexscreener.com/solana/BY1phzPpWavqEMC5zQsHpsVD2Tp11q4HpK2DfEpspump", "View")</f>
        <v/>
      </c>
    </row>
    <row r="50">
      <c r="A50" s="16" t="inlineStr">
        <is>
          <t>Beli</t>
        </is>
      </c>
      <c r="B50" s="17" t="n">
        <v>1858857</v>
      </c>
      <c r="C50" s="17" t="n">
        <v>0</v>
      </c>
      <c r="D50" s="17" t="inlineStr">
        <is>
          <t>0.007510</t>
        </is>
      </c>
      <c r="E50" s="17" t="inlineStr">
        <is>
          <t>3.000 SOL</t>
        </is>
      </c>
      <c r="F50" s="17" t="inlineStr">
        <is>
          <t>0.000 SOL</t>
        </is>
      </c>
      <c r="G50" s="18" t="inlineStr">
        <is>
          <t>-3.008 SOL</t>
        </is>
      </c>
      <c r="H50" s="18" t="inlineStr">
        <is>
          <t>0.00%</t>
        </is>
      </c>
      <c r="I50" s="17" t="inlineStr">
        <is>
          <t>1,858,857</t>
        </is>
      </c>
      <c r="J50" s="17" t="n">
        <v>1</v>
      </c>
      <c r="K50" s="17" t="n">
        <v>0</v>
      </c>
      <c r="L50" s="17" t="inlineStr">
        <is>
          <t>29.10.2024 12:23:24</t>
        </is>
      </c>
      <c r="M50" s="19" t="inlineStr">
        <is>
          <t>0 sec</t>
        </is>
      </c>
      <c r="N50" s="17" t="inlineStr">
        <is>
          <t xml:space="preserve">        283K           283K             5K</t>
        </is>
      </c>
      <c r="O50" s="17" t="inlineStr">
        <is>
          <t>6LhvoAHTJbHR5U8f72mt75rYWpfGNckSnogFuRCLpump</t>
        </is>
      </c>
      <c r="P50" s="17">
        <f>HYPERLINK("https://dexscreener.com/solana/6LhvoAHTJbHR5U8f72mt75rYWpfGNckSnogFuRCLpump", "View")</f>
        <v/>
      </c>
    </row>
    <row r="51">
      <c r="A51" s="20" t="inlineStr">
        <is>
          <t>ANDYCHAOS</t>
        </is>
      </c>
      <c r="B51" s="21" t="n">
        <v>8803537</v>
      </c>
      <c r="C51" s="21" t="n">
        <v>4401769</v>
      </c>
      <c r="D51" s="21" t="inlineStr">
        <is>
          <t>0.008030</t>
        </is>
      </c>
      <c r="E51" s="21" t="inlineStr">
        <is>
          <t>2.000 SOL</t>
        </is>
      </c>
      <c r="F51" s="21" t="inlineStr">
        <is>
          <t>2.149 SOL</t>
        </is>
      </c>
      <c r="G51" s="22" t="inlineStr">
        <is>
          <t>0.141 SOL</t>
        </is>
      </c>
      <c r="H51" s="22" t="inlineStr">
        <is>
          <t>7.04%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29.10.2024 12:13:14</t>
        </is>
      </c>
      <c r="M51" s="21" t="inlineStr">
        <is>
          <t>3 min</t>
        </is>
      </c>
      <c r="N51" s="21" t="inlineStr">
        <is>
          <t xml:space="preserve">         40K            86K            30K</t>
        </is>
      </c>
      <c r="O51" s="21" t="inlineStr">
        <is>
          <t>FaGU9cdfdRpy3LREbwMzES2pGCNJGKfMYMeDWx8Jpump</t>
        </is>
      </c>
      <c r="P51" s="21">
        <f>HYPERLINK("https://dexscreener.com/solana/FaGU9cdfdRpy3LREbwMzES2pGCNJGKfMYMeDWx8Jpump", "View")</f>
        <v/>
      </c>
    </row>
    <row r="52">
      <c r="A52" s="16" t="inlineStr">
        <is>
          <t>Nailong</t>
        </is>
      </c>
      <c r="B52" s="17" t="n">
        <v>567219</v>
      </c>
      <c r="C52" s="17" t="n">
        <v>452894</v>
      </c>
      <c r="D52" s="17" t="inlineStr">
        <is>
          <t>0.011930</t>
        </is>
      </c>
      <c r="E52" s="17" t="inlineStr">
        <is>
          <t>4.390 SOL</t>
        </is>
      </c>
      <c r="F52" s="17" t="inlineStr">
        <is>
          <t>7.001 SOL</t>
        </is>
      </c>
      <c r="G52" s="24" t="inlineStr">
        <is>
          <t>2.599 SOL</t>
        </is>
      </c>
      <c r="H52" s="24" t="inlineStr">
        <is>
          <t>59.05%</t>
        </is>
      </c>
      <c r="I52" s="17" t="inlineStr">
        <is>
          <t>N/A</t>
        </is>
      </c>
      <c r="J52" s="17" t="n">
        <v>2</v>
      </c>
      <c r="K52" s="17" t="n">
        <v>3</v>
      </c>
      <c r="L52" s="17" t="inlineStr">
        <is>
          <t>29.10.2024 10:57:10</t>
        </is>
      </c>
      <c r="M52" s="17" t="inlineStr">
        <is>
          <t>9 days</t>
        </is>
      </c>
      <c r="N52" s="17" t="inlineStr">
        <is>
          <t xml:space="preserve">          8M             1M            10M</t>
        </is>
      </c>
      <c r="O52" s="17" t="inlineStr">
        <is>
          <t>mkvXiNBpa8uiSApe5BrhWVJaT87pJFTZxRy7zFapump</t>
        </is>
      </c>
      <c r="P52" s="17">
        <f>HYPERLINK("https://dexscreener.com/solana/mkvXiNBpa8uiSApe5BrhWVJaT87pJFTZxRy7zFapump", "View")</f>
        <v/>
      </c>
    </row>
    <row r="53">
      <c r="A53" s="20" t="inlineStr">
        <is>
          <t>Raelism</t>
        </is>
      </c>
      <c r="B53" s="21" t="n">
        <v>16786602</v>
      </c>
      <c r="C53" s="21" t="n">
        <v>16786602</v>
      </c>
      <c r="D53" s="21" t="inlineStr">
        <is>
          <t>0.004520</t>
        </is>
      </c>
      <c r="E53" s="21" t="inlineStr">
        <is>
          <t>1.017 SOL</t>
        </is>
      </c>
      <c r="F53" s="21" t="inlineStr">
        <is>
          <t>0.689 SOL</t>
        </is>
      </c>
      <c r="G53" s="25" t="inlineStr">
        <is>
          <t>-0.332 SOL</t>
        </is>
      </c>
      <c r="H53" s="25" t="inlineStr">
        <is>
          <t>-32.50%</t>
        </is>
      </c>
      <c r="I53" s="21" t="inlineStr">
        <is>
          <t>N/A</t>
        </is>
      </c>
      <c r="J53" s="21" t="n">
        <v>1</v>
      </c>
      <c r="K53" s="21" t="n">
        <v>1</v>
      </c>
      <c r="L53" s="21" t="inlineStr">
        <is>
          <t>29.10.2024 10:43:21</t>
        </is>
      </c>
      <c r="M53" s="19" t="inlineStr">
        <is>
          <t>37 sec</t>
        </is>
      </c>
      <c r="N53" s="21" t="inlineStr">
        <is>
          <t xml:space="preserve">         11K             7K             5K</t>
        </is>
      </c>
      <c r="O53" s="21" t="inlineStr">
        <is>
          <t>m7Fub7YiwFy4EJU7k1EDgKzLUPAkEvskY9tRunEpump</t>
        </is>
      </c>
      <c r="P53" s="21">
        <f>HYPERLINK("https://photon-sol.tinyastro.io/en/lp/m7Fub7YiwFy4EJU7k1EDgKzLUPAkEvskY9tRunEpump?handle=676050794bc1b1657a56b", "View")</f>
        <v/>
      </c>
    </row>
    <row r="54">
      <c r="A54" s="16" t="inlineStr">
        <is>
          <t>Colossus</t>
        </is>
      </c>
      <c r="B54" s="17" t="n">
        <v>992990</v>
      </c>
      <c r="C54" s="17" t="n">
        <v>0</v>
      </c>
      <c r="D54" s="17" t="inlineStr">
        <is>
          <t>0.001120</t>
        </is>
      </c>
      <c r="E54" s="17" t="inlineStr">
        <is>
          <t>3.000 SOL</t>
        </is>
      </c>
      <c r="F54" s="17" t="inlineStr">
        <is>
          <t>0.000 SOL</t>
        </is>
      </c>
      <c r="G54" s="18" t="inlineStr">
        <is>
          <t>-3.001 SOL</t>
        </is>
      </c>
      <c r="H54" s="18" t="inlineStr">
        <is>
          <t>0.00%</t>
        </is>
      </c>
      <c r="I54" s="17" t="inlineStr">
        <is>
          <t>992,990</t>
        </is>
      </c>
      <c r="J54" s="17" t="n">
        <v>1</v>
      </c>
      <c r="K54" s="17" t="n">
        <v>0</v>
      </c>
      <c r="L54" s="17" t="inlineStr">
        <is>
          <t>29.10.2024 07:23:33</t>
        </is>
      </c>
      <c r="M54" s="19" t="inlineStr">
        <is>
          <t>0 sec</t>
        </is>
      </c>
      <c r="N54" s="17" t="inlineStr">
        <is>
          <t xml:space="preserve">        530K           530K           119K</t>
        </is>
      </c>
      <c r="O54" s="17" t="inlineStr">
        <is>
          <t>8SuMAjoZeLGaaekNHP235Dv4soXsrcseFXefT3A9pump</t>
        </is>
      </c>
      <c r="P54" s="17">
        <f>HYPERLINK("https://dexscreener.com/solana/8SuMAjoZeLGaaekNHP235Dv4soXsrcseFXefT3A9pump", "View")</f>
        <v/>
      </c>
    </row>
    <row r="55">
      <c r="A55" s="20" t="inlineStr">
        <is>
          <t>MOFA</t>
        </is>
      </c>
      <c r="B55" s="21" t="n">
        <v>2921437</v>
      </c>
      <c r="C55" s="21" t="n">
        <v>0</v>
      </c>
      <c r="D55" s="21" t="inlineStr">
        <is>
          <t>0.004060</t>
        </is>
      </c>
      <c r="E55" s="21" t="inlineStr">
        <is>
          <t>0.875 SOL</t>
        </is>
      </c>
      <c r="F55" s="21" t="inlineStr">
        <is>
          <t>0.000 SOL</t>
        </is>
      </c>
      <c r="G55" s="18" t="inlineStr">
        <is>
          <t>-0.879 SOL</t>
        </is>
      </c>
      <c r="H55" s="18" t="inlineStr">
        <is>
          <t>0.00%</t>
        </is>
      </c>
      <c r="I55" s="21" t="inlineStr">
        <is>
          <t>2,921,437</t>
        </is>
      </c>
      <c r="J55" s="21" t="n">
        <v>1</v>
      </c>
      <c r="K55" s="21" t="n">
        <v>0</v>
      </c>
      <c r="L55" s="21" t="inlineStr">
        <is>
          <t>29.10.2024 06:11:24</t>
        </is>
      </c>
      <c r="M55" s="19" t="inlineStr">
        <is>
          <t>0 sec</t>
        </is>
      </c>
      <c r="N55" s="21" t="inlineStr">
        <is>
          <t xml:space="preserve">        N/A           N/A           N/A</t>
        </is>
      </c>
      <c r="O55" s="21" t="inlineStr">
        <is>
          <t>5HdP98Awxbf6fSt4VuKG3P2FHSeNCceiMZXUCs57LHfb</t>
        </is>
      </c>
      <c r="P55" s="21">
        <f>HYPERLINK("https://photon-sol.tinyastro.io/en/lp/5HdP98Awxbf6fSt4VuKG3P2FHSeNCceiMZXUCs57LHfb?handle=676050794bc1b1657a56b", "View")</f>
        <v/>
      </c>
    </row>
    <row r="56">
      <c r="A56" s="16" t="inlineStr">
        <is>
          <t>IB</t>
        </is>
      </c>
      <c r="B56" s="17" t="n">
        <v>288116</v>
      </c>
      <c r="C56" s="17" t="n">
        <v>145237</v>
      </c>
      <c r="D56" s="17" t="inlineStr">
        <is>
          <t>0.017810</t>
        </is>
      </c>
      <c r="E56" s="17" t="inlineStr">
        <is>
          <t>5.000 SOL</t>
        </is>
      </c>
      <c r="F56" s="17" t="inlineStr">
        <is>
          <t>2.321 SOL</t>
        </is>
      </c>
      <c r="G56" s="23" t="inlineStr">
        <is>
          <t>-2.697 SOL</t>
        </is>
      </c>
      <c r="H56" s="23" t="inlineStr">
        <is>
          <t>-53.75%</t>
        </is>
      </c>
      <c r="I56" s="17" t="inlineStr">
        <is>
          <t>N/A</t>
        </is>
      </c>
      <c r="J56" s="17" t="n">
        <v>2</v>
      </c>
      <c r="K56" s="17" t="n">
        <v>2</v>
      </c>
      <c r="L56" s="17" t="inlineStr">
        <is>
          <t>29.10.2024 06:10:20</t>
        </is>
      </c>
      <c r="M56" s="17" t="inlineStr">
        <is>
          <t>1 hours</t>
        </is>
      </c>
      <c r="N56" s="17" t="inlineStr">
        <is>
          <t xml:space="preserve">          4M             2M           347K</t>
        </is>
      </c>
      <c r="O56" s="17" t="inlineStr">
        <is>
          <t>4J5HoZWoKcbo2JQxEEVCKRBfUQtEroY1QdRrKtZFpump</t>
        </is>
      </c>
      <c r="P56" s="17">
        <f>HYPERLINK("https://dexscreener.com/solana/4J5HoZWoKcbo2JQxEEVCKRBfUQtEroY1QdRrKtZFpump", "View")</f>
        <v/>
      </c>
    </row>
    <row r="57">
      <c r="A57" s="20" t="inlineStr">
        <is>
          <t>mofa</t>
        </is>
      </c>
      <c r="B57" s="21" t="n">
        <v>776282</v>
      </c>
      <c r="C57" s="21" t="n">
        <v>0</v>
      </c>
      <c r="D57" s="21" t="inlineStr">
        <is>
          <t>0.007510</t>
        </is>
      </c>
      <c r="E57" s="21" t="inlineStr">
        <is>
          <t>2.000 SOL</t>
        </is>
      </c>
      <c r="F57" s="21" t="inlineStr">
        <is>
          <t>0.000 SOL</t>
        </is>
      </c>
      <c r="G57" s="18" t="inlineStr">
        <is>
          <t>-2.008 SOL</t>
        </is>
      </c>
      <c r="H57" s="18" t="inlineStr">
        <is>
          <t>0.00%</t>
        </is>
      </c>
      <c r="I57" s="21" t="inlineStr">
        <is>
          <t>776,282</t>
        </is>
      </c>
      <c r="J57" s="21" t="n">
        <v>1</v>
      </c>
      <c r="K57" s="21" t="n">
        <v>0</v>
      </c>
      <c r="L57" s="21" t="inlineStr">
        <is>
          <t>29.10.2024 06:09:52</t>
        </is>
      </c>
      <c r="M57" s="19" t="inlineStr">
        <is>
          <t>0 sec</t>
        </is>
      </c>
      <c r="N57" s="21" t="inlineStr">
        <is>
          <t xml:space="preserve">        453K           453K            18K</t>
        </is>
      </c>
      <c r="O57" s="21" t="inlineStr">
        <is>
          <t>2aVCSF8R74m5Nh18nXUSx1YDNS3Zxj2kQCa3mrdgpump</t>
        </is>
      </c>
      <c r="P57" s="21">
        <f>HYPERLINK("https://dexscreener.com/solana/2aVCSF8R74m5Nh18nXUSx1YDNS3Zxj2kQCa3mrdgpump", "View")</f>
        <v/>
      </c>
    </row>
    <row r="58">
      <c r="A58" s="16" t="inlineStr">
        <is>
          <t>WOAT</t>
        </is>
      </c>
      <c r="B58" s="17" t="n">
        <v>7812512</v>
      </c>
      <c r="C58" s="17" t="n">
        <v>0</v>
      </c>
      <c r="D58" s="17" t="inlineStr">
        <is>
          <t>0.009140</t>
        </is>
      </c>
      <c r="E58" s="17" t="inlineStr">
        <is>
          <t>3.000 SOL</t>
        </is>
      </c>
      <c r="F58" s="17" t="inlineStr">
        <is>
          <t>0.000 SOL</t>
        </is>
      </c>
      <c r="G58" s="18" t="inlineStr">
        <is>
          <t>-3.009 SOL</t>
        </is>
      </c>
      <c r="H58" s="18" t="inlineStr">
        <is>
          <t>0.00%</t>
        </is>
      </c>
      <c r="I58" s="17" t="inlineStr">
        <is>
          <t>7,812,512</t>
        </is>
      </c>
      <c r="J58" s="17" t="n">
        <v>2</v>
      </c>
      <c r="K58" s="17" t="n">
        <v>0</v>
      </c>
      <c r="L58" s="17" t="inlineStr">
        <is>
          <t>29.10.2024 05:56:19</t>
        </is>
      </c>
      <c r="M58" s="17" t="inlineStr">
        <is>
          <t>22 min</t>
        </is>
      </c>
      <c r="N58" s="17" t="inlineStr">
        <is>
          <t xml:space="preserve">        262K            49K            11K</t>
        </is>
      </c>
      <c r="O58" s="17" t="inlineStr">
        <is>
          <t>6qocE7eQhug7pE7CggAvdNJJMtkHjKaVYRSND7Bwpump</t>
        </is>
      </c>
      <c r="P58" s="17">
        <f>HYPERLINK("https://dexscreener.com/solana/6qocE7eQhug7pE7CggAvdNJJMtkHjKaVYRSND7Bwpump", "View")</f>
        <v/>
      </c>
    </row>
    <row r="59">
      <c r="A59" s="20" t="inlineStr">
        <is>
          <t>TJR</t>
        </is>
      </c>
      <c r="B59" s="21" t="n">
        <v>7741983</v>
      </c>
      <c r="C59" s="21" t="n">
        <v>5806487</v>
      </c>
      <c r="D59" s="21" t="inlineStr">
        <is>
          <t>0.010980</t>
        </is>
      </c>
      <c r="E59" s="21" t="inlineStr">
        <is>
          <t>2.000 SOL</t>
        </is>
      </c>
      <c r="F59" s="21" t="inlineStr">
        <is>
          <t>3.012 SOL</t>
        </is>
      </c>
      <c r="G59" s="22" t="inlineStr">
        <is>
          <t>1.001 SOL</t>
        </is>
      </c>
      <c r="H59" s="22" t="inlineStr">
        <is>
          <t>49.77%</t>
        </is>
      </c>
      <c r="I59" s="21" t="inlineStr">
        <is>
          <t>N/A</t>
        </is>
      </c>
      <c r="J59" s="21" t="n">
        <v>1</v>
      </c>
      <c r="K59" s="21" t="n">
        <v>2</v>
      </c>
      <c r="L59" s="21" t="inlineStr">
        <is>
          <t>29.10.2024 05:35:13</t>
        </is>
      </c>
      <c r="M59" s="21" t="inlineStr">
        <is>
          <t>5 min</t>
        </is>
      </c>
      <c r="N59" s="21" t="inlineStr">
        <is>
          <t xml:space="preserve">         46K           100K             5K</t>
        </is>
      </c>
      <c r="O59" s="21" t="inlineStr">
        <is>
          <t>AKfPvDjZxmZjRZttfCF6wGMeK8LH3MZYd7r9Mxe3pump</t>
        </is>
      </c>
      <c r="P59" s="21">
        <f>HYPERLINK("https://dexscreener.com/solana/AKfPvDjZxmZjRZttfCF6wGMeK8LH3MZYd7r9Mxe3pump", "View")</f>
        <v/>
      </c>
    </row>
    <row r="60">
      <c r="A60" s="16" t="inlineStr">
        <is>
          <t>CB</t>
        </is>
      </c>
      <c r="B60" s="17" t="n">
        <v>49186</v>
      </c>
      <c r="C60" s="17" t="n">
        <v>49186</v>
      </c>
      <c r="D60" s="17" t="inlineStr">
        <is>
          <t>0.008060</t>
        </is>
      </c>
      <c r="E60" s="17" t="inlineStr">
        <is>
          <t>2.000 SOL</t>
        </is>
      </c>
      <c r="F60" s="17" t="inlineStr">
        <is>
          <t>1.900 SOL</t>
        </is>
      </c>
      <c r="G60" s="25" t="inlineStr">
        <is>
          <t>-0.108 SOL</t>
        </is>
      </c>
      <c r="H60" s="25" t="inlineStr">
        <is>
          <t>-5.37%</t>
        </is>
      </c>
      <c r="I60" s="17" t="inlineStr">
        <is>
          <t>N/A</t>
        </is>
      </c>
      <c r="J60" s="17" t="n">
        <v>1</v>
      </c>
      <c r="K60" s="17" t="n">
        <v>1</v>
      </c>
      <c r="L60" s="17" t="inlineStr">
        <is>
          <t>29.10.2024 05:24:20</t>
        </is>
      </c>
      <c r="M60" s="17" t="inlineStr">
        <is>
          <t>1 days</t>
        </is>
      </c>
      <c r="N60" s="17" t="inlineStr">
        <is>
          <t xml:space="preserve">          7M             7M             5M</t>
        </is>
      </c>
      <c r="O60" s="17" t="inlineStr">
        <is>
          <t>3BeJ9zCgQhaqKMu2HgKJ79yQBChD1Pf3hPwRX44fpump</t>
        </is>
      </c>
      <c r="P60" s="17">
        <f>HYPERLINK("https://dexscreener.com/solana/3BeJ9zCgQhaqKMu2HgKJ79yQBChD1Pf3hPwRX44fpump", "View")</f>
        <v/>
      </c>
    </row>
    <row r="61">
      <c r="A61" s="20" t="inlineStr">
        <is>
          <t>D.O.G.E</t>
        </is>
      </c>
      <c r="B61" s="21" t="n">
        <v>179174</v>
      </c>
      <c r="C61" s="21" t="n">
        <v>0</v>
      </c>
      <c r="D61" s="21" t="inlineStr">
        <is>
          <t>0.007510</t>
        </is>
      </c>
      <c r="E61" s="21" t="inlineStr">
        <is>
          <t>1.000 SOL</t>
        </is>
      </c>
      <c r="F61" s="21" t="inlineStr">
        <is>
          <t>0.000 SOL</t>
        </is>
      </c>
      <c r="G61" s="18" t="inlineStr">
        <is>
          <t>-1.008 SOL</t>
        </is>
      </c>
      <c r="H61" s="18" t="inlineStr">
        <is>
          <t>0.00%</t>
        </is>
      </c>
      <c r="I61" s="21" t="inlineStr">
        <is>
          <t>179,174</t>
        </is>
      </c>
      <c r="J61" s="21" t="n">
        <v>1</v>
      </c>
      <c r="K61" s="21" t="n">
        <v>0</v>
      </c>
      <c r="L61" s="21" t="inlineStr">
        <is>
          <t>29.10.2024 04:52:24</t>
        </is>
      </c>
      <c r="M61" s="19" t="inlineStr">
        <is>
          <t>0 sec</t>
        </is>
      </c>
      <c r="N61" s="21" t="inlineStr">
        <is>
          <t xml:space="preserve">        980K           980K            18K</t>
        </is>
      </c>
      <c r="O61" s="21" t="inlineStr">
        <is>
          <t>GPF3b1vrWJfpaNNAXqTDLLnSRHTMG6auWonK3LAWpump</t>
        </is>
      </c>
      <c r="P61" s="21">
        <f>HYPERLINK("https://dexscreener.com/solana/GPF3b1vrWJfpaNNAXqTDLLnSRHTMG6auWonK3LAWpump", "View")</f>
        <v/>
      </c>
    </row>
    <row r="62">
      <c r="A62" s="16" t="inlineStr">
        <is>
          <t>Minion</t>
        </is>
      </c>
      <c r="B62" s="17" t="n">
        <v>838660</v>
      </c>
      <c r="C62" s="17" t="n">
        <v>320196</v>
      </c>
      <c r="D62" s="17" t="inlineStr">
        <is>
          <t>0.021340</t>
        </is>
      </c>
      <c r="E62" s="17" t="inlineStr">
        <is>
          <t>10.000 SOL</t>
        </is>
      </c>
      <c r="F62" s="17" t="inlineStr">
        <is>
          <t>5.581 SOL</t>
        </is>
      </c>
      <c r="G62" s="25" t="inlineStr">
        <is>
          <t>-4.441 SOL</t>
        </is>
      </c>
      <c r="H62" s="25" t="inlineStr">
        <is>
          <t>-44.31%</t>
        </is>
      </c>
      <c r="I62" s="17" t="inlineStr">
        <is>
          <t>N/A</t>
        </is>
      </c>
      <c r="J62" s="17" t="n">
        <v>5</v>
      </c>
      <c r="K62" s="17" t="n">
        <v>2</v>
      </c>
      <c r="L62" s="17" t="inlineStr">
        <is>
          <t>29.10.2024 03:28:53</t>
        </is>
      </c>
      <c r="M62" s="17" t="inlineStr">
        <is>
          <t>1 days</t>
        </is>
      </c>
      <c r="N62" s="17" t="inlineStr">
        <is>
          <t xml:space="preserve">          2M             1M             1M</t>
        </is>
      </c>
      <c r="O62" s="17" t="inlineStr">
        <is>
          <t>DqWf9DDK6H5c7KmEHkNJxnzNPSM6mzxonZJjK6yxpump</t>
        </is>
      </c>
      <c r="P62" s="17">
        <f>HYPERLINK("https://dexscreener.com/solana/DqWf9DDK6H5c7KmEHkNJxnzNPSM6mzxonZJjK6yxpump", "View")</f>
        <v/>
      </c>
    </row>
    <row r="63">
      <c r="A63" s="20" t="inlineStr">
        <is>
          <t>TEC</t>
        </is>
      </c>
      <c r="B63" s="21" t="n">
        <v>16486248</v>
      </c>
      <c r="C63" s="21" t="n">
        <v>16486248</v>
      </c>
      <c r="D63" s="21" t="inlineStr">
        <is>
          <t>0.004640</t>
        </is>
      </c>
      <c r="E63" s="21" t="inlineStr">
        <is>
          <t>2.013 SOL</t>
        </is>
      </c>
      <c r="F63" s="21" t="inlineStr">
        <is>
          <t>0.636 SOL</t>
        </is>
      </c>
      <c r="G63" s="23" t="inlineStr">
        <is>
          <t>-1.382 SOL</t>
        </is>
      </c>
      <c r="H63" s="23" t="inlineStr">
        <is>
          <t>-68.48%</t>
        </is>
      </c>
      <c r="I63" s="21" t="inlineStr">
        <is>
          <t>N/A</t>
        </is>
      </c>
      <c r="J63" s="21" t="n">
        <v>1</v>
      </c>
      <c r="K63" s="21" t="n">
        <v>1</v>
      </c>
      <c r="L63" s="21" t="inlineStr">
        <is>
          <t>29.10.2024 01:40:06</t>
        </is>
      </c>
      <c r="M63" s="21" t="inlineStr">
        <is>
          <t>8 hours</t>
        </is>
      </c>
      <c r="N63" s="21" t="inlineStr">
        <is>
          <t xml:space="preserve">         21K            21K            10K</t>
        </is>
      </c>
      <c r="O63" s="21" t="inlineStr">
        <is>
          <t>DYXn283gvH6oBkZtzJQzq2CayL88pd1zEdZoPVuypump</t>
        </is>
      </c>
      <c r="P63" s="21">
        <f>HYPERLINK("https://photon-sol.tinyastro.io/en/lp/DYXn283gvH6oBkZtzJQzq2CayL88pd1zEdZoPVuypump?handle=676050794bc1b1657a56b", "View")</f>
        <v/>
      </c>
    </row>
    <row r="64">
      <c r="A64" s="16" t="inlineStr">
        <is>
          <t>TEOC</t>
        </is>
      </c>
      <c r="B64" s="17" t="n">
        <v>27405257</v>
      </c>
      <c r="C64" s="17" t="n">
        <v>27405257</v>
      </c>
      <c r="D64" s="17" t="inlineStr">
        <is>
          <t>0.013520</t>
        </is>
      </c>
      <c r="E64" s="17" t="inlineStr">
        <is>
          <t>2.133 SOL</t>
        </is>
      </c>
      <c r="F64" s="17" t="inlineStr">
        <is>
          <t>1.637 SOL</t>
        </is>
      </c>
      <c r="G64" s="25" t="inlineStr">
        <is>
          <t>-0.510 SOL</t>
        </is>
      </c>
      <c r="H64" s="25" t="inlineStr">
        <is>
          <t>-23.75%</t>
        </is>
      </c>
      <c r="I64" s="17" t="inlineStr">
        <is>
          <t>N/A</t>
        </is>
      </c>
      <c r="J64" s="17" t="n">
        <v>1</v>
      </c>
      <c r="K64" s="17" t="n">
        <v>2</v>
      </c>
      <c r="L64" s="17" t="inlineStr">
        <is>
          <t>28.10.2024 17:08:54</t>
        </is>
      </c>
      <c r="M64" s="17" t="inlineStr">
        <is>
          <t>23 min</t>
        </is>
      </c>
      <c r="N64" s="17" t="inlineStr">
        <is>
          <t xml:space="preserve">         14K            11K             7K</t>
        </is>
      </c>
      <c r="O64" s="17" t="inlineStr">
        <is>
          <t>7dw4PrcowF4THewGsWfjELaBhwVdsitsktoQpPLgpump</t>
        </is>
      </c>
      <c r="P64" s="17">
        <f>HYPERLINK("https://photon-sol.tinyastro.io/en/lp/7dw4PrcowF4THewGsWfjELaBhwVdsitsktoQpPLgpump?handle=676050794bc1b1657a56b", "View")</f>
        <v/>
      </c>
    </row>
    <row r="65">
      <c r="A65" s="20" t="inlineStr">
        <is>
          <t>PTO</t>
        </is>
      </c>
      <c r="B65" s="21" t="n">
        <v>5439808</v>
      </c>
      <c r="C65" s="21" t="n">
        <v>5439808</v>
      </c>
      <c r="D65" s="21" t="inlineStr">
        <is>
          <t>0.005200</t>
        </is>
      </c>
      <c r="E65" s="21" t="inlineStr">
        <is>
          <t>0.995 SOL</t>
        </is>
      </c>
      <c r="F65" s="21" t="inlineStr">
        <is>
          <t>0.280 SOL</t>
        </is>
      </c>
      <c r="G65" s="23" t="inlineStr">
        <is>
          <t>-0.720 SOL</t>
        </is>
      </c>
      <c r="H65" s="23" t="inlineStr">
        <is>
          <t>-72.00%</t>
        </is>
      </c>
      <c r="I65" s="21" t="inlineStr">
        <is>
          <t>N/A</t>
        </is>
      </c>
      <c r="J65" s="21" t="n">
        <v>1</v>
      </c>
      <c r="K65" s="21" t="n">
        <v>1</v>
      </c>
      <c r="L65" s="21" t="inlineStr">
        <is>
          <t>28.10.2024 15:02:19</t>
        </is>
      </c>
      <c r="M65" s="21" t="inlineStr">
        <is>
          <t>36 min</t>
        </is>
      </c>
      <c r="N65" s="21" t="inlineStr">
        <is>
          <t xml:space="preserve">         32K             9K             6K</t>
        </is>
      </c>
      <c r="O65" s="21" t="inlineStr">
        <is>
          <t>3dqvHuqqbtGNJanRC7bsHtHx6vGemhRbNEFbE6mnH4KE</t>
        </is>
      </c>
      <c r="P65" s="21">
        <f>HYPERLINK("https://photon-sol.tinyastro.io/en/lp/3dqvHuqqbtGNJanRC7bsHtHx6vGemhRbNEFbE6mnH4KE?handle=676050794bc1b1657a56b", "View")</f>
        <v/>
      </c>
    </row>
    <row r="66">
      <c r="A66" s="16" t="inlineStr">
        <is>
          <t xml:space="preserve">TOAD </t>
        </is>
      </c>
      <c r="B66" s="17" t="n">
        <v>6150737</v>
      </c>
      <c r="C66" s="17" t="n">
        <v>6150737</v>
      </c>
      <c r="D66" s="17" t="inlineStr">
        <is>
          <t>0.055910</t>
        </is>
      </c>
      <c r="E66" s="17" t="inlineStr">
        <is>
          <t>5.016 SOL</t>
        </is>
      </c>
      <c r="F66" s="17" t="inlineStr">
        <is>
          <t>6.200 SOL</t>
        </is>
      </c>
      <c r="G66" s="22" t="inlineStr">
        <is>
          <t>1.128 SOL</t>
        </is>
      </c>
      <c r="H66" s="22" t="inlineStr">
        <is>
          <t>22.24%</t>
        </is>
      </c>
      <c r="I66" s="17" t="inlineStr">
        <is>
          <t>N/A</t>
        </is>
      </c>
      <c r="J66" s="17" t="n">
        <v>4</v>
      </c>
      <c r="K66" s="17" t="n">
        <v>6</v>
      </c>
      <c r="L66" s="17" t="inlineStr">
        <is>
          <t>28.10.2024 11:06:01</t>
        </is>
      </c>
      <c r="M66" s="17" t="inlineStr">
        <is>
          <t>15 min</t>
        </is>
      </c>
      <c r="N66" s="17" t="inlineStr">
        <is>
          <t xml:space="preserve">         50K           173K            36K</t>
        </is>
      </c>
      <c r="O66" s="17" t="inlineStr">
        <is>
          <t>6QaZjD1aRmfyCWS31r4GTMq5ULKNLHDkPudUd3oYpump</t>
        </is>
      </c>
      <c r="P66" s="17">
        <f>HYPERLINK("https://photon-sol.tinyastro.io/en/lp/6QaZjD1aRmfyCWS31r4GTMq5ULKNLHDkPudUd3oYpump?handle=676050794bc1b1657a56b", "View")</f>
        <v/>
      </c>
    </row>
    <row r="67">
      <c r="A67" s="20" t="inlineStr">
        <is>
          <t>GNON</t>
        </is>
      </c>
      <c r="B67" s="21" t="n">
        <v>67215</v>
      </c>
      <c r="C67" s="21" t="n">
        <v>0</v>
      </c>
      <c r="D67" s="21" t="inlineStr">
        <is>
          <t>0.007510</t>
        </is>
      </c>
      <c r="E67" s="21" t="inlineStr">
        <is>
          <t>3.000 SOL</t>
        </is>
      </c>
      <c r="F67" s="21" t="inlineStr">
        <is>
          <t>0.000 SOL</t>
        </is>
      </c>
      <c r="G67" s="18" t="inlineStr">
        <is>
          <t>-3.008 SOL</t>
        </is>
      </c>
      <c r="H67" s="18" t="inlineStr">
        <is>
          <t>0.00%</t>
        </is>
      </c>
      <c r="I67" s="21" t="inlineStr">
        <is>
          <t>67,215</t>
        </is>
      </c>
      <c r="J67" s="21" t="n">
        <v>1</v>
      </c>
      <c r="K67" s="21" t="n">
        <v>0</v>
      </c>
      <c r="L67" s="21" t="inlineStr">
        <is>
          <t>28.10.2024 06:14:40</t>
        </is>
      </c>
      <c r="M67" s="19" t="inlineStr">
        <is>
          <t>0 sec</t>
        </is>
      </c>
      <c r="N67" s="21" t="inlineStr">
        <is>
          <t xml:space="preserve">          8M             8M             4M</t>
        </is>
      </c>
      <c r="O67" s="21" t="inlineStr">
        <is>
          <t>HeJUFDxfJSzYFUuHLxkMqCgytU31G6mjP4wKviwqpump</t>
        </is>
      </c>
      <c r="P67" s="21">
        <f>HYPERLINK("https://dexscreener.com/solana/HeJUFDxfJSzYFUuHLxkMqCgytU31G6mjP4wKviwqpump", "View")</f>
        <v/>
      </c>
    </row>
    <row r="68">
      <c r="A68" s="16" t="inlineStr">
        <is>
          <t>Botto</t>
        </is>
      </c>
      <c r="B68" s="17" t="n">
        <v>44086420</v>
      </c>
      <c r="C68" s="17" t="n">
        <v>37932047</v>
      </c>
      <c r="D68" s="17" t="inlineStr">
        <is>
          <t>0.035350</t>
        </is>
      </c>
      <c r="E68" s="17" t="inlineStr">
        <is>
          <t>14.386 SOL</t>
        </is>
      </c>
      <c r="F68" s="17" t="inlineStr">
        <is>
          <t>22.975 SOL</t>
        </is>
      </c>
      <c r="G68" s="24" t="inlineStr">
        <is>
          <t>8.553 SOL</t>
        </is>
      </c>
      <c r="H68" s="24" t="inlineStr">
        <is>
          <t>59.30%</t>
        </is>
      </c>
      <c r="I68" s="17" t="inlineStr">
        <is>
          <t>N/A</t>
        </is>
      </c>
      <c r="J68" s="17" t="n">
        <v>4</v>
      </c>
      <c r="K68" s="17" t="n">
        <v>7</v>
      </c>
      <c r="L68" s="17" t="inlineStr">
        <is>
          <t>28.10.2024 03:15:15</t>
        </is>
      </c>
      <c r="M68" s="17" t="inlineStr">
        <is>
          <t>1 days</t>
        </is>
      </c>
      <c r="N68" s="17" t="inlineStr">
        <is>
          <t xml:space="preserve">        102K            18K            27K</t>
        </is>
      </c>
      <c r="O68" s="17" t="inlineStr">
        <is>
          <t>2Aaj5DXGE5n6XPLeSrC6oNxCkjAuJVEumtJN3PA9pump</t>
        </is>
      </c>
      <c r="P68" s="17">
        <f>HYPERLINK("https://photon-sol.tinyastro.io/en/lp/2Aaj5DXGE5n6XPLeSrC6oNxCkjAuJVEumtJN3PA9pump?handle=676050794bc1b1657a56b", "View")</f>
        <v/>
      </c>
    </row>
    <row r="69">
      <c r="A69" s="20" t="inlineStr">
        <is>
          <t>EYE</t>
        </is>
      </c>
      <c r="B69" s="21" t="n">
        <v>44072</v>
      </c>
      <c r="C69" s="21" t="n">
        <v>44072</v>
      </c>
      <c r="D69" s="21" t="inlineStr">
        <is>
          <t>0.019790</t>
        </is>
      </c>
      <c r="E69" s="21" t="inlineStr">
        <is>
          <t>3.000 SOL</t>
        </is>
      </c>
      <c r="F69" s="21" t="inlineStr">
        <is>
          <t>2.842 SOL</t>
        </is>
      </c>
      <c r="G69" s="25" t="inlineStr">
        <is>
          <t>-0.177 SOL</t>
        </is>
      </c>
      <c r="H69" s="25" t="inlineStr">
        <is>
          <t>-5.87%</t>
        </is>
      </c>
      <c r="I69" s="21" t="inlineStr">
        <is>
          <t>N/A</t>
        </is>
      </c>
      <c r="J69" s="21" t="n">
        <v>1</v>
      </c>
      <c r="K69" s="21" t="n">
        <v>2</v>
      </c>
      <c r="L69" s="21" t="inlineStr">
        <is>
          <t>28.10.2024 03:07:30</t>
        </is>
      </c>
      <c r="M69" s="21" t="inlineStr">
        <is>
          <t>14 hours</t>
        </is>
      </c>
      <c r="N69" s="21" t="inlineStr">
        <is>
          <t xml:space="preserve">         11M            16M           873K</t>
        </is>
      </c>
      <c r="O69" s="21" t="inlineStr">
        <is>
          <t>6MAWnfagDCzqmHQh88FVt9F1zzLqXpwGJpaL7zUTpump</t>
        </is>
      </c>
      <c r="P69" s="21">
        <f>HYPERLINK("https://dexscreener.com/solana/6MAWnfagDCzqmHQh88FVt9F1zzLqXpwGJpaL7zUTpump", "View")</f>
        <v/>
      </c>
    </row>
    <row r="70">
      <c r="A70" s="16" t="inlineStr">
        <is>
          <t>praiseAI</t>
        </is>
      </c>
      <c r="B70" s="17" t="n">
        <v>374264</v>
      </c>
      <c r="C70" s="17" t="n">
        <v>374264</v>
      </c>
      <c r="D70" s="17" t="inlineStr">
        <is>
          <t>0.016040</t>
        </is>
      </c>
      <c r="E70" s="17" t="inlineStr">
        <is>
          <t>2.000 SOL</t>
        </is>
      </c>
      <c r="F70" s="17" t="inlineStr">
        <is>
          <t>1.852 SOL</t>
        </is>
      </c>
      <c r="G70" s="25" t="inlineStr">
        <is>
          <t>-0.164 SOL</t>
        </is>
      </c>
      <c r="H70" s="25" t="inlineStr">
        <is>
          <t>-8.13%</t>
        </is>
      </c>
      <c r="I70" s="17" t="inlineStr">
        <is>
          <t>N/A</t>
        </is>
      </c>
      <c r="J70" s="17" t="n">
        <v>2</v>
      </c>
      <c r="K70" s="17" t="n">
        <v>1</v>
      </c>
      <c r="L70" s="17" t="inlineStr">
        <is>
          <t>28.10.2024 03:05:35</t>
        </is>
      </c>
      <c r="M70" s="17" t="inlineStr">
        <is>
          <t>11 hours</t>
        </is>
      </c>
      <c r="N70" s="17" t="inlineStr">
        <is>
          <t xml:space="preserve">        938K           940K           245K</t>
        </is>
      </c>
      <c r="O70" s="17" t="inlineStr">
        <is>
          <t>9WXNvkvub2Fvg88n8mLD3iywpLmfhRZHZmdf8CGhpump</t>
        </is>
      </c>
      <c r="P70" s="17">
        <f>HYPERLINK("https://dexscreener.com/solana/9WXNvkvub2Fvg88n8mLD3iywpLmfhRZHZmdf8CGhpump", "View")</f>
        <v/>
      </c>
    </row>
    <row r="71">
      <c r="A71" s="20" t="inlineStr">
        <is>
          <t>FOREST</t>
        </is>
      </c>
      <c r="B71" s="21" t="n">
        <v>41635</v>
      </c>
      <c r="C71" s="21" t="n">
        <v>41635</v>
      </c>
      <c r="D71" s="21" t="inlineStr">
        <is>
          <t>0.011930</t>
        </is>
      </c>
      <c r="E71" s="21" t="inlineStr">
        <is>
          <t>4.638 SOL</t>
        </is>
      </c>
      <c r="F71" s="21" t="inlineStr">
        <is>
          <t>4.584 SOL</t>
        </is>
      </c>
      <c r="G71" s="25" t="inlineStr">
        <is>
          <t>-0.065 SOL</t>
        </is>
      </c>
      <c r="H71" s="25" t="inlineStr">
        <is>
          <t>-1.41%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28.10.2024 03:01:56</t>
        </is>
      </c>
      <c r="M71" s="21" t="inlineStr">
        <is>
          <t>4 days</t>
        </is>
      </c>
      <c r="N71" s="21" t="inlineStr">
        <is>
          <t xml:space="preserve">         20M            20M             9M</t>
        </is>
      </c>
      <c r="O71" s="21" t="inlineStr">
        <is>
          <t>BoAQaykj3LtkM2Brevc7cQcRAzpqcsP47nJ2rkyopump</t>
        </is>
      </c>
      <c r="P71" s="21">
        <f>HYPERLINK("https://dexscreener.com/solana/BoAQaykj3LtkM2Brevc7cQcRAzpqcsP47nJ2rkyopump", "View")</f>
        <v/>
      </c>
    </row>
    <row r="72">
      <c r="A72" s="16" t="inlineStr">
        <is>
          <t>RedCircle</t>
        </is>
      </c>
      <c r="B72" s="17" t="n">
        <v>151185</v>
      </c>
      <c r="C72" s="17" t="n">
        <v>0</v>
      </c>
      <c r="D72" s="17" t="inlineStr">
        <is>
          <t>0.007510</t>
        </is>
      </c>
      <c r="E72" s="17" t="inlineStr">
        <is>
          <t>1.000 SOL</t>
        </is>
      </c>
      <c r="F72" s="17" t="inlineStr">
        <is>
          <t>0.000 SOL</t>
        </is>
      </c>
      <c r="G72" s="18" t="inlineStr">
        <is>
          <t>-1.008 SOL</t>
        </is>
      </c>
      <c r="H72" s="18" t="inlineStr">
        <is>
          <t>0.00%</t>
        </is>
      </c>
      <c r="I72" s="17" t="inlineStr">
        <is>
          <t>151,185</t>
        </is>
      </c>
      <c r="J72" s="17" t="n">
        <v>1</v>
      </c>
      <c r="K72" s="17" t="n">
        <v>0</v>
      </c>
      <c r="L72" s="17" t="inlineStr">
        <is>
          <t>28.10.2024 02:56:18</t>
        </is>
      </c>
      <c r="M72" s="19" t="inlineStr">
        <is>
          <t>0 sec</t>
        </is>
      </c>
      <c r="N72" s="17" t="inlineStr">
        <is>
          <t xml:space="preserve">          1M             1M            19K</t>
        </is>
      </c>
      <c r="O72" s="17" t="inlineStr">
        <is>
          <t>Em6JwNZN8U6ixHPAbrquXaMVSHHbYkfhcqVezoEGpump</t>
        </is>
      </c>
      <c r="P72" s="17">
        <f>HYPERLINK("https://dexscreener.com/solana/Em6JwNZN8U6ixHPAbrquXaMVSHHbYkfhcqVezoEGpump", "View")</f>
        <v/>
      </c>
    </row>
    <row r="73">
      <c r="A73" s="20" t="inlineStr">
        <is>
          <t>ELF</t>
        </is>
      </c>
      <c r="B73" s="21" t="n">
        <v>293923</v>
      </c>
      <c r="C73" s="21" t="n">
        <v>146961</v>
      </c>
      <c r="D73" s="21" t="inlineStr">
        <is>
          <t>0.008440</t>
        </is>
      </c>
      <c r="E73" s="21" t="inlineStr">
        <is>
          <t>1.000 SOL</t>
        </is>
      </c>
      <c r="F73" s="21" t="inlineStr">
        <is>
          <t>0.990 SOL</t>
        </is>
      </c>
      <c r="G73" s="25" t="inlineStr">
        <is>
          <t>-0.018 SOL</t>
        </is>
      </c>
      <c r="H73" s="25" t="inlineStr">
        <is>
          <t>-1.83%</t>
        </is>
      </c>
      <c r="I73" s="21" t="inlineStr">
        <is>
          <t>N/A</t>
        </is>
      </c>
      <c r="J73" s="21" t="n">
        <v>1</v>
      </c>
      <c r="K73" s="21" t="n">
        <v>1</v>
      </c>
      <c r="L73" s="21" t="inlineStr">
        <is>
          <t>27.10.2024 16:46:34</t>
        </is>
      </c>
      <c r="M73" s="21" t="inlineStr">
        <is>
          <t>3 hours</t>
        </is>
      </c>
      <c r="N73" s="21" t="inlineStr">
        <is>
          <t xml:space="preserve">        597K             1M           144K</t>
        </is>
      </c>
      <c r="O73" s="21" t="inlineStr">
        <is>
          <t>7p4CMCdETxQgSBiPqKsefFLVQgd8yHd1VQqQKEAzpump</t>
        </is>
      </c>
      <c r="P73" s="21">
        <f>HYPERLINK("https://dexscreener.com/solana/7p4CMCdETxQgSBiPqKsefFLVQgd8yHd1VQqQKEAzpump", "View")</f>
        <v/>
      </c>
    </row>
    <row r="74">
      <c r="A74" s="16" t="inlineStr">
        <is>
          <t>SAD</t>
        </is>
      </c>
      <c r="B74" s="17" t="n">
        <v>171779</v>
      </c>
      <c r="C74" s="17" t="n">
        <v>0</v>
      </c>
      <c r="D74" s="17" t="inlineStr">
        <is>
          <t>0.007510</t>
        </is>
      </c>
      <c r="E74" s="17" t="inlineStr">
        <is>
          <t>2.000 SOL</t>
        </is>
      </c>
      <c r="F74" s="17" t="inlineStr">
        <is>
          <t>0.000 SOL</t>
        </is>
      </c>
      <c r="G74" s="18" t="inlineStr">
        <is>
          <t>-2.008 SOL</t>
        </is>
      </c>
      <c r="H74" s="18" t="inlineStr">
        <is>
          <t>0.00%</t>
        </is>
      </c>
      <c r="I74" s="17" t="inlineStr">
        <is>
          <t>171,779</t>
        </is>
      </c>
      <c r="J74" s="17" t="n">
        <v>1</v>
      </c>
      <c r="K74" s="17" t="n">
        <v>0</v>
      </c>
      <c r="L74" s="17" t="inlineStr">
        <is>
          <t>27.10.2024 15:42:12</t>
        </is>
      </c>
      <c r="M74" s="19" t="inlineStr">
        <is>
          <t>0 sec</t>
        </is>
      </c>
      <c r="N74" s="17" t="inlineStr">
        <is>
          <t xml:space="preserve">          2M             2M            57K</t>
        </is>
      </c>
      <c r="O74" s="17" t="inlineStr">
        <is>
          <t>321tt4d8ZCGAdUB9PdB2cMtEL3uaJV4MaCzY2pTQpump</t>
        </is>
      </c>
      <c r="P74" s="17">
        <f>HYPERLINK("https://dexscreener.com/solana/321tt4d8ZCGAdUB9PdB2cMtEL3uaJV4MaCzY2pTQpump", "View")</f>
        <v/>
      </c>
    </row>
    <row r="75">
      <c r="A75" s="20" t="inlineStr">
        <is>
          <t>TateAI</t>
        </is>
      </c>
      <c r="B75" s="21" t="n">
        <v>174368</v>
      </c>
      <c r="C75" s="21" t="n">
        <v>174368</v>
      </c>
      <c r="D75" s="21" t="inlineStr">
        <is>
          <t>0.010360</t>
        </is>
      </c>
      <c r="E75" s="21" t="inlineStr">
        <is>
          <t>1.000 SOL</t>
        </is>
      </c>
      <c r="F75" s="21" t="inlineStr">
        <is>
          <t>1.010 SOL</t>
        </is>
      </c>
      <c r="G75" s="25" t="inlineStr">
        <is>
          <t>-0.001 SOL</t>
        </is>
      </c>
      <c r="H75" s="25" t="inlineStr">
        <is>
          <t>-0.08%</t>
        </is>
      </c>
      <c r="I75" s="21" t="inlineStr">
        <is>
          <t>N/A</t>
        </is>
      </c>
      <c r="J75" s="21" t="n">
        <v>1</v>
      </c>
      <c r="K75" s="21" t="n">
        <v>1</v>
      </c>
      <c r="L75" s="21" t="inlineStr">
        <is>
          <t>27.10.2024 14:58:03</t>
        </is>
      </c>
      <c r="M75" s="21" t="inlineStr">
        <is>
          <t>4 hours</t>
        </is>
      </c>
      <c r="N75" s="21" t="inlineStr">
        <is>
          <t xml:space="preserve">          1M             1M           659K</t>
        </is>
      </c>
      <c r="O75" s="21" t="inlineStr">
        <is>
          <t>BoBj68cWnCvzMNUKzJyR7Jq7tLM3v76D1pYL1E8rpump</t>
        </is>
      </c>
      <c r="P75" s="21">
        <f>HYPERLINK("https://dexscreener.com/solana/BoBj68cWnCvzMNUKzJyR7Jq7tLM3v76D1pYL1E8rpump", "View")</f>
        <v/>
      </c>
    </row>
    <row r="76">
      <c r="A76" s="16" t="inlineStr">
        <is>
          <t>OPUS</t>
        </is>
      </c>
      <c r="B76" s="17" t="n">
        <v>188326</v>
      </c>
      <c r="C76" s="17" t="n">
        <v>141245</v>
      </c>
      <c r="D76" s="17" t="inlineStr">
        <is>
          <t>0.015960</t>
        </is>
      </c>
      <c r="E76" s="17" t="inlineStr">
        <is>
          <t>3.000 SOL</t>
        </is>
      </c>
      <c r="F76" s="17" t="inlineStr">
        <is>
          <t>4.928 SOL</t>
        </is>
      </c>
      <c r="G76" s="24" t="inlineStr">
        <is>
          <t>1.912 SOL</t>
        </is>
      </c>
      <c r="H76" s="24" t="inlineStr">
        <is>
          <t>63.41%</t>
        </is>
      </c>
      <c r="I76" s="17" t="inlineStr">
        <is>
          <t>N/A</t>
        </is>
      </c>
      <c r="J76" s="17" t="n">
        <v>1</v>
      </c>
      <c r="K76" s="17" t="n">
        <v>2</v>
      </c>
      <c r="L76" s="17" t="inlineStr">
        <is>
          <t>27.10.2024 14:56:00</t>
        </is>
      </c>
      <c r="M76" s="17" t="inlineStr">
        <is>
          <t>4 days</t>
        </is>
      </c>
      <c r="N76" s="17" t="inlineStr">
        <is>
          <t xml:space="preserve">          3M             5M             4M</t>
        </is>
      </c>
      <c r="O76" s="17" t="inlineStr">
        <is>
          <t>9JhFqCA21MoAXs2PTaeqNQp2XngPn1PgYr2rsEVCpump</t>
        </is>
      </c>
      <c r="P76" s="17">
        <f>HYPERLINK("https://dexscreener.com/solana/9JhFqCA21MoAXs2PTaeqNQp2XngPn1PgYr2rsEVCpump", "View")</f>
        <v/>
      </c>
    </row>
    <row r="77">
      <c r="A77" s="20" t="inlineStr">
        <is>
          <t>MemesAI</t>
        </is>
      </c>
      <c r="B77" s="21" t="n">
        <v>331486</v>
      </c>
      <c r="C77" s="21" t="n">
        <v>310768</v>
      </c>
      <c r="D77" s="21" t="inlineStr">
        <is>
          <t>0.014460</t>
        </is>
      </c>
      <c r="E77" s="21" t="inlineStr">
        <is>
          <t>3.000 SOL</t>
        </is>
      </c>
      <c r="F77" s="21" t="inlineStr">
        <is>
          <t>17.670 SOL</t>
        </is>
      </c>
      <c r="G77" s="24" t="inlineStr">
        <is>
          <t>14.656 SOL</t>
        </is>
      </c>
      <c r="H77" s="24" t="inlineStr">
        <is>
          <t>486.18%</t>
        </is>
      </c>
      <c r="I77" s="21" t="inlineStr">
        <is>
          <t>N/A</t>
        </is>
      </c>
      <c r="J77" s="21" t="n">
        <v>1</v>
      </c>
      <c r="K77" s="21" t="n">
        <v>4</v>
      </c>
      <c r="L77" s="21" t="inlineStr">
        <is>
          <t>27.10.2024 14:53:49</t>
        </is>
      </c>
      <c r="M77" s="21" t="inlineStr">
        <is>
          <t>4 days</t>
        </is>
      </c>
      <c r="N77" s="21" t="inlineStr">
        <is>
          <t xml:space="preserve">          2M            12M            13M</t>
        </is>
      </c>
      <c r="O77" s="21" t="inlineStr">
        <is>
          <t>39qibQxVzemuZTEvjSB7NePhw9WyyHdQCqP8xmBMpump</t>
        </is>
      </c>
      <c r="P77" s="21">
        <f>HYPERLINK("https://dexscreener.com/solana/39qibQxVzemuZTEvjSB7NePhw9WyyHdQCqP8xmBMpump", "View")</f>
        <v/>
      </c>
    </row>
    <row r="78">
      <c r="A78" s="16" t="inlineStr">
        <is>
          <t>defective</t>
        </is>
      </c>
      <c r="B78" s="17" t="n">
        <v>2685972</v>
      </c>
      <c r="C78" s="17" t="n">
        <v>0</v>
      </c>
      <c r="D78" s="17" t="inlineStr">
        <is>
          <t>0.007510</t>
        </is>
      </c>
      <c r="E78" s="17" t="inlineStr">
        <is>
          <t>3.000 SOL</t>
        </is>
      </c>
      <c r="F78" s="17" t="inlineStr">
        <is>
          <t>0.000 SOL</t>
        </is>
      </c>
      <c r="G78" s="18" t="inlineStr">
        <is>
          <t>-3.008 SOL</t>
        </is>
      </c>
      <c r="H78" s="18" t="inlineStr">
        <is>
          <t>0.00%</t>
        </is>
      </c>
      <c r="I78" s="17" t="inlineStr">
        <is>
          <t>2,685,972</t>
        </is>
      </c>
      <c r="J78" s="17" t="n">
        <v>1</v>
      </c>
      <c r="K78" s="17" t="n">
        <v>0</v>
      </c>
      <c r="L78" s="17" t="inlineStr">
        <is>
          <t>27.10.2024 14:40:38</t>
        </is>
      </c>
      <c r="M78" s="19" t="inlineStr">
        <is>
          <t>0 sec</t>
        </is>
      </c>
      <c r="N78" s="17" t="inlineStr">
        <is>
          <t xml:space="preserve">        197K           197K             5K</t>
        </is>
      </c>
      <c r="O78" s="17" t="inlineStr">
        <is>
          <t>PLg1yQLLtEXWiffVmwMUmtzeFRpvTuXF1Rh5ERopump</t>
        </is>
      </c>
      <c r="P78" s="17">
        <f>HYPERLINK("https://dexscreener.com/solana/PLg1yQLLtEXWiffVmwMUmtzeFRpvTuXF1Rh5ERopump", "View")</f>
        <v/>
      </c>
    </row>
    <row r="79">
      <c r="A79" s="20" t="inlineStr">
        <is>
          <t>CATAI</t>
        </is>
      </c>
      <c r="B79" s="21" t="n">
        <v>4046045</v>
      </c>
      <c r="C79" s="21" t="n">
        <v>2023022</v>
      </c>
      <c r="D79" s="21" t="inlineStr">
        <is>
          <t>0.009870</t>
        </is>
      </c>
      <c r="E79" s="21" t="inlineStr">
        <is>
          <t>1.000 SOL</t>
        </is>
      </c>
      <c r="F79" s="21" t="inlineStr">
        <is>
          <t>1.041 SOL</t>
        </is>
      </c>
      <c r="G79" s="22" t="inlineStr">
        <is>
          <t>0.031 SOL</t>
        </is>
      </c>
      <c r="H79" s="22" t="inlineStr">
        <is>
          <t>3.05%</t>
        </is>
      </c>
      <c r="I79" s="21" t="inlineStr">
        <is>
          <t>N/A</t>
        </is>
      </c>
      <c r="J79" s="21" t="n">
        <v>1</v>
      </c>
      <c r="K79" s="21" t="n">
        <v>1</v>
      </c>
      <c r="L79" s="21" t="inlineStr">
        <is>
          <t>27.10.2024 14:18:18</t>
        </is>
      </c>
      <c r="M79" s="21" t="inlineStr">
        <is>
          <t>23 min</t>
        </is>
      </c>
      <c r="N79" s="21" t="inlineStr">
        <is>
          <t xml:space="preserve">         44K            90K            16K</t>
        </is>
      </c>
      <c r="O79" s="21" t="inlineStr">
        <is>
          <t>2T7TigEJc6pAzy4q7GkDZbhLoigmWUS3dJApg6Ropump</t>
        </is>
      </c>
      <c r="P79" s="21">
        <f>HYPERLINK("https://dexscreener.com/solana/2T7TigEJc6pAzy4q7GkDZbhLoigmWUS3dJApg6Ropump", "View")</f>
        <v/>
      </c>
    </row>
    <row r="80">
      <c r="A80" s="16" t="inlineStr">
        <is>
          <t>EAR</t>
        </is>
      </c>
      <c r="B80" s="17" t="n">
        <v>3246786</v>
      </c>
      <c r="C80" s="17" t="n">
        <v>0</v>
      </c>
      <c r="D80" s="17" t="inlineStr">
        <is>
          <t>0.007510</t>
        </is>
      </c>
      <c r="E80" s="17" t="inlineStr">
        <is>
          <t>3.000 SOL</t>
        </is>
      </c>
      <c r="F80" s="17" t="inlineStr">
        <is>
          <t>0.000 SOL</t>
        </is>
      </c>
      <c r="G80" s="18" t="inlineStr">
        <is>
          <t>-3.008 SOL</t>
        </is>
      </c>
      <c r="H80" s="18" t="inlineStr">
        <is>
          <t>0.00%</t>
        </is>
      </c>
      <c r="I80" s="17" t="inlineStr">
        <is>
          <t>3,246,786</t>
        </is>
      </c>
      <c r="J80" s="17" t="n">
        <v>1</v>
      </c>
      <c r="K80" s="17" t="n">
        <v>0</v>
      </c>
      <c r="L80" s="17" t="inlineStr">
        <is>
          <t>27.10.2024 13:33:19</t>
        </is>
      </c>
      <c r="M80" s="19" t="inlineStr">
        <is>
          <t>0 sec</t>
        </is>
      </c>
      <c r="N80" s="17" t="inlineStr">
        <is>
          <t xml:space="preserve">        162K           162K             7K</t>
        </is>
      </c>
      <c r="O80" s="17" t="inlineStr">
        <is>
          <t>E3DEwMSsqdnQvZQwwrpL89s1HQUbres2Ce2rPy1Lpump</t>
        </is>
      </c>
      <c r="P80" s="17">
        <f>HYPERLINK("https://dexscreener.com/solana/E3DEwMSsqdnQvZQwwrpL89s1HQUbres2Ce2rPy1Lpump", "View")</f>
        <v/>
      </c>
    </row>
    <row r="81">
      <c r="A81" s="20" t="inlineStr">
        <is>
          <t>MCB</t>
        </is>
      </c>
      <c r="B81" s="21" t="n">
        <v>480560</v>
      </c>
      <c r="C81" s="21" t="n">
        <v>0</v>
      </c>
      <c r="D81" s="21" t="inlineStr">
        <is>
          <t>0.007290</t>
        </is>
      </c>
      <c r="E81" s="21" t="inlineStr">
        <is>
          <t>7.000 SOL</t>
        </is>
      </c>
      <c r="F81" s="21" t="inlineStr">
        <is>
          <t>0.000 SOL</t>
        </is>
      </c>
      <c r="G81" s="18" t="inlineStr">
        <is>
          <t>-7.007 SOL</t>
        </is>
      </c>
      <c r="H81" s="18" t="inlineStr">
        <is>
          <t>0.00%</t>
        </is>
      </c>
      <c r="I81" s="21" t="inlineStr">
        <is>
          <t>480,560</t>
        </is>
      </c>
      <c r="J81" s="21" t="n">
        <v>4</v>
      </c>
      <c r="K81" s="21" t="n">
        <v>0</v>
      </c>
      <c r="L81" s="21" t="inlineStr">
        <is>
          <t>27.10.2024 13:08:33</t>
        </is>
      </c>
      <c r="M81" s="21" t="inlineStr">
        <is>
          <t>28 min</t>
        </is>
      </c>
      <c r="N81" s="21" t="inlineStr">
        <is>
          <t xml:space="preserve">          2M             3M            20K</t>
        </is>
      </c>
      <c r="O81" s="21" t="inlineStr">
        <is>
          <t>4ALtFjC3M3Cg8RiooUoqzDGXCpgwb9csDEHiRaT9pump</t>
        </is>
      </c>
      <c r="P81" s="21">
        <f>HYPERLINK("https://dexscreener.com/solana/4ALtFjC3M3Cg8RiooUoqzDGXCpgwb9csDEHiRaT9pump", "View")</f>
        <v/>
      </c>
    </row>
    <row r="82">
      <c r="A82" s="16" t="inlineStr">
        <is>
          <t>BSP</t>
        </is>
      </c>
      <c r="B82" s="17" t="n">
        <v>7998684</v>
      </c>
      <c r="C82" s="17" t="n">
        <v>0</v>
      </c>
      <c r="D82" s="17" t="inlineStr">
        <is>
          <t>0.004510</t>
        </is>
      </c>
      <c r="E82" s="17" t="inlineStr">
        <is>
          <t>0.985 SOL</t>
        </is>
      </c>
      <c r="F82" s="17" t="inlineStr">
        <is>
          <t>0.000 SOL</t>
        </is>
      </c>
      <c r="G82" s="18" t="inlineStr">
        <is>
          <t>-0.990 SOL</t>
        </is>
      </c>
      <c r="H82" s="18" t="inlineStr">
        <is>
          <t>0.00%</t>
        </is>
      </c>
      <c r="I82" s="17" t="inlineStr">
        <is>
          <t>7,998,684</t>
        </is>
      </c>
      <c r="J82" s="17" t="n">
        <v>1</v>
      </c>
      <c r="K82" s="17" t="n">
        <v>0</v>
      </c>
      <c r="L82" s="17" t="inlineStr">
        <is>
          <t>27.10.2024 12:23:38</t>
        </is>
      </c>
      <c r="M82" s="19" t="inlineStr">
        <is>
          <t>0 sec</t>
        </is>
      </c>
      <c r="N82" s="17" t="inlineStr">
        <is>
          <t xml:space="preserve">         21K            21K             5K</t>
        </is>
      </c>
      <c r="O82" s="17" t="inlineStr">
        <is>
          <t>4BwLvAreX6wM72qP56FZPoAUDPbbkQukaeccHHTLpump</t>
        </is>
      </c>
      <c r="P82" s="17">
        <f>HYPERLINK("https://photon-sol.tinyastro.io/en/lp/4BwLvAreX6wM72qP56FZPoAUDPbbkQukaeccHHTLpump?handle=676050794bc1b1657a56b", "View")</f>
        <v/>
      </c>
    </row>
    <row r="83">
      <c r="A83" s="20" t="inlineStr">
        <is>
          <t>sma</t>
        </is>
      </c>
      <c r="B83" s="21" t="n">
        <v>399956</v>
      </c>
      <c r="C83" s="21" t="n">
        <v>318567</v>
      </c>
      <c r="D83" s="21" t="inlineStr">
        <is>
          <t>0.020860</t>
        </is>
      </c>
      <c r="E83" s="21" t="inlineStr">
        <is>
          <t>3.000 SOL</t>
        </is>
      </c>
      <c r="F83" s="21" t="inlineStr">
        <is>
          <t>4.401 SOL</t>
        </is>
      </c>
      <c r="G83" s="22" t="inlineStr">
        <is>
          <t>1.380 SOL</t>
        </is>
      </c>
      <c r="H83" s="22" t="inlineStr">
        <is>
          <t>45.68%</t>
        </is>
      </c>
      <c r="I83" s="21" t="inlineStr">
        <is>
          <t>N/A</t>
        </is>
      </c>
      <c r="J83" s="21" t="n">
        <v>3</v>
      </c>
      <c r="K83" s="21" t="n">
        <v>4</v>
      </c>
      <c r="L83" s="21" t="inlineStr">
        <is>
          <t>27.10.2024 11:45:11</t>
        </is>
      </c>
      <c r="M83" s="21" t="inlineStr">
        <is>
          <t>3 hours</t>
        </is>
      </c>
      <c r="N83" s="21" t="inlineStr">
        <is>
          <t xml:space="preserve">          1M             1M            61K</t>
        </is>
      </c>
      <c r="O83" s="21" t="inlineStr">
        <is>
          <t>4994XJ88RjBS5SKv7qSe4fM3qtPRYzqYBQLe4NRDpump</t>
        </is>
      </c>
      <c r="P83" s="21">
        <f>HYPERLINK("https://dexscreener.com/solana/4994XJ88RjBS5SKv7qSe4fM3qtPRYzqYBQLe4NRDpump", "View")</f>
        <v/>
      </c>
    </row>
    <row r="84">
      <c r="A84" s="16" t="inlineStr">
        <is>
          <t>FRUIT</t>
        </is>
      </c>
      <c r="B84" s="17" t="n">
        <v>1016812</v>
      </c>
      <c r="C84" s="17" t="n">
        <v>0</v>
      </c>
      <c r="D84" s="17" t="inlineStr">
        <is>
          <t>0.004340</t>
        </is>
      </c>
      <c r="E84" s="17" t="inlineStr">
        <is>
          <t>1.000 SOL</t>
        </is>
      </c>
      <c r="F84" s="17" t="inlineStr">
        <is>
          <t>0.000 SOL</t>
        </is>
      </c>
      <c r="G84" s="18" t="inlineStr">
        <is>
          <t>-1.004 SOL</t>
        </is>
      </c>
      <c r="H84" s="18" t="inlineStr">
        <is>
          <t>0.00%</t>
        </is>
      </c>
      <c r="I84" s="17" t="inlineStr">
        <is>
          <t>1,016,812</t>
        </is>
      </c>
      <c r="J84" s="17" t="n">
        <v>1</v>
      </c>
      <c r="K84" s="17" t="n">
        <v>0</v>
      </c>
      <c r="L84" s="17" t="inlineStr">
        <is>
          <t>27.10.2024 09:30:09</t>
        </is>
      </c>
      <c r="M84" s="19" t="inlineStr">
        <is>
          <t>0 sec</t>
        </is>
      </c>
      <c r="N84" s="17" t="inlineStr">
        <is>
          <t xml:space="preserve">        172K           172K            13K</t>
        </is>
      </c>
      <c r="O84" s="17" t="inlineStr">
        <is>
          <t>2STafwnVsP6f8QcQ5pe4xrRYYCvNSTieo6mznYnMpump</t>
        </is>
      </c>
      <c r="P84" s="17">
        <f>HYPERLINK("https://dexscreener.com/solana/2STafwnVsP6f8QcQ5pe4xrRYYCvNSTieo6mznYnMpump", "View")</f>
        <v/>
      </c>
    </row>
    <row r="85">
      <c r="A85" s="20" t="inlineStr">
        <is>
          <t>APD</t>
        </is>
      </c>
      <c r="B85" s="21" t="n">
        <v>2687147</v>
      </c>
      <c r="C85" s="21" t="n">
        <v>1343573</v>
      </c>
      <c r="D85" s="21" t="inlineStr">
        <is>
          <t>0.010580</t>
        </is>
      </c>
      <c r="E85" s="21" t="inlineStr">
        <is>
          <t>1.000 SOL</t>
        </is>
      </c>
      <c r="F85" s="21" t="inlineStr">
        <is>
          <t>0.905 SOL</t>
        </is>
      </c>
      <c r="G85" s="25" t="inlineStr">
        <is>
          <t>-0.105 SOL</t>
        </is>
      </c>
      <c r="H85" s="25" t="inlineStr">
        <is>
          <t>-10.40%</t>
        </is>
      </c>
      <c r="I85" s="21" t="inlineStr">
        <is>
          <t>N/A</t>
        </is>
      </c>
      <c r="J85" s="21" t="n">
        <v>1</v>
      </c>
      <c r="K85" s="21" t="n">
        <v>1</v>
      </c>
      <c r="L85" s="21" t="inlineStr">
        <is>
          <t>27.10.2024 09:15:56</t>
        </is>
      </c>
      <c r="M85" s="21" t="inlineStr">
        <is>
          <t>56 min</t>
        </is>
      </c>
      <c r="N85" s="21" t="inlineStr">
        <is>
          <t xml:space="preserve">         65K            65K             5K</t>
        </is>
      </c>
      <c r="O85" s="21" t="inlineStr">
        <is>
          <t>D7BkxwqDXJiuJ13n8zpcPVQCW5bp7UoGdesZ8XFvpump</t>
        </is>
      </c>
      <c r="P85" s="21">
        <f>HYPERLINK("https://dexscreener.com/solana/D7BkxwqDXJiuJ13n8zpcPVQCW5bp7UoGdesZ8XFvpump", "View")</f>
        <v/>
      </c>
    </row>
    <row r="86">
      <c r="A86" s="16" t="inlineStr">
        <is>
          <t>MosesPepe</t>
        </is>
      </c>
      <c r="B86" s="17" t="n">
        <v>1907815</v>
      </c>
      <c r="C86" s="17" t="n">
        <v>0</v>
      </c>
      <c r="D86" s="17" t="inlineStr">
        <is>
          <t>0.000710</t>
        </is>
      </c>
      <c r="E86" s="17" t="inlineStr">
        <is>
          <t>1.000 SOL</t>
        </is>
      </c>
      <c r="F86" s="17" t="inlineStr">
        <is>
          <t>0.000 SOL</t>
        </is>
      </c>
      <c r="G86" s="18" t="inlineStr">
        <is>
          <t>-1.001 SOL</t>
        </is>
      </c>
      <c r="H86" s="18" t="inlineStr">
        <is>
          <t>0.00%</t>
        </is>
      </c>
      <c r="I86" s="17" t="inlineStr">
        <is>
          <t>1,907,815</t>
        </is>
      </c>
      <c r="J86" s="17" t="n">
        <v>1</v>
      </c>
      <c r="K86" s="17" t="n">
        <v>0</v>
      </c>
      <c r="L86" s="17" t="inlineStr">
        <is>
          <t>27.10.2024 08:58:36</t>
        </is>
      </c>
      <c r="M86" s="19" t="inlineStr">
        <is>
          <t>0 sec</t>
        </is>
      </c>
      <c r="N86" s="17" t="inlineStr">
        <is>
          <t xml:space="preserve">         91K            91K             4K</t>
        </is>
      </c>
      <c r="O86" s="17" t="inlineStr">
        <is>
          <t>2jrLcdWgkfkGpYPMUs94b9ER8nYBbWECwiF2mBjmpump</t>
        </is>
      </c>
      <c r="P86" s="17">
        <f>HYPERLINK("https://dexscreener.com/solana/2jrLcdWgkfkGpYPMUs94b9ER8nYBbWECwiF2mBjmpump", "View")</f>
        <v/>
      </c>
    </row>
    <row r="87">
      <c r="A87" s="20" t="inlineStr">
        <is>
          <t>Pigcasso</t>
        </is>
      </c>
      <c r="B87" s="21" t="n">
        <v>2182161</v>
      </c>
      <c r="C87" s="21" t="n">
        <v>0</v>
      </c>
      <c r="D87" s="21" t="inlineStr">
        <is>
          <t>0.000810</t>
        </is>
      </c>
      <c r="E87" s="21" t="inlineStr">
        <is>
          <t>2.131 SOL</t>
        </is>
      </c>
      <c r="F87" s="21" t="inlineStr">
        <is>
          <t>0.000 SOL</t>
        </is>
      </c>
      <c r="G87" s="18" t="inlineStr">
        <is>
          <t>-2.132 SOL</t>
        </is>
      </c>
      <c r="H87" s="18" t="inlineStr">
        <is>
          <t>0.00%</t>
        </is>
      </c>
      <c r="I87" s="21" t="inlineStr">
        <is>
          <t>2,182,161</t>
        </is>
      </c>
      <c r="J87" s="21" t="n">
        <v>1</v>
      </c>
      <c r="K87" s="21" t="n">
        <v>0</v>
      </c>
      <c r="L87" s="21" t="inlineStr">
        <is>
          <t>27.10.2024 08:41:43</t>
        </is>
      </c>
      <c r="M87" s="19" t="inlineStr">
        <is>
          <t>0 sec</t>
        </is>
      </c>
      <c r="N87" s="21" t="inlineStr">
        <is>
          <t xml:space="preserve">        172K           172K            15K</t>
        </is>
      </c>
      <c r="O87" s="21" t="inlineStr">
        <is>
          <t>BdZ166jQNf7dzRKf7ZTbwKZVFi2unfedjcJs31Tipump</t>
        </is>
      </c>
      <c r="P87" s="21">
        <f>HYPERLINK("https://dexscreener.com/solana/BdZ166jQNf7dzRKf7ZTbwKZVFi2unfedjcJs31Tipump", "View")</f>
        <v/>
      </c>
    </row>
    <row r="88">
      <c r="A88" s="16" t="inlineStr">
        <is>
          <t>Yes</t>
        </is>
      </c>
      <c r="B88" s="17" t="n">
        <v>243134</v>
      </c>
      <c r="C88" s="17" t="n">
        <v>121567</v>
      </c>
      <c r="D88" s="17" t="inlineStr">
        <is>
          <t>0.010560</t>
        </is>
      </c>
      <c r="E88" s="17" t="inlineStr">
        <is>
          <t>2.000 SOL</t>
        </is>
      </c>
      <c r="F88" s="17" t="inlineStr">
        <is>
          <t>1.722 SOL</t>
        </is>
      </c>
      <c r="G88" s="25" t="inlineStr">
        <is>
          <t>-0.288 SOL</t>
        </is>
      </c>
      <c r="H88" s="25" t="inlineStr">
        <is>
          <t>-14.35%</t>
        </is>
      </c>
      <c r="I88" s="17" t="inlineStr">
        <is>
          <t>N/A</t>
        </is>
      </c>
      <c r="J88" s="17" t="n">
        <v>1</v>
      </c>
      <c r="K88" s="17" t="n">
        <v>1</v>
      </c>
      <c r="L88" s="17" t="inlineStr">
        <is>
          <t>27.10.2024 08:34:20</t>
        </is>
      </c>
      <c r="M88" s="17" t="inlineStr">
        <is>
          <t>47 min</t>
        </is>
      </c>
      <c r="N88" s="17" t="inlineStr">
        <is>
          <t xml:space="preserve">          1M             1M            80K</t>
        </is>
      </c>
      <c r="O88" s="17" t="inlineStr">
        <is>
          <t>6Rx89EvU1fNGv5htXGTUs3HPoQjcYSLh8KDd5RPwpump</t>
        </is>
      </c>
      <c r="P88" s="17">
        <f>HYPERLINK("https://dexscreener.com/solana/6Rx89EvU1fNGv5htXGTUs3HPoQjcYSLh8KDd5RPwpump", "View")</f>
        <v/>
      </c>
    </row>
    <row r="89">
      <c r="A89" s="20" t="inlineStr">
        <is>
          <t>x/acc</t>
        </is>
      </c>
      <c r="B89" s="21" t="n">
        <v>207835</v>
      </c>
      <c r="C89" s="21" t="n">
        <v>0</v>
      </c>
      <c r="D89" s="21" t="inlineStr">
        <is>
          <t>0.003030</t>
        </is>
      </c>
      <c r="E89" s="21" t="inlineStr">
        <is>
          <t>2.000 SOL</t>
        </is>
      </c>
      <c r="F89" s="21" t="inlineStr">
        <is>
          <t>0.000 SOL</t>
        </is>
      </c>
      <c r="G89" s="18" t="inlineStr">
        <is>
          <t>-2.003 SOL</t>
        </is>
      </c>
      <c r="H89" s="18" t="inlineStr">
        <is>
          <t>0.00%</t>
        </is>
      </c>
      <c r="I89" s="21" t="inlineStr">
        <is>
          <t>207,835</t>
        </is>
      </c>
      <c r="J89" s="21" t="n">
        <v>1</v>
      </c>
      <c r="K89" s="21" t="n">
        <v>0</v>
      </c>
      <c r="L89" s="21" t="inlineStr">
        <is>
          <t>27.10.2024 07:53:50</t>
        </is>
      </c>
      <c r="M89" s="19" t="inlineStr">
        <is>
          <t>0 sec</t>
        </is>
      </c>
      <c r="N89" s="21" t="inlineStr">
        <is>
          <t xml:space="preserve">          2M             2M           378K</t>
        </is>
      </c>
      <c r="O89" s="21" t="inlineStr">
        <is>
          <t>5vrNnSXf2PeF4YMdG4vHi1WzU3hf42JKzV8i7jtBmRww</t>
        </is>
      </c>
      <c r="P89" s="21">
        <f>HYPERLINK("https://dexscreener.com/solana/5vrNnSXf2PeF4YMdG4vHi1WzU3hf42JKzV8i7jtBmRww", "View")</f>
        <v/>
      </c>
    </row>
    <row r="90">
      <c r="A90" s="16" t="inlineStr">
        <is>
          <t>AARON</t>
        </is>
      </c>
      <c r="B90" s="17" t="n">
        <v>11804535</v>
      </c>
      <c r="C90" s="17" t="n">
        <v>0</v>
      </c>
      <c r="D90" s="17" t="inlineStr">
        <is>
          <t>0.005930</t>
        </is>
      </c>
      <c r="E90" s="17" t="inlineStr">
        <is>
          <t>2.000 SOL</t>
        </is>
      </c>
      <c r="F90" s="17" t="inlineStr">
        <is>
          <t>0.000 SOL</t>
        </is>
      </c>
      <c r="G90" s="18" t="inlineStr">
        <is>
          <t>-2.006 SOL</t>
        </is>
      </c>
      <c r="H90" s="18" t="inlineStr">
        <is>
          <t>0.00%</t>
        </is>
      </c>
      <c r="I90" s="17" t="inlineStr">
        <is>
          <t>11,804,535</t>
        </is>
      </c>
      <c r="J90" s="17" t="n">
        <v>1</v>
      </c>
      <c r="K90" s="17" t="n">
        <v>0</v>
      </c>
      <c r="L90" s="17" t="inlineStr">
        <is>
          <t>27.10.2024 07:52:10</t>
        </is>
      </c>
      <c r="M90" s="19" t="inlineStr">
        <is>
          <t>0 sec</t>
        </is>
      </c>
      <c r="N90" s="17" t="inlineStr">
        <is>
          <t xml:space="preserve">         30K            30K             7K</t>
        </is>
      </c>
      <c r="O90" s="17" t="inlineStr">
        <is>
          <t>HfEcammtZgViSBKkbqg4trpB2paohjVSjyizxSfkpump</t>
        </is>
      </c>
      <c r="P90" s="17">
        <f>HYPERLINK("https://dexscreener.com/solana/HfEcammtZgViSBKkbqg4trpB2paohjVSjyizxSfkpump", "View")</f>
        <v/>
      </c>
    </row>
    <row r="91">
      <c r="A91" s="20" t="inlineStr">
        <is>
          <t>FLU</t>
        </is>
      </c>
      <c r="B91" s="21" t="n">
        <v>1707275</v>
      </c>
      <c r="C91" s="21" t="n">
        <v>0</v>
      </c>
      <c r="D91" s="21" t="inlineStr">
        <is>
          <t>0.000840</t>
        </is>
      </c>
      <c r="E91" s="21" t="inlineStr">
        <is>
          <t>1.000 SOL</t>
        </is>
      </c>
      <c r="F91" s="21" t="inlineStr">
        <is>
          <t>0.000 SOL</t>
        </is>
      </c>
      <c r="G91" s="18" t="inlineStr">
        <is>
          <t>-1.001 SOL</t>
        </is>
      </c>
      <c r="H91" s="18" t="inlineStr">
        <is>
          <t>0.00%</t>
        </is>
      </c>
      <c r="I91" s="21" t="inlineStr">
        <is>
          <t>1,707,275</t>
        </is>
      </c>
      <c r="J91" s="21" t="n">
        <v>1</v>
      </c>
      <c r="K91" s="21" t="n">
        <v>0</v>
      </c>
      <c r="L91" s="21" t="inlineStr">
        <is>
          <t>27.10.2024 07:43:19</t>
        </is>
      </c>
      <c r="M91" s="19" t="inlineStr">
        <is>
          <t>0 sec</t>
        </is>
      </c>
      <c r="N91" s="21" t="inlineStr">
        <is>
          <t xml:space="preserve">        104K           104K            11K</t>
        </is>
      </c>
      <c r="O91" s="21" t="inlineStr">
        <is>
          <t>ASnD7A1mqpiBdqVVAKLsScAABR1nGbMBtocFbU5rpump</t>
        </is>
      </c>
      <c r="P91" s="21">
        <f>HYPERLINK("https://dexscreener.com/solana/ASnD7A1mqpiBdqVVAKLsScAABR1nGbMBtocFbU5rpump", "View")</f>
        <v/>
      </c>
    </row>
    <row r="92">
      <c r="A92" s="16" t="inlineStr">
        <is>
          <t>KCOG</t>
        </is>
      </c>
      <c r="B92" s="17" t="n">
        <v>1757993</v>
      </c>
      <c r="C92" s="17" t="n">
        <v>0</v>
      </c>
      <c r="D92" s="17" t="inlineStr">
        <is>
          <t>0.000840</t>
        </is>
      </c>
      <c r="E92" s="17" t="inlineStr">
        <is>
          <t>1.000 SOL</t>
        </is>
      </c>
      <c r="F92" s="17" t="inlineStr">
        <is>
          <t>0.000 SOL</t>
        </is>
      </c>
      <c r="G92" s="18" t="inlineStr">
        <is>
          <t>-1.001 SOL</t>
        </is>
      </c>
      <c r="H92" s="18" t="inlineStr">
        <is>
          <t>0.00%</t>
        </is>
      </c>
      <c r="I92" s="17" t="inlineStr">
        <is>
          <t>1,757,993</t>
        </is>
      </c>
      <c r="J92" s="17" t="n">
        <v>1</v>
      </c>
      <c r="K92" s="17" t="n">
        <v>0</v>
      </c>
      <c r="L92" s="17" t="inlineStr">
        <is>
          <t>27.10.2024 07:42:57</t>
        </is>
      </c>
      <c r="M92" s="19" t="inlineStr">
        <is>
          <t>0 sec</t>
        </is>
      </c>
      <c r="N92" s="17" t="inlineStr">
        <is>
          <t xml:space="preserve">        100K           100K            11K</t>
        </is>
      </c>
      <c r="O92" s="17" t="inlineStr">
        <is>
          <t>2UByDNzBkDikkBM73dAxerTGkuLVRWzCN95JuAUApump</t>
        </is>
      </c>
      <c r="P92" s="17">
        <f>HYPERLINK("https://dexscreener.com/solana/2UByDNzBkDikkBM73dAxerTGkuLVRWzCN95JuAUApump", "View")</f>
        <v/>
      </c>
    </row>
    <row r="93">
      <c r="A93" s="20" t="inlineStr">
        <is>
          <t>Mundi</t>
        </is>
      </c>
      <c r="B93" s="21" t="n">
        <v>4689271</v>
      </c>
      <c r="C93" s="21" t="n">
        <v>0</v>
      </c>
      <c r="D93" s="21" t="inlineStr">
        <is>
          <t>0.000750</t>
        </is>
      </c>
      <c r="E93" s="21" t="inlineStr">
        <is>
          <t>3.000 SOL</t>
        </is>
      </c>
      <c r="F93" s="21" t="inlineStr">
        <is>
          <t>0.000 SOL</t>
        </is>
      </c>
      <c r="G93" s="18" t="inlineStr">
        <is>
          <t>-3.001 SOL</t>
        </is>
      </c>
      <c r="H93" s="18" t="inlineStr">
        <is>
          <t>0.00%</t>
        </is>
      </c>
      <c r="I93" s="21" t="inlineStr">
        <is>
          <t>4,689,271</t>
        </is>
      </c>
      <c r="J93" s="21" t="n">
        <v>1</v>
      </c>
      <c r="K93" s="21" t="n">
        <v>0</v>
      </c>
      <c r="L93" s="21" t="inlineStr">
        <is>
          <t>27.10.2024 07:12:21</t>
        </is>
      </c>
      <c r="M93" s="19" t="inlineStr">
        <is>
          <t>0 sec</t>
        </is>
      </c>
      <c r="N93" s="21" t="inlineStr">
        <is>
          <t xml:space="preserve">        112K           112K             7K</t>
        </is>
      </c>
      <c r="O93" s="21" t="inlineStr">
        <is>
          <t>4BBjpGwLgGmUxtT82YFK9xMhcvyy3zgf3HpxTRip1YoU</t>
        </is>
      </c>
      <c r="P93" s="21">
        <f>HYPERLINK("https://dexscreener.com/solana/4BBjpGwLgGmUxtT82YFK9xMhcvyy3zgf3HpxTRip1YoU", "View")</f>
        <v/>
      </c>
    </row>
    <row r="94">
      <c r="A94" s="16" t="inlineStr">
        <is>
          <t>NuCouché</t>
        </is>
      </c>
      <c r="B94" s="17" t="n">
        <v>6280830</v>
      </c>
      <c r="C94" s="17" t="n">
        <v>4383217</v>
      </c>
      <c r="D94" s="17" t="inlineStr">
        <is>
          <t>0.002000</t>
        </is>
      </c>
      <c r="E94" s="17" t="inlineStr">
        <is>
          <t>3.000 SOL</t>
        </is>
      </c>
      <c r="F94" s="17" t="inlineStr">
        <is>
          <t>6.916 SOL</t>
        </is>
      </c>
      <c r="G94" s="24" t="inlineStr">
        <is>
          <t>3.914 SOL</t>
        </is>
      </c>
      <c r="H94" s="24" t="inlineStr">
        <is>
          <t>130.38%</t>
        </is>
      </c>
      <c r="I94" s="17" t="inlineStr">
        <is>
          <t>N/A</t>
        </is>
      </c>
      <c r="J94" s="17" t="n">
        <v>1</v>
      </c>
      <c r="K94" s="17" t="n">
        <v>3</v>
      </c>
      <c r="L94" s="17" t="inlineStr">
        <is>
          <t>27.10.2024 07:07:15</t>
        </is>
      </c>
      <c r="M94" s="17" t="inlineStr">
        <is>
          <t>55 min</t>
        </is>
      </c>
      <c r="N94" s="17" t="inlineStr">
        <is>
          <t xml:space="preserve">         84K           611K            14K</t>
        </is>
      </c>
      <c r="O94" s="17" t="inlineStr">
        <is>
          <t>9rLGTvxXEhhdyZtJA34pFV21oZhsi3MRho9hv54vpump</t>
        </is>
      </c>
      <c r="P94" s="17">
        <f>HYPERLINK("https://dexscreener.com/solana/9rLGTvxXEhhdyZtJA34pFV21oZhsi3MRho9hv54vpump", "View")</f>
        <v/>
      </c>
    </row>
    <row r="95">
      <c r="A95" s="20" t="inlineStr">
        <is>
          <t>Garçon</t>
        </is>
      </c>
      <c r="B95" s="21" t="n">
        <v>8017639</v>
      </c>
      <c r="C95" s="21" t="n">
        <v>0</v>
      </c>
      <c r="D95" s="21" t="inlineStr">
        <is>
          <t>0.002750</t>
        </is>
      </c>
      <c r="E95" s="21" t="inlineStr">
        <is>
          <t>2.282 SOL</t>
        </is>
      </c>
      <c r="F95" s="21" t="inlineStr">
        <is>
          <t>0.000 SOL</t>
        </is>
      </c>
      <c r="G95" s="18" t="inlineStr">
        <is>
          <t>-2.285 SOL</t>
        </is>
      </c>
      <c r="H95" s="18" t="inlineStr">
        <is>
          <t>0.00%</t>
        </is>
      </c>
      <c r="I95" s="21" t="inlineStr">
        <is>
          <t>8,017,639</t>
        </is>
      </c>
      <c r="J95" s="21" t="n">
        <v>1</v>
      </c>
      <c r="K95" s="21" t="n">
        <v>0</v>
      </c>
      <c r="L95" s="21" t="inlineStr">
        <is>
          <t>27.10.2024 07:06:11</t>
        </is>
      </c>
      <c r="M95" s="19" t="inlineStr">
        <is>
          <t>0 sec</t>
        </is>
      </c>
      <c r="N95" s="21" t="inlineStr">
        <is>
          <t xml:space="preserve">         49K            49K             4K</t>
        </is>
      </c>
      <c r="O95" s="21" t="inlineStr">
        <is>
          <t>Hp3Z6DrKELNP67cndiZEPsBnKdQfLq5TwJHaehdApump</t>
        </is>
      </c>
      <c r="P95" s="21">
        <f>HYPERLINK("https://photon-sol.tinyastro.io/en/lp/Hp3Z6DrKELNP67cndiZEPsBnKdQfLq5TwJHaehdApump?handle=676050794bc1b1657a56b", "View")</f>
        <v/>
      </c>
    </row>
    <row r="96">
      <c r="A96" s="16" t="inlineStr">
        <is>
          <t>test</t>
        </is>
      </c>
      <c r="B96" s="17" t="n">
        <v>214360</v>
      </c>
      <c r="C96" s="17" t="n">
        <v>0</v>
      </c>
      <c r="D96" s="17" t="inlineStr">
        <is>
          <t>0.000240</t>
        </is>
      </c>
      <c r="E96" s="17" t="inlineStr">
        <is>
          <t>3.000 SOL</t>
        </is>
      </c>
      <c r="F96" s="17" t="inlineStr">
        <is>
          <t>0.000 SOL</t>
        </is>
      </c>
      <c r="G96" s="18" t="inlineStr">
        <is>
          <t>-3.000 SOL</t>
        </is>
      </c>
      <c r="H96" s="18" t="inlineStr">
        <is>
          <t>0.00%</t>
        </is>
      </c>
      <c r="I96" s="17" t="inlineStr">
        <is>
          <t>214,360</t>
        </is>
      </c>
      <c r="J96" s="17" t="n">
        <v>1</v>
      </c>
      <c r="K96" s="17" t="n">
        <v>0</v>
      </c>
      <c r="L96" s="17" t="inlineStr">
        <is>
          <t>27.10.2024 06:36:17</t>
        </is>
      </c>
      <c r="M96" s="19" t="inlineStr">
        <is>
          <t>0 sec</t>
        </is>
      </c>
      <c r="N96" s="17" t="inlineStr">
        <is>
          <t xml:space="preserve">          2M             2M            43K</t>
        </is>
      </c>
      <c r="O96" s="17" t="inlineStr">
        <is>
          <t>2i2269HkF5ce2i8ExJfV8gw1MEmXkVYQNzRbtXZtpump</t>
        </is>
      </c>
      <c r="P96" s="17">
        <f>HYPERLINK("https://dexscreener.com/solana/2i2269HkF5ce2i8ExJfV8gw1MEmXkVYQNzRbtXZtpump", "View")</f>
        <v/>
      </c>
    </row>
    <row r="97">
      <c r="A97" s="20" t="inlineStr">
        <is>
          <t>Van</t>
        </is>
      </c>
      <c r="B97" s="21" t="n">
        <v>936834</v>
      </c>
      <c r="C97" s="21" t="n">
        <v>0</v>
      </c>
      <c r="D97" s="21" t="inlineStr">
        <is>
          <t>0.000730</t>
        </is>
      </c>
      <c r="E97" s="21" t="inlineStr">
        <is>
          <t>1.500 SOL</t>
        </is>
      </c>
      <c r="F97" s="21" t="inlineStr">
        <is>
          <t>0.000 SOL</t>
        </is>
      </c>
      <c r="G97" s="18" t="inlineStr">
        <is>
          <t>-1.501 SOL</t>
        </is>
      </c>
      <c r="H97" s="18" t="inlineStr">
        <is>
          <t>0.00%</t>
        </is>
      </c>
      <c r="I97" s="21" t="inlineStr">
        <is>
          <t>936,834</t>
        </is>
      </c>
      <c r="J97" s="21" t="n">
        <v>1</v>
      </c>
      <c r="K97" s="21" t="n">
        <v>0</v>
      </c>
      <c r="L97" s="21" t="inlineStr">
        <is>
          <t>27.10.2024 05:49:07</t>
        </is>
      </c>
      <c r="M97" s="19" t="inlineStr">
        <is>
          <t>0 sec</t>
        </is>
      </c>
      <c r="N97" s="21" t="inlineStr">
        <is>
          <t xml:space="preserve">        281K           281K            20K</t>
        </is>
      </c>
      <c r="O97" s="21" t="inlineStr">
        <is>
          <t>3kq81R8jQ2njDUB5sX46WPDmamgJbNUfZf2h1DsYpump</t>
        </is>
      </c>
      <c r="P97" s="21">
        <f>HYPERLINK("https://dexscreener.com/solana/3kq81R8jQ2njDUB5sX46WPDmamgJbNUfZf2h1DsYpump", "View")</f>
        <v/>
      </c>
    </row>
    <row r="98">
      <c r="A98" s="16" t="inlineStr">
        <is>
          <t>DEV</t>
        </is>
      </c>
      <c r="B98" s="17" t="n">
        <v>427380</v>
      </c>
      <c r="C98" s="17" t="n">
        <v>0</v>
      </c>
      <c r="D98" s="17" t="inlineStr">
        <is>
          <t>0.000080</t>
        </is>
      </c>
      <c r="E98" s="17" t="inlineStr">
        <is>
          <t>1.996 SOL</t>
        </is>
      </c>
      <c r="F98" s="17" t="inlineStr">
        <is>
          <t>0.000 SOL</t>
        </is>
      </c>
      <c r="G98" s="18" t="inlineStr">
        <is>
          <t>-1.996 SOL</t>
        </is>
      </c>
      <c r="H98" s="18" t="inlineStr">
        <is>
          <t>0.00%</t>
        </is>
      </c>
      <c r="I98" s="17" t="inlineStr">
        <is>
          <t>427,380</t>
        </is>
      </c>
      <c r="J98" s="17" t="n">
        <v>1</v>
      </c>
      <c r="K98" s="17" t="n">
        <v>0</v>
      </c>
      <c r="L98" s="17" t="inlineStr">
        <is>
          <t>27.10.2024 05:46:03</t>
        </is>
      </c>
      <c r="M98" s="19" t="inlineStr">
        <is>
          <t>0 sec</t>
        </is>
      </c>
      <c r="N98" s="17" t="inlineStr">
        <is>
          <t xml:space="preserve">        820K           820K           607K</t>
        </is>
      </c>
      <c r="O98" s="17" t="inlineStr">
        <is>
          <t>ASNoTS4cYopuUbmDMWM4AU9xdCQnb5zPe3gBWfTUsLTE</t>
        </is>
      </c>
      <c r="P98" s="17">
        <f>HYPERLINK("https://dexscreener.com/solana/ASNoTS4cYopuUbmDMWM4AU9xdCQnb5zPe3gBWfTUsLTE", "View")</f>
        <v/>
      </c>
    </row>
    <row r="99">
      <c r="A99" s="20" t="inlineStr">
        <is>
          <t>MSPC</t>
        </is>
      </c>
      <c r="B99" s="21" t="n">
        <v>1687221</v>
      </c>
      <c r="C99" s="21" t="n">
        <v>0</v>
      </c>
      <c r="D99" s="21" t="inlineStr">
        <is>
          <t>0.003070</t>
        </is>
      </c>
      <c r="E99" s="21" t="inlineStr">
        <is>
          <t>2.000 SOL</t>
        </is>
      </c>
      <c r="F99" s="21" t="inlineStr">
        <is>
          <t>0.000 SOL</t>
        </is>
      </c>
      <c r="G99" s="18" t="inlineStr">
        <is>
          <t>-2.003 SOL</t>
        </is>
      </c>
      <c r="H99" s="18" t="inlineStr">
        <is>
          <t>0.00%</t>
        </is>
      </c>
      <c r="I99" s="21" t="inlineStr">
        <is>
          <t>1,687,221</t>
        </is>
      </c>
      <c r="J99" s="21" t="n">
        <v>1</v>
      </c>
      <c r="K99" s="21" t="n">
        <v>0</v>
      </c>
      <c r="L99" s="21" t="inlineStr">
        <is>
          <t>27.10.2024 05:38:13</t>
        </is>
      </c>
      <c r="M99" s="19" t="inlineStr">
        <is>
          <t>0 sec</t>
        </is>
      </c>
      <c r="N99" s="21" t="inlineStr">
        <is>
          <t xml:space="preserve">        209K           209K           166K</t>
        </is>
      </c>
      <c r="O99" s="21" t="inlineStr">
        <is>
          <t>CRQdQmb9TDmG9FFTPEL9gqDvfyF6HxGaHwiq5eybpump</t>
        </is>
      </c>
      <c r="P99" s="21">
        <f>HYPERLINK("https://dexscreener.com/solana/CRQdQmb9TDmG9FFTPEL9gqDvfyF6HxGaHwiq5eybpump", "View")</f>
        <v/>
      </c>
    </row>
    <row r="100">
      <c r="A100" s="16" t="inlineStr">
        <is>
          <t>WINTER</t>
        </is>
      </c>
      <c r="B100" s="17" t="n">
        <v>637460</v>
      </c>
      <c r="C100" s="17" t="n">
        <v>0</v>
      </c>
      <c r="D100" s="17" t="inlineStr">
        <is>
          <t>0.007510</t>
        </is>
      </c>
      <c r="E100" s="17" t="inlineStr">
        <is>
          <t>2.000 SOL</t>
        </is>
      </c>
      <c r="F100" s="17" t="inlineStr">
        <is>
          <t>0.000 SOL</t>
        </is>
      </c>
      <c r="G100" s="18" t="inlineStr">
        <is>
          <t>-2.008 SOL</t>
        </is>
      </c>
      <c r="H100" s="18" t="inlineStr">
        <is>
          <t>0.00%</t>
        </is>
      </c>
      <c r="I100" s="17" t="inlineStr">
        <is>
          <t>637,460</t>
        </is>
      </c>
      <c r="J100" s="17" t="n">
        <v>1</v>
      </c>
      <c r="K100" s="17" t="n">
        <v>0</v>
      </c>
      <c r="L100" s="17" t="inlineStr">
        <is>
          <t>27.10.2024 05:37:09</t>
        </is>
      </c>
      <c r="M100" s="19" t="inlineStr">
        <is>
          <t>0 sec</t>
        </is>
      </c>
      <c r="N100" s="17" t="inlineStr">
        <is>
          <t xml:space="preserve">        552K           552K           460K</t>
        </is>
      </c>
      <c r="O100" s="17" t="inlineStr">
        <is>
          <t>4j2gUEmfbSAacvSSd6yXo8yEzXCAUVeoXrqLVV3apump</t>
        </is>
      </c>
      <c r="P100" s="17">
        <f>HYPERLINK("https://dexscreener.com/solana/4j2gUEmfbSAacvSSd6yXo8yEzXCAUVeoXrqLVV3apump", "View")</f>
        <v/>
      </c>
    </row>
    <row r="101">
      <c r="A101" s="20" t="inlineStr">
        <is>
          <t>RIZO</t>
        </is>
      </c>
      <c r="B101" s="21" t="n">
        <v>242996919</v>
      </c>
      <c r="C101" s="21" t="n">
        <v>0</v>
      </c>
      <c r="D101" s="21" t="inlineStr">
        <is>
          <t>0.006060</t>
        </is>
      </c>
      <c r="E101" s="21" t="inlineStr">
        <is>
          <t>2.000 SOL</t>
        </is>
      </c>
      <c r="F101" s="21" t="inlineStr">
        <is>
          <t>0.000 SOL</t>
        </is>
      </c>
      <c r="G101" s="18" t="inlineStr">
        <is>
          <t>-2.006 SOL</t>
        </is>
      </c>
      <c r="H101" s="18" t="inlineStr">
        <is>
          <t>0.00%</t>
        </is>
      </c>
      <c r="I101" s="21" t="inlineStr">
        <is>
          <t>242,996,919</t>
        </is>
      </c>
      <c r="J101" s="21" t="n">
        <v>1</v>
      </c>
      <c r="K101" s="21" t="n">
        <v>0</v>
      </c>
      <c r="L101" s="21" t="inlineStr">
        <is>
          <t>27.10.2024 05:36:12</t>
        </is>
      </c>
      <c r="M101" s="19" t="inlineStr">
        <is>
          <t>0 sec</t>
        </is>
      </c>
      <c r="N101" s="21" t="inlineStr">
        <is>
          <t xml:space="preserve">        739K           739K           523K</t>
        </is>
      </c>
      <c r="O101" s="21" t="inlineStr">
        <is>
          <t>rizo34MUwbCBqpSTSfnEktdWB4CTByqqYh8zBxL3WAR</t>
        </is>
      </c>
      <c r="P101" s="21">
        <f>HYPERLINK("https://dexscreener.com/solana/rizo34MUwbCBqpSTSfnEktdWB4CTByqqYh8zBxL3WAR", "View")</f>
        <v/>
      </c>
    </row>
    <row r="102">
      <c r="A102" s="16" t="inlineStr">
        <is>
          <t>ETH</t>
        </is>
      </c>
      <c r="B102" s="17" t="n">
        <v>96934</v>
      </c>
      <c r="C102" s="17" t="n">
        <v>0</v>
      </c>
      <c r="D102" s="17" t="inlineStr">
        <is>
          <t>0.007510</t>
        </is>
      </c>
      <c r="E102" s="17" t="inlineStr">
        <is>
          <t>2.000 SOL</t>
        </is>
      </c>
      <c r="F102" s="17" t="inlineStr">
        <is>
          <t>0.000 SOL</t>
        </is>
      </c>
      <c r="G102" s="18" t="inlineStr">
        <is>
          <t>-2.008 SOL</t>
        </is>
      </c>
      <c r="H102" s="18" t="inlineStr">
        <is>
          <t>0.00%</t>
        </is>
      </c>
      <c r="I102" s="17" t="inlineStr">
        <is>
          <t>96,934</t>
        </is>
      </c>
      <c r="J102" s="17" t="n">
        <v>1</v>
      </c>
      <c r="K102" s="17" t="n">
        <v>0</v>
      </c>
      <c r="L102" s="17" t="inlineStr">
        <is>
          <t>26.10.2024 18:00:21</t>
        </is>
      </c>
      <c r="M102" s="19" t="inlineStr">
        <is>
          <t>0 sec</t>
        </is>
      </c>
      <c r="N102" s="17" t="inlineStr">
        <is>
          <t xml:space="preserve">          4M             4M           823K</t>
        </is>
      </c>
      <c r="O102" s="17" t="inlineStr">
        <is>
          <t>2kaRSuDcz1V1kqq1sDmP23Wy98jutHQQgr5fGDWRpump</t>
        </is>
      </c>
      <c r="P102" s="17">
        <f>HYPERLINK("https://dexscreener.com/solana/2kaRSuDcz1V1kqq1sDmP23Wy98jutHQQgr5fGDWRpump", "View")</f>
        <v/>
      </c>
    </row>
    <row r="103">
      <c r="A103" s="20" t="inlineStr">
        <is>
          <t>RACCOON</t>
        </is>
      </c>
      <c r="B103" s="21" t="n">
        <v>280710</v>
      </c>
      <c r="C103" s="21" t="n">
        <v>0</v>
      </c>
      <c r="D103" s="21" t="inlineStr">
        <is>
          <t>0.000610</t>
        </is>
      </c>
      <c r="E103" s="21" t="inlineStr">
        <is>
          <t>2.000 SOL</t>
        </is>
      </c>
      <c r="F103" s="21" t="inlineStr">
        <is>
          <t>0.000 SOL</t>
        </is>
      </c>
      <c r="G103" s="18" t="inlineStr">
        <is>
          <t>-2.001 SOL</t>
        </is>
      </c>
      <c r="H103" s="18" t="inlineStr">
        <is>
          <t>0.00%</t>
        </is>
      </c>
      <c r="I103" s="21" t="inlineStr">
        <is>
          <t>280,710</t>
        </is>
      </c>
      <c r="J103" s="21" t="n">
        <v>1</v>
      </c>
      <c r="K103" s="21" t="n">
        <v>0</v>
      </c>
      <c r="L103" s="21" t="inlineStr">
        <is>
          <t>26.10.2024 17:57:35</t>
        </is>
      </c>
      <c r="M103" s="19" t="inlineStr">
        <is>
          <t>0 sec</t>
        </is>
      </c>
      <c r="N103" s="21" t="inlineStr">
        <is>
          <t xml:space="preserve">          1M             1M            25K</t>
        </is>
      </c>
      <c r="O103" s="21" t="inlineStr">
        <is>
          <t>FsHk9DeVV3yL45KVdSay87qLRU9Y2zr6HZRfqhhspump</t>
        </is>
      </c>
      <c r="P103" s="21">
        <f>HYPERLINK("https://dexscreener.com/solana/FsHk9DeVV3yL45KVdSay87qLRU9Y2zr6HZRfqhhspump", "View")</f>
        <v/>
      </c>
    </row>
    <row r="104">
      <c r="A104" s="16" t="inlineStr">
        <is>
          <t>pig</t>
        </is>
      </c>
      <c r="B104" s="17" t="n">
        <v>122489</v>
      </c>
      <c r="C104" s="17" t="n">
        <v>61245</v>
      </c>
      <c r="D104" s="17" t="inlineStr">
        <is>
          <t>0.007590</t>
        </is>
      </c>
      <c r="E104" s="17" t="inlineStr">
        <is>
          <t>2.000 SOL</t>
        </is>
      </c>
      <c r="F104" s="17" t="inlineStr">
        <is>
          <t>1.816 SOL</t>
        </is>
      </c>
      <c r="G104" s="25" t="inlineStr">
        <is>
          <t>-0.192 SOL</t>
        </is>
      </c>
      <c r="H104" s="25" t="inlineStr">
        <is>
          <t>-9.57%</t>
        </is>
      </c>
      <c r="I104" s="17" t="inlineStr">
        <is>
          <t>N/A</t>
        </is>
      </c>
      <c r="J104" s="17" t="n">
        <v>1</v>
      </c>
      <c r="K104" s="17" t="n">
        <v>1</v>
      </c>
      <c r="L104" s="17" t="inlineStr">
        <is>
          <t>26.10.2024 16:59:29</t>
        </is>
      </c>
      <c r="M104" s="17" t="inlineStr">
        <is>
          <t>2 hours</t>
        </is>
      </c>
      <c r="N104" s="17" t="inlineStr">
        <is>
          <t xml:space="preserve">          3M             3M           332K</t>
        </is>
      </c>
      <c r="O104" s="17" t="inlineStr">
        <is>
          <t>CXfErCqD2ufoZZ7791sRetSiMkeFSH6oKAjW7ERdpump</t>
        </is>
      </c>
      <c r="P104" s="17">
        <f>HYPERLINK("https://dexscreener.com/solana/CXfErCqD2ufoZZ7791sRetSiMkeFSH6oKAjW7ERdpump", "View")</f>
        <v/>
      </c>
    </row>
    <row r="105">
      <c r="A105" s="20" t="inlineStr">
        <is>
          <t>Swarm</t>
        </is>
      </c>
      <c r="B105" s="21" t="n">
        <v>1058602</v>
      </c>
      <c r="C105" s="21" t="n">
        <v>0</v>
      </c>
      <c r="D105" s="21" t="inlineStr">
        <is>
          <t>0.004660</t>
        </is>
      </c>
      <c r="E105" s="21" t="inlineStr">
        <is>
          <t>3.000 SOL</t>
        </is>
      </c>
      <c r="F105" s="21" t="inlineStr">
        <is>
          <t>0.000 SOL</t>
        </is>
      </c>
      <c r="G105" s="18" t="inlineStr">
        <is>
          <t>-3.005 SOL</t>
        </is>
      </c>
      <c r="H105" s="18" t="inlineStr">
        <is>
          <t>0.00%</t>
        </is>
      </c>
      <c r="I105" s="21" t="inlineStr">
        <is>
          <t>1,058,602</t>
        </is>
      </c>
      <c r="J105" s="21" t="n">
        <v>1</v>
      </c>
      <c r="K105" s="21" t="n">
        <v>0</v>
      </c>
      <c r="L105" s="21" t="inlineStr">
        <is>
          <t>26.10.2024 16:03:09</t>
        </is>
      </c>
      <c r="M105" s="19" t="inlineStr">
        <is>
          <t>0 sec</t>
        </is>
      </c>
      <c r="N105" s="21" t="inlineStr">
        <is>
          <t xml:space="preserve">        497K           497K           187K</t>
        </is>
      </c>
      <c r="O105" s="21" t="inlineStr">
        <is>
          <t>JBSVUpKgYNHt4GLtNebQxTJmZgftTMWENQrziHtGpump</t>
        </is>
      </c>
      <c r="P105" s="21">
        <f>HYPERLINK("https://dexscreener.com/solana/JBSVUpKgYNHt4GLtNebQxTJmZgftTMWENQrziHtGpump", "View")</f>
        <v/>
      </c>
    </row>
    <row r="106">
      <c r="A106" s="16" t="inlineStr">
        <is>
          <t>1glitch</t>
        </is>
      </c>
      <c r="B106" s="17" t="n">
        <v>6367317</v>
      </c>
      <c r="C106" s="17" t="n">
        <v>0</v>
      </c>
      <c r="D106" s="17" t="inlineStr">
        <is>
          <t>0.000550</t>
        </is>
      </c>
      <c r="E106" s="17" t="inlineStr">
        <is>
          <t>1.000 SOL</t>
        </is>
      </c>
      <c r="F106" s="17" t="inlineStr">
        <is>
          <t>0.000 SOL</t>
        </is>
      </c>
      <c r="G106" s="18" t="inlineStr">
        <is>
          <t>-1.001 SOL</t>
        </is>
      </c>
      <c r="H106" s="18" t="inlineStr">
        <is>
          <t>0.00%</t>
        </is>
      </c>
      <c r="I106" s="17" t="inlineStr">
        <is>
          <t>6,367,317</t>
        </is>
      </c>
      <c r="J106" s="17" t="n">
        <v>1</v>
      </c>
      <c r="K106" s="17" t="n">
        <v>0</v>
      </c>
      <c r="L106" s="17" t="inlineStr">
        <is>
          <t>26.10.2024 13:45:13</t>
        </is>
      </c>
      <c r="M106" s="19" t="inlineStr">
        <is>
          <t>0 sec</t>
        </is>
      </c>
      <c r="N106" s="17" t="inlineStr">
        <is>
          <t xml:space="preserve">         28K            28K             4K</t>
        </is>
      </c>
      <c r="O106" s="17" t="inlineStr">
        <is>
          <t>3F4pGvzvwSJGDYUX8YqSoqD9mMSH82StzhUoxJyvpump</t>
        </is>
      </c>
      <c r="P106" s="17">
        <f>HYPERLINK("https://dexscreener.com/solana/3F4pGvzvwSJGDYUX8YqSoqD9mMSH82StzhUoxJyvpump", "View")</f>
        <v/>
      </c>
    </row>
    <row r="107">
      <c r="A107" s="20" t="inlineStr">
        <is>
          <t>DARK-1020</t>
        </is>
      </c>
      <c r="B107" s="21" t="n">
        <v>7823991</v>
      </c>
      <c r="C107" s="21" t="n">
        <v>0</v>
      </c>
      <c r="D107" s="21" t="inlineStr">
        <is>
          <t>0.003890</t>
        </is>
      </c>
      <c r="E107" s="21" t="inlineStr">
        <is>
          <t>2.074 SOL</t>
        </is>
      </c>
      <c r="F107" s="21" t="inlineStr">
        <is>
          <t>0.000 SOL</t>
        </is>
      </c>
      <c r="G107" s="18" t="inlineStr">
        <is>
          <t>-2.078 SOL</t>
        </is>
      </c>
      <c r="H107" s="18" t="inlineStr">
        <is>
          <t>0.00%</t>
        </is>
      </c>
      <c r="I107" s="21" t="inlineStr">
        <is>
          <t>7,823,991</t>
        </is>
      </c>
      <c r="J107" s="21" t="n">
        <v>1</v>
      </c>
      <c r="K107" s="21" t="n">
        <v>0</v>
      </c>
      <c r="L107" s="21" t="inlineStr">
        <is>
          <t>26.10.2024 12:35:12</t>
        </is>
      </c>
      <c r="M107" s="19" t="inlineStr">
        <is>
          <t>0 sec</t>
        </is>
      </c>
      <c r="N107" s="21" t="inlineStr">
        <is>
          <t xml:space="preserve">         47K            47K             4K</t>
        </is>
      </c>
      <c r="O107" s="21" t="inlineStr">
        <is>
          <t>DRRkvzEyN41WL6CNCLamipGjs7jK6vD6AYPsiqAYpump</t>
        </is>
      </c>
      <c r="P107" s="21">
        <f>HYPERLINK("https://photon-sol.tinyastro.io/en/lp/DRRkvzEyN41WL6CNCLamipGjs7jK6vD6AYPsiqAYpump?handle=676050794bc1b1657a56b", "View")</f>
        <v/>
      </c>
    </row>
    <row r="108">
      <c r="A108" s="16" t="inlineStr">
        <is>
          <t>GPT2</t>
        </is>
      </c>
      <c r="B108" s="17" t="n">
        <v>185838</v>
      </c>
      <c r="C108" s="17" t="n">
        <v>0</v>
      </c>
      <c r="D108" s="17" t="inlineStr">
        <is>
          <t>0.001990</t>
        </is>
      </c>
      <c r="E108" s="17" t="inlineStr">
        <is>
          <t>3.111 SOL</t>
        </is>
      </c>
      <c r="F108" s="17" t="inlineStr">
        <is>
          <t>0.000 SOL</t>
        </is>
      </c>
      <c r="G108" s="18" t="inlineStr">
        <is>
          <t>-3.113 SOL</t>
        </is>
      </c>
      <c r="H108" s="18" t="inlineStr">
        <is>
          <t>0.00%</t>
        </is>
      </c>
      <c r="I108" s="17" t="inlineStr">
        <is>
          <t>185,838</t>
        </is>
      </c>
      <c r="J108" s="17" t="n">
        <v>1</v>
      </c>
      <c r="K108" s="17" t="n">
        <v>0</v>
      </c>
      <c r="L108" s="17" t="inlineStr">
        <is>
          <t>26.10.2024 09:22:16</t>
        </is>
      </c>
      <c r="M108" s="19" t="inlineStr">
        <is>
          <t>0 sec</t>
        </is>
      </c>
      <c r="N108" s="17" t="inlineStr">
        <is>
          <t xml:space="preserve">          3M             3M           166K</t>
        </is>
      </c>
      <c r="O108" s="17" t="inlineStr">
        <is>
          <t>4B3NXEKgsT9hsadpCKNEwSXj6aDqwR7iqe5GzvgKpump</t>
        </is>
      </c>
      <c r="P108" s="17">
        <f>HYPERLINK("https://dexscreener.com/solana/4B3NXEKgsT9hsadpCKNEwSXj6aDqwR7iqe5GzvgKpump", "View")</f>
        <v/>
      </c>
    </row>
    <row r="109">
      <c r="A109" s="20" t="inlineStr">
        <is>
          <t>ANT</t>
        </is>
      </c>
      <c r="B109" s="21" t="n">
        <v>74960</v>
      </c>
      <c r="C109" s="21" t="n">
        <v>0</v>
      </c>
      <c r="D109" s="21" t="inlineStr">
        <is>
          <t>0.004660</t>
        </is>
      </c>
      <c r="E109" s="21" t="inlineStr">
        <is>
          <t>3.125 SOL</t>
        </is>
      </c>
      <c r="F109" s="21" t="inlineStr">
        <is>
          <t>0.000 SOL</t>
        </is>
      </c>
      <c r="G109" s="18" t="inlineStr">
        <is>
          <t>-3.130 SOL</t>
        </is>
      </c>
      <c r="H109" s="18" t="inlineStr">
        <is>
          <t>0.00%</t>
        </is>
      </c>
      <c r="I109" s="21" t="inlineStr">
        <is>
          <t>74,960</t>
        </is>
      </c>
      <c r="J109" s="21" t="n">
        <v>1</v>
      </c>
      <c r="K109" s="21" t="n">
        <v>0</v>
      </c>
      <c r="L109" s="21" t="inlineStr">
        <is>
          <t>24.10.2024 06:04:48</t>
        </is>
      </c>
      <c r="M109" s="19" t="inlineStr">
        <is>
          <t>0 sec</t>
        </is>
      </c>
      <c r="N109" s="21" t="inlineStr">
        <is>
          <t xml:space="preserve">          7M             7M           166K</t>
        </is>
      </c>
      <c r="O109" s="21" t="inlineStr">
        <is>
          <t>7PLFUMueEkMDc9dNoCnL5kG3aoLixML1iG5nA9ojpump</t>
        </is>
      </c>
      <c r="P109" s="21">
        <f>HYPERLINK("https://dexscreener.com/solana/7PLFUMueEkMDc9dNoCnL5kG3aoLixML1iG5nA9ojpump", "View")</f>
        <v/>
      </c>
    </row>
    <row r="110">
      <c r="A110" s="16" t="inlineStr">
        <is>
          <t>CATGF</t>
        </is>
      </c>
      <c r="B110" s="17" t="n">
        <v>44741</v>
      </c>
      <c r="C110" s="17" t="n">
        <v>0</v>
      </c>
      <c r="D110" s="17" t="inlineStr">
        <is>
          <t>0.007510</t>
        </is>
      </c>
      <c r="E110" s="17" t="inlineStr">
        <is>
          <t>4.891 SOL</t>
        </is>
      </c>
      <c r="F110" s="17" t="inlineStr">
        <is>
          <t>0.000 SOL</t>
        </is>
      </c>
      <c r="G110" s="18" t="inlineStr">
        <is>
          <t>-4.899 SOL</t>
        </is>
      </c>
      <c r="H110" s="18" t="inlineStr">
        <is>
          <t>0.00%</t>
        </is>
      </c>
      <c r="I110" s="17" t="inlineStr">
        <is>
          <t>44,741</t>
        </is>
      </c>
      <c r="J110" s="17" t="n">
        <v>1</v>
      </c>
      <c r="K110" s="17" t="n">
        <v>0</v>
      </c>
      <c r="L110" s="17" t="inlineStr">
        <is>
          <t>23.10.2024 07:15:41</t>
        </is>
      </c>
      <c r="M110" s="19" t="inlineStr">
        <is>
          <t>0 sec</t>
        </is>
      </c>
      <c r="N110" s="17" t="inlineStr">
        <is>
          <t xml:space="preserve">         19M            19M             4M</t>
        </is>
      </c>
      <c r="O110" s="17" t="inlineStr">
        <is>
          <t>GVwpWU5PtJFHS1mH35sHmsRN1XWUwRV3Qo94h5Lepump</t>
        </is>
      </c>
      <c r="P110" s="17">
        <f>HYPERLINK("https://dexscreener.com/solana/GVwpWU5PtJFHS1mH35sHmsRN1XWUwRV3Qo94h5Lepump", "View")</f>
        <v/>
      </c>
    </row>
    <row r="111">
      <c r="A111" s="20" t="inlineStr">
        <is>
          <t>DOE</t>
        </is>
      </c>
      <c r="B111" s="21" t="n">
        <v>135984</v>
      </c>
      <c r="C111" s="21" t="n">
        <v>0</v>
      </c>
      <c r="D111" s="21" t="inlineStr">
        <is>
          <t>0.001650</t>
        </is>
      </c>
      <c r="E111" s="21" t="inlineStr">
        <is>
          <t>2.026 SOL</t>
        </is>
      </c>
      <c r="F111" s="21" t="inlineStr">
        <is>
          <t>0.000 SOL</t>
        </is>
      </c>
      <c r="G111" s="18" t="inlineStr">
        <is>
          <t>-2.028 SOL</t>
        </is>
      </c>
      <c r="H111" s="18" t="inlineStr">
        <is>
          <t>0.00%</t>
        </is>
      </c>
      <c r="I111" s="21" t="inlineStr">
        <is>
          <t>135,984</t>
        </is>
      </c>
      <c r="J111" s="21" t="n">
        <v>1</v>
      </c>
      <c r="K111" s="21" t="n">
        <v>0</v>
      </c>
      <c r="L111" s="21" t="inlineStr">
        <is>
          <t>20.10.2024 00:48:55</t>
        </is>
      </c>
      <c r="M111" s="19" t="inlineStr">
        <is>
          <t>0 sec</t>
        </is>
      </c>
      <c r="N111" s="21" t="inlineStr">
        <is>
          <t xml:space="preserve">        917K           917K           558K</t>
        </is>
      </c>
      <c r="O111" s="21" t="inlineStr">
        <is>
          <t>2FKMWYwr17j7AHexcgcQbn5gwZTsYR86qBPrU1BHpump</t>
        </is>
      </c>
      <c r="P111" s="21">
        <f>HYPERLINK("https://dexscreener.com/solana/2FKMWYwr17j7AHexcgcQbn5gwZTsYR86qBPrU1BHpump", "View")</f>
        <v/>
      </c>
    </row>
    <row r="112">
      <c r="A112" s="16" t="inlineStr">
        <is>
          <t>EREBUS</t>
        </is>
      </c>
      <c r="B112" s="17" t="n">
        <v>78688</v>
      </c>
      <c r="C112" s="17" t="n">
        <v>39344</v>
      </c>
      <c r="D112" s="17" t="inlineStr">
        <is>
          <t>0.002300</t>
        </is>
      </c>
      <c r="E112" s="17" t="inlineStr">
        <is>
          <t>3.000 SOL</t>
        </is>
      </c>
      <c r="F112" s="17" t="inlineStr">
        <is>
          <t>2.986 SOL</t>
        </is>
      </c>
      <c r="G112" s="25" t="inlineStr">
        <is>
          <t>-0.016 SOL</t>
        </is>
      </c>
      <c r="H112" s="25" t="inlineStr">
        <is>
          <t>-0.54%</t>
        </is>
      </c>
      <c r="I112" s="17" t="inlineStr">
        <is>
          <t>N/A</t>
        </is>
      </c>
      <c r="J112" s="17" t="n">
        <v>1</v>
      </c>
      <c r="K112" s="17" t="n">
        <v>1</v>
      </c>
      <c r="L112" s="17" t="inlineStr">
        <is>
          <t>19.10.2024 16:50:09</t>
        </is>
      </c>
      <c r="M112" s="17" t="inlineStr">
        <is>
          <t>6 hours</t>
        </is>
      </c>
      <c r="N112" s="17" t="inlineStr">
        <is>
          <t xml:space="preserve">          7M            13M           120K</t>
        </is>
      </c>
      <c r="O112" s="17" t="inlineStr">
        <is>
          <t>A17gzfib2UaxteKXzMK37G4AtVqYKRqRLT54aDjYpump</t>
        </is>
      </c>
      <c r="P112" s="17">
        <f>HYPERLINK("https://dexscreener.com/solana/A17gzfib2UaxteKXzMK37G4AtVqYKRqRLT54aDjYpump", "View")</f>
        <v/>
      </c>
    </row>
    <row r="113">
      <c r="A113" s="20" t="inlineStr">
        <is>
          <t>ANON</t>
        </is>
      </c>
      <c r="B113" s="21" t="n">
        <v>841230</v>
      </c>
      <c r="C113" s="21" t="n">
        <v>0</v>
      </c>
      <c r="D113" s="21" t="inlineStr">
        <is>
          <t>0.001330</t>
        </is>
      </c>
      <c r="E113" s="21" t="inlineStr">
        <is>
          <t>3.000 SOL</t>
        </is>
      </c>
      <c r="F113" s="21" t="inlineStr">
        <is>
          <t>0.000 SOL</t>
        </is>
      </c>
      <c r="G113" s="18" t="inlineStr">
        <is>
          <t>-3.001 SOL</t>
        </is>
      </c>
      <c r="H113" s="18" t="inlineStr">
        <is>
          <t>0.00%</t>
        </is>
      </c>
      <c r="I113" s="21" t="inlineStr">
        <is>
          <t>841,230</t>
        </is>
      </c>
      <c r="J113" s="21" t="n">
        <v>1</v>
      </c>
      <c r="K113" s="21" t="n">
        <v>0</v>
      </c>
      <c r="L113" s="21" t="inlineStr">
        <is>
          <t>19.10.2024 11:24:12</t>
        </is>
      </c>
      <c r="M113" s="19" t="inlineStr">
        <is>
          <t>0 sec</t>
        </is>
      </c>
      <c r="N113" s="21" t="inlineStr">
        <is>
          <t xml:space="preserve">        627K           627K            69K</t>
        </is>
      </c>
      <c r="O113" s="21" t="inlineStr">
        <is>
          <t>9gm4FUx84rch5s96hV27NfuXXfRyUeWCt6wFbjLDpump</t>
        </is>
      </c>
      <c r="P113" s="21">
        <f>HYPERLINK("https://dexscreener.com/solana/9gm4FUx84rch5s96hV27NfuXXfRyUeWCt6wFbjLDpump", "View")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9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HYPERLINK("https://gmgn.ai/sol/address/D9hsi4iAu2fzrsiJ5VpdHgfAUnnkwzwLQo5jMrXQF1wt", "GMGN")</f>
        <v/>
      </c>
    </row>
    <row r="2">
      <c r="A2" s="3" t="inlineStr">
        <is>
          <t>D9hsi4iAu2fzrsiJ5VpdHgfAUnnkwzwLQo5jMrXQF1wt</t>
        </is>
      </c>
      <c r="B2" s="3" t="inlineStr">
        <is>
          <t>94.13 SOL</t>
        </is>
      </c>
      <c r="C2" s="3" t="inlineStr">
        <is>
          <t>27%</t>
        </is>
      </c>
      <c r="D2" s="3" t="inlineStr">
        <is>
          <t>82%</t>
        </is>
      </c>
      <c r="E2" s="3" t="inlineStr">
        <is>
          <t>128.94 SOL</t>
        </is>
      </c>
      <c r="F2" s="3" t="inlineStr">
        <is>
          <t>0 (0%)</t>
        </is>
      </c>
      <c r="G2" s="3" t="inlineStr">
        <is>
          <t>4 (5%)</t>
        </is>
      </c>
      <c r="H2" s="3" t="n">
        <v>77</v>
      </c>
      <c r="I2" s="3" t="n">
        <v>9</v>
      </c>
      <c r="J2" s="3" t="inlineStr">
        <is>
          <t>27 days</t>
        </is>
      </c>
      <c r="K2" s="3" t="inlineStr">
        <is>
          <t>7 h</t>
        </is>
      </c>
      <c r="L2" s="3" t="n">
        <v>29</v>
      </c>
      <c r="M2" s="3" t="n">
        <v>104</v>
      </c>
      <c r="N2" s="3">
        <f>HYPERLINK("https://solscan.io/account/D9hsi4iAu2fzrsiJ5VpdHgfAUnnkwzwLQo5jMrXQF1wt", "Solscan")</f>
        <v/>
      </c>
    </row>
    <row r="3">
      <c r="A3" s="7" t="inlineStr">
        <is>
          <t>Median ROI</t>
        </is>
      </c>
      <c r="B3" s="5" t="inlineStr">
        <is>
          <t>-67.55%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HYPERLINK("https://birdeye.so/profile/D9hsi4iAu2fzrsiJ5VpdHgfAUnnkwzwLQo5jMrXQF1wt", "Birdeye")</f>
        <v/>
      </c>
    </row>
    <row r="4">
      <c r="A4" s="7" t="inlineStr">
        <is>
          <t>Rockets percent</t>
        </is>
      </c>
      <c r="B4" s="3" t="inlineStr">
        <is>
          <t>21%</t>
        </is>
      </c>
      <c r="C4" s="3" t="inlineStr"/>
      <c r="D4" s="3" t="inlineStr">
        <is>
          <t>19%</t>
        </is>
      </c>
      <c r="E4" s="3" t="inlineStr">
        <is>
          <t>29.77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1232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9</v>
      </c>
      <c r="C10" s="7" t="n">
        <v>7</v>
      </c>
      <c r="D10" s="7" t="n">
        <v>0</v>
      </c>
      <c r="E10" s="7" t="n">
        <v>5</v>
      </c>
      <c r="F10" s="7" t="n">
        <v>13</v>
      </c>
      <c r="G10" s="7" t="n">
        <v>43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11.7%</t>
        </is>
      </c>
      <c r="C11" s="7" t="inlineStr">
        <is>
          <t>9.1%</t>
        </is>
      </c>
      <c r="D11" s="7" t="inlineStr">
        <is>
          <t>0.0%</t>
        </is>
      </c>
      <c r="E11" s="7" t="inlineStr">
        <is>
          <t>6.5%</t>
        </is>
      </c>
      <c r="F11" s="7" t="inlineStr">
        <is>
          <t>16.9%</t>
        </is>
      </c>
      <c r="G11" s="7" t="inlineStr">
        <is>
          <t>55.8%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17.2 SOL</t>
        </is>
      </c>
      <c r="C12" s="7" t="inlineStr">
        <is>
          <t>188.3 SOL</t>
        </is>
      </c>
      <c r="D12" s="7" t="inlineStr">
        <is>
          <t>0.0 SOL</t>
        </is>
      </c>
      <c r="E12" s="7" t="inlineStr">
        <is>
          <t>0.7 SOL</t>
        </is>
      </c>
      <c r="F12" s="7" t="inlineStr">
        <is>
          <t>-3.5 SOL</t>
        </is>
      </c>
      <c r="G12" s="7" t="inlineStr">
        <is>
          <t>-73.7 SOL</t>
        </is>
      </c>
      <c r="H12" s="3" t="n"/>
      <c r="I12" s="3" t="inlineStr">
        <is>
          <t>30k-100k</t>
        </is>
      </c>
      <c r="J12" s="3" t="inlineStr">
        <is>
          <t>12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29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259.5K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XENO</t>
        </is>
      </c>
      <c r="B20" s="17" t="n">
        <v>75762</v>
      </c>
      <c r="C20" s="17" t="n">
        <v>0</v>
      </c>
      <c r="D20" s="17" t="inlineStr">
        <is>
          <t>0.000400</t>
        </is>
      </c>
      <c r="E20" s="17" t="inlineStr">
        <is>
          <t>2.974 SOL</t>
        </is>
      </c>
      <c r="F20" s="17" t="inlineStr">
        <is>
          <t>0.000 SOL</t>
        </is>
      </c>
      <c r="G20" s="18" t="inlineStr">
        <is>
          <t>-2.975 SOL</t>
        </is>
      </c>
      <c r="H20" s="18" t="inlineStr">
        <is>
          <t>0.00%</t>
        </is>
      </c>
      <c r="I20" s="17" t="inlineStr">
        <is>
          <t>75,762</t>
        </is>
      </c>
      <c r="J20" s="17" t="n">
        <v>1</v>
      </c>
      <c r="K20" s="17" t="n">
        <v>0</v>
      </c>
      <c r="L20" s="17" t="inlineStr">
        <is>
          <t>30.10.2024 19:08:28</t>
        </is>
      </c>
      <c r="M20" s="19" t="inlineStr">
        <is>
          <t>0 sec</t>
        </is>
      </c>
      <c r="N20" s="17" t="inlineStr">
        <is>
          <t xml:space="preserve">          7M             7M             4M</t>
        </is>
      </c>
      <c r="O20" s="17" t="inlineStr">
        <is>
          <t>Db7ZUaWTThwZy7bVhjn5Dda8D3fbbAhihcxPV4m9pump</t>
        </is>
      </c>
      <c r="P20" s="17">
        <f>HYPERLINK("https://dexscreener.com/solana/Db7ZUaWTThwZy7bVhjn5Dda8D3fbbAhihcxPV4m9pump", "View")</f>
        <v/>
      </c>
    </row>
    <row r="21">
      <c r="A21" s="20" t="inlineStr">
        <is>
          <t>MOON</t>
        </is>
      </c>
      <c r="B21" s="21" t="n">
        <v>45854217</v>
      </c>
      <c r="C21" s="21" t="n">
        <v>45850000</v>
      </c>
      <c r="D21" s="21" t="inlineStr">
        <is>
          <t>0.002020</t>
        </is>
      </c>
      <c r="E21" s="21" t="inlineStr">
        <is>
          <t>0.043 SOL</t>
        </is>
      </c>
      <c r="F21" s="21" t="inlineStr">
        <is>
          <t>0.050 SOL</t>
        </is>
      </c>
      <c r="G21" s="22" t="inlineStr">
        <is>
          <t>0.006 SOL</t>
        </is>
      </c>
      <c r="H21" s="22" t="inlineStr">
        <is>
          <t>13.25%</t>
        </is>
      </c>
      <c r="I21" s="21" t="inlineStr">
        <is>
          <t>N/A</t>
        </is>
      </c>
      <c r="J21" s="21" t="n">
        <v>1</v>
      </c>
      <c r="K21" s="21" t="n">
        <v>4</v>
      </c>
      <c r="L21" s="21" t="inlineStr">
        <is>
          <t>30.10.2024 18:23:16</t>
        </is>
      </c>
      <c r="M21" s="21" t="inlineStr">
        <is>
          <t>25 min</t>
        </is>
      </c>
      <c r="N21" s="21" t="inlineStr">
        <is>
          <t xml:space="preserve">        N/A           N/A             5K</t>
        </is>
      </c>
      <c r="O21" s="21" t="inlineStr">
        <is>
          <t>3wbfVFv2xAEdNi3yR7AqkznfHw3d1cmL4uc2wRSXbiPH</t>
        </is>
      </c>
      <c r="P21" s="21">
        <f>HYPERLINK("https://photon-sol.tinyastro.io/en/lp/3wbfVFv2xAEdNi3yR7AqkznfHw3d1cmL4uc2wRSXbiPH?handle=676050794bc1b1657a56b", "View")</f>
        <v/>
      </c>
    </row>
    <row r="22">
      <c r="A22" s="16" t="inlineStr">
        <is>
          <t>Water</t>
        </is>
      </c>
      <c r="B22" s="17" t="n">
        <v>2629912</v>
      </c>
      <c r="C22" s="17" t="n">
        <v>0</v>
      </c>
      <c r="D22" s="17" t="inlineStr">
        <is>
          <t>0.000420</t>
        </is>
      </c>
      <c r="E22" s="17" t="inlineStr">
        <is>
          <t>0.510 SOL</t>
        </is>
      </c>
      <c r="F22" s="17" t="inlineStr">
        <is>
          <t>0.000 SOL</t>
        </is>
      </c>
      <c r="G22" s="18" t="inlineStr">
        <is>
          <t>-0.511 SOL</t>
        </is>
      </c>
      <c r="H22" s="18" t="inlineStr">
        <is>
          <t>0.00%</t>
        </is>
      </c>
      <c r="I22" s="17" t="inlineStr">
        <is>
          <t>2,629,912</t>
        </is>
      </c>
      <c r="J22" s="17" t="n">
        <v>1</v>
      </c>
      <c r="K22" s="17" t="n">
        <v>0</v>
      </c>
      <c r="L22" s="17" t="inlineStr">
        <is>
          <t>30.10.2024 16:18:01</t>
        </is>
      </c>
      <c r="M22" s="19" t="inlineStr">
        <is>
          <t>0 sec</t>
        </is>
      </c>
      <c r="N22" s="17" t="inlineStr">
        <is>
          <t xml:space="preserve">         33K            33K             7K</t>
        </is>
      </c>
      <c r="O22" s="17" t="inlineStr">
        <is>
          <t>AiCw26DPkAVmFNecgBzCM7sejz3CHidytKuAcaGrpump</t>
        </is>
      </c>
      <c r="P22" s="17">
        <f>HYPERLINK("https://photon-sol.tinyastro.io/en/lp/AiCw26DPkAVmFNecgBzCM7sejz3CHidytKuAcaGrpump?handle=676050794bc1b1657a56b", "View")</f>
        <v/>
      </c>
    </row>
    <row r="23">
      <c r="A23" s="20" t="inlineStr">
        <is>
          <t>BIPE</t>
        </is>
      </c>
      <c r="B23" s="21" t="n">
        <v>7769509</v>
      </c>
      <c r="C23" s="21" t="n">
        <v>7769509</v>
      </c>
      <c r="D23" s="21" t="inlineStr">
        <is>
          <t>0.000450</t>
        </is>
      </c>
      <c r="E23" s="21" t="inlineStr">
        <is>
          <t>0.510 SOL</t>
        </is>
      </c>
      <c r="F23" s="21" t="inlineStr">
        <is>
          <t>0.233 SOL</t>
        </is>
      </c>
      <c r="G23" s="23" t="inlineStr">
        <is>
          <t>-0.277 SOL</t>
        </is>
      </c>
      <c r="H23" s="23" t="inlineStr">
        <is>
          <t>-54.31%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16:14:24</t>
        </is>
      </c>
      <c r="M23" s="21" t="inlineStr">
        <is>
          <t>11 min</t>
        </is>
      </c>
      <c r="N23" s="21" t="inlineStr">
        <is>
          <t xml:space="preserve">         12K             5K             5K</t>
        </is>
      </c>
      <c r="O23" s="21" t="inlineStr">
        <is>
          <t>DRWrn9Np2FRWfBqedqVXDT3YhYv3D2TxagjYkRPspump</t>
        </is>
      </c>
      <c r="P23" s="21">
        <f>HYPERLINK("https://photon-sol.tinyastro.io/en/lp/DRWrn9Np2FRWfBqedqVXDT3YhYv3D2TxagjYkRPspump?handle=676050794bc1b1657a56b", "View")</f>
        <v/>
      </c>
    </row>
    <row r="24">
      <c r="A24" s="16" t="inlineStr">
        <is>
          <t>FOS</t>
        </is>
      </c>
      <c r="B24" s="17" t="n">
        <v>15834847</v>
      </c>
      <c r="C24" s="17" t="n">
        <v>0</v>
      </c>
      <c r="D24" s="17" t="inlineStr">
        <is>
          <t>0.000020</t>
        </is>
      </c>
      <c r="E24" s="17" t="inlineStr">
        <is>
          <t>0.510 SOL</t>
        </is>
      </c>
      <c r="F24" s="17" t="inlineStr">
        <is>
          <t>0.000 SOL</t>
        </is>
      </c>
      <c r="G24" s="18" t="inlineStr">
        <is>
          <t>-0.510 SOL</t>
        </is>
      </c>
      <c r="H24" s="18" t="inlineStr">
        <is>
          <t>0.00%</t>
        </is>
      </c>
      <c r="I24" s="17" t="inlineStr">
        <is>
          <t>15,834,847</t>
        </is>
      </c>
      <c r="J24" s="17" t="n">
        <v>1</v>
      </c>
      <c r="K24" s="17" t="n">
        <v>0</v>
      </c>
      <c r="L24" s="17" t="inlineStr">
        <is>
          <t>30.10.2024 16:09:39</t>
        </is>
      </c>
      <c r="M24" s="19" t="inlineStr">
        <is>
          <t>0 sec</t>
        </is>
      </c>
      <c r="N24" s="17" t="inlineStr">
        <is>
          <t xml:space="preserve">        N/A           N/A           N/A</t>
        </is>
      </c>
      <c r="O24" s="17" t="inlineStr">
        <is>
          <t>Ca5Xr3db7j6rsBVNPGvdGzG5A6K7Ar8TLWgjcEG3ZMPS</t>
        </is>
      </c>
      <c r="P24" s="17">
        <f>HYPERLINK("https://photon-sol.tinyastro.io/en/lp/Ca5Xr3db7j6rsBVNPGvdGzG5A6K7Ar8TLWgjcEG3ZMPS?handle=676050794bc1b1657a56b", "View")</f>
        <v/>
      </c>
    </row>
    <row r="25">
      <c r="A25" s="20" t="inlineStr">
        <is>
          <t>TRUMP</t>
        </is>
      </c>
      <c r="B25" s="21" t="n">
        <v>733809</v>
      </c>
      <c r="C25" s="21" t="n">
        <v>0</v>
      </c>
      <c r="D25" s="21" t="inlineStr">
        <is>
          <t>0.000150</t>
        </is>
      </c>
      <c r="E25" s="21" t="inlineStr">
        <is>
          <t>0.500 SOL</t>
        </is>
      </c>
      <c r="F25" s="21" t="inlineStr">
        <is>
          <t>0.000 SOL</t>
        </is>
      </c>
      <c r="G25" s="18" t="inlineStr">
        <is>
          <t>-0.500 SOL</t>
        </is>
      </c>
      <c r="H25" s="18" t="inlineStr">
        <is>
          <t>0.00%</t>
        </is>
      </c>
      <c r="I25" s="21" t="inlineStr">
        <is>
          <t>733,809</t>
        </is>
      </c>
      <c r="J25" s="21" t="n">
        <v>1</v>
      </c>
      <c r="K25" s="21" t="n">
        <v>0</v>
      </c>
      <c r="L25" s="21" t="inlineStr">
        <is>
          <t>30.10.2024 14:41:55</t>
        </is>
      </c>
      <c r="M25" s="19" t="inlineStr">
        <is>
          <t>0 sec</t>
        </is>
      </c>
      <c r="N25" s="21" t="inlineStr">
        <is>
          <t xml:space="preserve">        119K           119K           115K</t>
        </is>
      </c>
      <c r="O25" s="21" t="inlineStr">
        <is>
          <t>DBNLn6C32cMmbh8ABcioWgv3ninciwUyfjgL1wyCpSxG</t>
        </is>
      </c>
      <c r="P25" s="21">
        <f>HYPERLINK("https://dexscreener.com/solana/DBNLn6C32cMmbh8ABcioWgv3ninciwUyfjgL1wyCpSxG", "View")</f>
        <v/>
      </c>
    </row>
    <row r="26">
      <c r="A26" s="16" t="inlineStr">
        <is>
          <t>SIGILS</t>
        </is>
      </c>
      <c r="B26" s="17" t="n">
        <v>7338888</v>
      </c>
      <c r="C26" s="17" t="n">
        <v>7338888</v>
      </c>
      <c r="D26" s="17" t="inlineStr">
        <is>
          <t>0.003120</t>
        </is>
      </c>
      <c r="E26" s="17" t="inlineStr">
        <is>
          <t>1.015 SOL</t>
        </is>
      </c>
      <c r="F26" s="17" t="inlineStr">
        <is>
          <t>2.681 SOL</t>
        </is>
      </c>
      <c r="G26" s="24" t="inlineStr">
        <is>
          <t>1.663 SOL</t>
        </is>
      </c>
      <c r="H26" s="24" t="inlineStr">
        <is>
          <t>163.29%</t>
        </is>
      </c>
      <c r="I26" s="17" t="inlineStr">
        <is>
          <t>N/A</t>
        </is>
      </c>
      <c r="J26" s="17" t="n">
        <v>1</v>
      </c>
      <c r="K26" s="17" t="n">
        <v>3</v>
      </c>
      <c r="L26" s="17" t="inlineStr">
        <is>
          <t>30.10.2024 14:34:30</t>
        </is>
      </c>
      <c r="M26" s="17" t="inlineStr">
        <is>
          <t>9 days</t>
        </is>
      </c>
      <c r="N26" s="17" t="inlineStr">
        <is>
          <t xml:space="preserve">         25K            25K            35K</t>
        </is>
      </c>
      <c r="O26" s="17" t="inlineStr">
        <is>
          <t>65f1VwPxncLCWBUSwvB1PM4CFaYRj4wvPWjH2uuipump</t>
        </is>
      </c>
      <c r="P26" s="17">
        <f>HYPERLINK("https://photon-sol.tinyastro.io/en/lp/65f1VwPxncLCWBUSwvB1PM4CFaYRj4wvPWjH2uuipump?handle=676050794bc1b1657a56b", "View")</f>
        <v/>
      </c>
    </row>
    <row r="27">
      <c r="A27" s="20" t="inlineStr">
        <is>
          <t>LILY</t>
        </is>
      </c>
      <c r="B27" s="21" t="n">
        <v>2727925</v>
      </c>
      <c r="C27" s="21" t="n">
        <v>2727925</v>
      </c>
      <c r="D27" s="21" t="inlineStr">
        <is>
          <t>0.000430</t>
        </is>
      </c>
      <c r="E27" s="21" t="inlineStr">
        <is>
          <t>0.502 SOL</t>
        </is>
      </c>
      <c r="F27" s="21" t="inlineStr">
        <is>
          <t>0.078 SOL</t>
        </is>
      </c>
      <c r="G27" s="23" t="inlineStr">
        <is>
          <t>-0.424 SOL</t>
        </is>
      </c>
      <c r="H27" s="23" t="inlineStr">
        <is>
          <t>-84.48%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30.10.2024 14:33:22</t>
        </is>
      </c>
      <c r="M27" s="21" t="inlineStr">
        <is>
          <t>20 days</t>
        </is>
      </c>
      <c r="N27" s="21" t="inlineStr">
        <is>
          <t xml:space="preserve">        N/A           N/A           N/A</t>
        </is>
      </c>
      <c r="O27" s="21" t="inlineStr">
        <is>
          <t>2RU3yGJoB1P14n7fSXzmw16AH4ffLk81KsUkvZj4pump</t>
        </is>
      </c>
      <c r="P27" s="21">
        <f>HYPERLINK("https://photon-sol.tinyastro.io/en/lp/2RU3yGJoB1P14n7fSXzmw16AH4ffLk81KsUkvZj4pump?handle=676050794bc1b1657a56b", "View")</f>
        <v/>
      </c>
    </row>
    <row r="28">
      <c r="A28" s="16" t="inlineStr">
        <is>
          <t>CULTS</t>
        </is>
      </c>
      <c r="B28" s="17" t="n">
        <v>5070480</v>
      </c>
      <c r="C28" s="17" t="n">
        <v>7818299</v>
      </c>
      <c r="D28" s="17" t="inlineStr">
        <is>
          <t>0.000910</t>
        </is>
      </c>
      <c r="E28" s="17" t="inlineStr">
        <is>
          <t>0.992 SOL</t>
        </is>
      </c>
      <c r="F28" s="17" t="inlineStr">
        <is>
          <t>0.211 SOL</t>
        </is>
      </c>
      <c r="G28" s="23" t="inlineStr">
        <is>
          <t>-0.782 SOL</t>
        </is>
      </c>
      <c r="H28" s="23" t="inlineStr">
        <is>
          <t>-78.75%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30.10.2024 14:30:10</t>
        </is>
      </c>
      <c r="M28" s="17" t="inlineStr">
        <is>
          <t>3 days</t>
        </is>
      </c>
      <c r="N28" s="17" t="inlineStr">
        <is>
          <t xml:space="preserve">         35K            35K             5K</t>
        </is>
      </c>
      <c r="O28" s="17" t="inlineStr">
        <is>
          <t>BMPo3jjLgAvXNeq1eVcXfnpBKstEPF4HLqqCuN71pump</t>
        </is>
      </c>
      <c r="P28" s="17">
        <f>HYPERLINK("https://dexscreener.com/solana/BMPo3jjLgAvXNeq1eVcXfnpBKstEPF4HLqqCuN71pump", "View")</f>
        <v/>
      </c>
    </row>
    <row r="29">
      <c r="A29" s="20" t="inlineStr">
        <is>
          <t>Meddog</t>
        </is>
      </c>
      <c r="B29" s="21" t="n">
        <v>4940637</v>
      </c>
      <c r="C29" s="21" t="n">
        <v>4940637</v>
      </c>
      <c r="D29" s="21" t="inlineStr">
        <is>
          <t>0.002910</t>
        </is>
      </c>
      <c r="E29" s="21" t="inlineStr">
        <is>
          <t>1.015 SOL</t>
        </is>
      </c>
      <c r="F29" s="21" t="inlineStr">
        <is>
          <t>1.005 SOL</t>
        </is>
      </c>
      <c r="G29" s="25" t="inlineStr">
        <is>
          <t>-0.014 SOL</t>
        </is>
      </c>
      <c r="H29" s="25" t="inlineStr">
        <is>
          <t>-1.35%</t>
        </is>
      </c>
      <c r="I29" s="21" t="inlineStr">
        <is>
          <t>N/A</t>
        </is>
      </c>
      <c r="J29" s="21" t="n">
        <v>1</v>
      </c>
      <c r="K29" s="21" t="n">
        <v>2</v>
      </c>
      <c r="L29" s="21" t="inlineStr">
        <is>
          <t>30.10.2024 14:29:49</t>
        </is>
      </c>
      <c r="M29" s="21" t="inlineStr">
        <is>
          <t>8 days</t>
        </is>
      </c>
      <c r="N29" s="21" t="inlineStr">
        <is>
          <t xml:space="preserve">         37K            56K             5K</t>
        </is>
      </c>
      <c r="O29" s="21" t="inlineStr">
        <is>
          <t>EvK8cwoFzwYxM1u86uK8rRfScZAcKBkdhK36pQiGgBfe</t>
        </is>
      </c>
      <c r="P29" s="21">
        <f>HYPERLINK("https://photon-sol.tinyastro.io/en/lp/EvK8cwoFzwYxM1u86uK8rRfScZAcKBkdhK36pQiGgBfe?handle=676050794bc1b1657a56b", "View")</f>
        <v/>
      </c>
    </row>
    <row r="30">
      <c r="A30" s="16" t="inlineStr">
        <is>
          <t>CG</t>
        </is>
      </c>
      <c r="B30" s="17" t="n">
        <v>15284349</v>
      </c>
      <c r="C30" s="17" t="n">
        <v>15284349</v>
      </c>
      <c r="D30" s="17" t="inlineStr">
        <is>
          <t>0.000820</t>
        </is>
      </c>
      <c r="E30" s="17" t="inlineStr">
        <is>
          <t>0.009 SOL</t>
        </is>
      </c>
      <c r="F30" s="17" t="inlineStr">
        <is>
          <t>0.426 SOL</t>
        </is>
      </c>
      <c r="G30" s="24" t="inlineStr">
        <is>
          <t>0.416 SOL</t>
        </is>
      </c>
      <c r="H30" s="24" t="inlineStr">
        <is>
          <t>4466.74%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30.10.2024 14:29:24</t>
        </is>
      </c>
      <c r="M30" s="17" t="inlineStr">
        <is>
          <t>4 days</t>
        </is>
      </c>
      <c r="N30" s="17" t="inlineStr">
        <is>
          <t xml:space="preserve">        N/A           N/A             5K</t>
        </is>
      </c>
      <c r="O30" s="17" t="inlineStr">
        <is>
          <t>3KwJhAzhy4GhXpJH8X5CgdXsBZE2uXtsCtzX3kcjpump</t>
        </is>
      </c>
      <c r="P30" s="17">
        <f>HYPERLINK("https://photon-sol.tinyastro.io/en/lp/3KwJhAzhy4GhXpJH8X5CgdXsBZE2uXtsCtzX3kcjpump?handle=676050794bc1b1657a56b", "View")</f>
        <v/>
      </c>
    </row>
    <row r="31">
      <c r="A31" s="20" t="inlineStr">
        <is>
          <t>📦</t>
        </is>
      </c>
      <c r="B31" s="21" t="n">
        <v>13318565</v>
      </c>
      <c r="C31" s="21" t="n">
        <v>13318565</v>
      </c>
      <c r="D31" s="21" t="inlineStr">
        <is>
          <t>0.000620</t>
        </is>
      </c>
      <c r="E31" s="21" t="inlineStr">
        <is>
          <t>0.009 SOL</t>
        </is>
      </c>
      <c r="F31" s="21" t="inlineStr">
        <is>
          <t>0.519 SOL</t>
        </is>
      </c>
      <c r="G31" s="24" t="inlineStr">
        <is>
          <t>0.510 SOL</t>
        </is>
      </c>
      <c r="H31" s="24" t="inlineStr">
        <is>
          <t>5592.85%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30.10.2024 14:29:07</t>
        </is>
      </c>
      <c r="M31" s="21" t="inlineStr">
        <is>
          <t>4 days</t>
        </is>
      </c>
      <c r="N31" s="21" t="inlineStr">
        <is>
          <t xml:space="preserve">        N/A           N/A           N/A</t>
        </is>
      </c>
      <c r="O31" s="21" t="inlineStr">
        <is>
          <t>FiuGcgwYWrsCgX77uUNs5GhGRtzX5g81Bf5CXgDtpump</t>
        </is>
      </c>
      <c r="P31" s="21">
        <f>HYPERLINK("https://photon-sol.tinyastro.io/en/lp/FiuGcgwYWrsCgX77uUNs5GhGRtzX5g81Bf5CXgDtpump?handle=676050794bc1b1657a56b", "View")</f>
        <v/>
      </c>
    </row>
    <row r="32">
      <c r="A32" s="16" t="inlineStr">
        <is>
          <t>mban</t>
        </is>
      </c>
      <c r="B32" s="17" t="n">
        <v>28201852</v>
      </c>
      <c r="C32" s="17" t="n">
        <v>28201852</v>
      </c>
      <c r="D32" s="17" t="inlineStr">
        <is>
          <t>0.000430</t>
        </is>
      </c>
      <c r="E32" s="17" t="inlineStr">
        <is>
          <t>0.009 SOL</t>
        </is>
      </c>
      <c r="F32" s="17" t="inlineStr">
        <is>
          <t>0.799 SOL</t>
        </is>
      </c>
      <c r="G32" s="24" t="inlineStr">
        <is>
          <t>0.790 SOL</t>
        </is>
      </c>
      <c r="H32" s="24" t="inlineStr">
        <is>
          <t>8839.47%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30.10.2024 14:28:29</t>
        </is>
      </c>
      <c r="M32" s="17" t="inlineStr">
        <is>
          <t>3 days</t>
        </is>
      </c>
      <c r="N32" s="17" t="inlineStr">
        <is>
          <t xml:space="preserve">        N/A           N/A             5K</t>
        </is>
      </c>
      <c r="O32" s="17" t="inlineStr">
        <is>
          <t>A3nKqbp48QYbMcaTUiNZw5vWLB8jK8WWnMZCDMm6pump</t>
        </is>
      </c>
      <c r="P32" s="17">
        <f>HYPERLINK("https://photon-sol.tinyastro.io/en/lp/A3nKqbp48QYbMcaTUiNZw5vWLB8jK8WWnMZCDMm6pump?handle=676050794bc1b1657a56b", "View")</f>
        <v/>
      </c>
    </row>
    <row r="33">
      <c r="A33" s="20" t="inlineStr">
        <is>
          <t>B4TS4K</t>
        </is>
      </c>
      <c r="B33" s="21" t="n">
        <v>9644039</v>
      </c>
      <c r="C33" s="21" t="n">
        <v>9644038</v>
      </c>
      <c r="D33" s="21" t="inlineStr">
        <is>
          <t>0.000910</t>
        </is>
      </c>
      <c r="E33" s="21" t="inlineStr">
        <is>
          <t>0.009 SOL</t>
        </is>
      </c>
      <c r="F33" s="21" t="inlineStr">
        <is>
          <t>0.901 SOL</t>
        </is>
      </c>
      <c r="G33" s="24" t="inlineStr">
        <is>
          <t>0.892 SOL</t>
        </is>
      </c>
      <c r="H33" s="24" t="inlineStr">
        <is>
          <t>9478.50%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30.10.2024 14:28:05</t>
        </is>
      </c>
      <c r="M33" s="21" t="inlineStr">
        <is>
          <t>19 hours</t>
        </is>
      </c>
      <c r="N33" s="21" t="inlineStr">
        <is>
          <t xml:space="preserve">        N/A           N/A             8K</t>
        </is>
      </c>
      <c r="O33" s="21" t="inlineStr">
        <is>
          <t>6TvpcaTfD4KdSuT2hTQGdoeznq5rq77dNKXieWYapump</t>
        </is>
      </c>
      <c r="P33" s="21">
        <f>HYPERLINK("https://photon-sol.tinyastro.io/en/lp/6TvpcaTfD4KdSuT2hTQGdoeznq5rq77dNKXieWYapump?handle=676050794bc1b1657a56b", "View")</f>
        <v/>
      </c>
    </row>
    <row r="34">
      <c r="A34" s="16" t="inlineStr">
        <is>
          <t>WPTID</t>
        </is>
      </c>
      <c r="B34" s="17" t="n">
        <v>38644215</v>
      </c>
      <c r="C34" s="17" t="n">
        <v>38644214</v>
      </c>
      <c r="D34" s="17" t="inlineStr">
        <is>
          <t>0.001630</t>
        </is>
      </c>
      <c r="E34" s="17" t="inlineStr">
        <is>
          <t>0.016 SOL</t>
        </is>
      </c>
      <c r="F34" s="17" t="inlineStr">
        <is>
          <t>1.161 SOL</t>
        </is>
      </c>
      <c r="G34" s="24" t="inlineStr">
        <is>
          <t>1.143 SOL</t>
        </is>
      </c>
      <c r="H34" s="24" t="inlineStr">
        <is>
          <t>6307.77%</t>
        </is>
      </c>
      <c r="I34" s="17" t="inlineStr">
        <is>
          <t>N/A</t>
        </is>
      </c>
      <c r="J34" s="17" t="n">
        <v>3</v>
      </c>
      <c r="K34" s="17" t="n">
        <v>1</v>
      </c>
      <c r="L34" s="17" t="inlineStr">
        <is>
          <t>30.10.2024 14:27:25</t>
        </is>
      </c>
      <c r="M34" s="17" t="inlineStr">
        <is>
          <t>8 days</t>
        </is>
      </c>
      <c r="N34" s="17" t="inlineStr">
        <is>
          <t xml:space="preserve">        N/A           N/A             5K</t>
        </is>
      </c>
      <c r="O34" s="17" t="inlineStr">
        <is>
          <t>BUxoSWur5z99qYGMZxGKdgysyZqUBiru8SBiWQAJpump</t>
        </is>
      </c>
      <c r="P34" s="17">
        <f>HYPERLINK("https://photon-sol.tinyastro.io/en/lp/BUxoSWur5z99qYGMZxGKdgysyZqUBiru8SBiWQAJpump?handle=676050794bc1b1657a56b", "View")</f>
        <v/>
      </c>
    </row>
    <row r="35">
      <c r="A35" s="20" t="inlineStr">
        <is>
          <t>Form</t>
        </is>
      </c>
      <c r="B35" s="21" t="n">
        <v>47572696</v>
      </c>
      <c r="C35" s="21" t="n">
        <v>47572695</v>
      </c>
      <c r="D35" s="21" t="inlineStr">
        <is>
          <t>0.000820</t>
        </is>
      </c>
      <c r="E35" s="21" t="inlineStr">
        <is>
          <t>0.013 SOL</t>
        </is>
      </c>
      <c r="F35" s="21" t="inlineStr">
        <is>
          <t>1.384 SOL</t>
        </is>
      </c>
      <c r="G35" s="24" t="inlineStr">
        <is>
          <t>1.370 SOL</t>
        </is>
      </c>
      <c r="H35" s="24" t="inlineStr">
        <is>
          <t>9970.25%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30.10.2024 14:26:59</t>
        </is>
      </c>
      <c r="M35" s="21" t="inlineStr">
        <is>
          <t>4 days</t>
        </is>
      </c>
      <c r="N35" s="21" t="inlineStr">
        <is>
          <t xml:space="preserve">        N/A           N/A             5K</t>
        </is>
      </c>
      <c r="O35" s="21" t="inlineStr">
        <is>
          <t>HM37ZXZw5GNxXa6tHfbWfXsoqo41Gg5iBdfefP68pump</t>
        </is>
      </c>
      <c r="P35" s="21">
        <f>HYPERLINK("https://photon-sol.tinyastro.io/en/lp/HM37ZXZw5GNxXa6tHfbWfXsoqo41Gg5iBdfefP68pump?handle=676050794bc1b1657a56b", "View")</f>
        <v/>
      </c>
    </row>
    <row r="36">
      <c r="A36" s="16" t="inlineStr">
        <is>
          <t>chuchu</t>
        </is>
      </c>
      <c r="B36" s="17" t="n">
        <v>7637095</v>
      </c>
      <c r="C36" s="17" t="n">
        <v>7637094</v>
      </c>
      <c r="D36" s="17" t="inlineStr">
        <is>
          <t>0.000840</t>
        </is>
      </c>
      <c r="E36" s="17" t="inlineStr">
        <is>
          <t>0.525 SOL</t>
        </is>
      </c>
      <c r="F36" s="17" t="inlineStr">
        <is>
          <t>0.306 SOL</t>
        </is>
      </c>
      <c r="G36" s="25" t="inlineStr">
        <is>
          <t>-0.220 SOL</t>
        </is>
      </c>
      <c r="H36" s="25" t="inlineStr">
        <is>
          <t>-41.90%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30.10.2024 14:23:49</t>
        </is>
      </c>
      <c r="M36" s="17" t="inlineStr">
        <is>
          <t>3 min</t>
        </is>
      </c>
      <c r="N36" s="17" t="inlineStr">
        <is>
          <t xml:space="preserve">         12K             7K             5K</t>
        </is>
      </c>
      <c r="O36" s="17" t="inlineStr">
        <is>
          <t>ByExbdoXfo2tTVrp4oqwkutKoy9A2g6BNGhJYMU7pump</t>
        </is>
      </c>
      <c r="P36" s="17">
        <f>HYPERLINK("https://photon-sol.tinyastro.io/en/lp/ByExbdoXfo2tTVrp4oqwkutKoy9A2g6BNGhJYMU7pump?handle=676050794bc1b1657a56b", "View")</f>
        <v/>
      </c>
    </row>
    <row r="37">
      <c r="A37" s="20" t="inlineStr">
        <is>
          <t>CAP</t>
        </is>
      </c>
      <c r="B37" s="21" t="n">
        <v>15026522</v>
      </c>
      <c r="C37" s="21" t="n">
        <v>15026521</v>
      </c>
      <c r="D37" s="21" t="inlineStr">
        <is>
          <t>0.001250</t>
        </is>
      </c>
      <c r="E37" s="21" t="inlineStr">
        <is>
          <t>1.015 SOL</t>
        </is>
      </c>
      <c r="F37" s="21" t="inlineStr">
        <is>
          <t>0.760 SOL</t>
        </is>
      </c>
      <c r="G37" s="25" t="inlineStr">
        <is>
          <t>-0.257 SOL</t>
        </is>
      </c>
      <c r="H37" s="25" t="inlineStr">
        <is>
          <t>-25.29%</t>
        </is>
      </c>
      <c r="I37" s="21" t="inlineStr">
        <is>
          <t>N/A</t>
        </is>
      </c>
      <c r="J37" s="21" t="n">
        <v>1</v>
      </c>
      <c r="K37" s="21" t="n">
        <v>2</v>
      </c>
      <c r="L37" s="21" t="inlineStr">
        <is>
          <t>30.10.2024 14:16:08</t>
        </is>
      </c>
      <c r="M37" s="21" t="inlineStr">
        <is>
          <t>3 hours</t>
        </is>
      </c>
      <c r="N37" s="21" t="inlineStr">
        <is>
          <t xml:space="preserve">         12K            14K             7K</t>
        </is>
      </c>
      <c r="O37" s="21" t="inlineStr">
        <is>
          <t>FqaUMHcmuSAEp6uR5Ny89HvmiWmF4fMBYFeqBP8Cpump</t>
        </is>
      </c>
      <c r="P37" s="21">
        <f>HYPERLINK("https://photon-sol.tinyastro.io/en/lp/FqaUMHcmuSAEp6uR5Ny89HvmiWmF4fMBYFeqBP8Cpump?handle=676050794bc1b1657a56b", "View")</f>
        <v/>
      </c>
    </row>
    <row r="38">
      <c r="A38" s="16" t="inlineStr">
        <is>
          <t>POPTRUMP</t>
        </is>
      </c>
      <c r="B38" s="17" t="n">
        <v>1948325</v>
      </c>
      <c r="C38" s="17" t="n">
        <v>650000</v>
      </c>
      <c r="D38" s="17" t="inlineStr">
        <is>
          <t>0.000810</t>
        </is>
      </c>
      <c r="E38" s="17" t="inlineStr">
        <is>
          <t>1.388 SOL</t>
        </is>
      </c>
      <c r="F38" s="17" t="inlineStr">
        <is>
          <t>0.638 SOL</t>
        </is>
      </c>
      <c r="G38" s="23" t="inlineStr">
        <is>
          <t>-0.751 SOL</t>
        </is>
      </c>
      <c r="H38" s="23" t="inlineStr">
        <is>
          <t>-54.07%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30.10.2024 14:00:08</t>
        </is>
      </c>
      <c r="M38" s="17" t="inlineStr">
        <is>
          <t>15 hours</t>
        </is>
      </c>
      <c r="N38" s="17" t="inlineStr">
        <is>
          <t xml:space="preserve">        125K           125K           118K</t>
        </is>
      </c>
      <c r="O38" s="17" t="inlineStr">
        <is>
          <t>61qXWH3UdH8CZFi24tU44DNukv4rvTBosVydVkWVpump</t>
        </is>
      </c>
      <c r="P38" s="17">
        <f>HYPERLINK("https://dexscreener.com/solana/61qXWH3UdH8CZFi24tU44DNukv4rvTBosVydVkWVpump", "View")</f>
        <v/>
      </c>
    </row>
    <row r="39">
      <c r="A39" s="20" t="inlineStr">
        <is>
          <t>FPF</t>
        </is>
      </c>
      <c r="B39" s="21" t="n">
        <v>14523761</v>
      </c>
      <c r="C39" s="21" t="n">
        <v>14523760</v>
      </c>
      <c r="D39" s="21" t="inlineStr">
        <is>
          <t>0.000840</t>
        </is>
      </c>
      <c r="E39" s="21" t="inlineStr">
        <is>
          <t>0.515 SOL</t>
        </is>
      </c>
      <c r="F39" s="21" t="inlineStr">
        <is>
          <t>0.444 SOL</t>
        </is>
      </c>
      <c r="G39" s="25" t="inlineStr">
        <is>
          <t>-0.072 SOL</t>
        </is>
      </c>
      <c r="H39" s="25" t="inlineStr">
        <is>
          <t>-14.04%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30.10.2024 12:45:47</t>
        </is>
      </c>
      <c r="M39" s="21" t="inlineStr">
        <is>
          <t>1 hours</t>
        </is>
      </c>
      <c r="N39" s="21" t="inlineStr">
        <is>
          <t xml:space="preserve">          7K             7K             5K</t>
        </is>
      </c>
      <c r="O39" s="21" t="inlineStr">
        <is>
          <t>ASBTRhEykJ775NXZUx5tW8dREvYhkBiaYh5XfvC5pump</t>
        </is>
      </c>
      <c r="P39" s="21">
        <f>HYPERLINK("https://photon-sol.tinyastro.io/en/lp/ASBTRhEykJ775NXZUx5tW8dREvYhkBiaYh5XfvC5pump?handle=676050794bc1b1657a56b", "View")</f>
        <v/>
      </c>
    </row>
    <row r="40">
      <c r="A40" s="16" t="inlineStr">
        <is>
          <t>EGM</t>
        </is>
      </c>
      <c r="B40" s="17" t="n">
        <v>2105694</v>
      </c>
      <c r="C40" s="17" t="n">
        <v>2105694</v>
      </c>
      <c r="D40" s="17" t="inlineStr">
        <is>
          <t>0.004170</t>
        </is>
      </c>
      <c r="E40" s="17" t="inlineStr">
        <is>
          <t>0.518 SOL</t>
        </is>
      </c>
      <c r="F40" s="17" t="inlineStr">
        <is>
          <t>0.474 SOL</t>
        </is>
      </c>
      <c r="G40" s="25" t="inlineStr">
        <is>
          <t>-0.049 SOL</t>
        </is>
      </c>
      <c r="H40" s="25" t="inlineStr">
        <is>
          <t>-9.29%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30.10.2024 12:44:25</t>
        </is>
      </c>
      <c r="M40" s="17" t="inlineStr">
        <is>
          <t>1 hours</t>
        </is>
      </c>
      <c r="N40" s="17" t="inlineStr">
        <is>
          <t xml:space="preserve">         44K            44K             7K</t>
        </is>
      </c>
      <c r="O40" s="17" t="inlineStr">
        <is>
          <t>CenjrcM7xBVGR66EZQVs5puKGgZokKe9feoNqNdepump</t>
        </is>
      </c>
      <c r="P40" s="17">
        <f>HYPERLINK("https://photon-sol.tinyastro.io/en/lp/CenjrcM7xBVGR66EZQVs5puKGgZokKe9feoNqNdepump?handle=676050794bc1b1657a56b", "View")</f>
        <v/>
      </c>
    </row>
    <row r="41">
      <c r="A41" s="20" t="inlineStr">
        <is>
          <t>GTA</t>
        </is>
      </c>
      <c r="B41" s="21" t="n">
        <v>1201904</v>
      </c>
      <c r="C41" s="21" t="n">
        <v>0</v>
      </c>
      <c r="D41" s="21" t="inlineStr">
        <is>
          <t>0.000810</t>
        </is>
      </c>
      <c r="E41" s="21" t="inlineStr">
        <is>
          <t>1.983 SOL</t>
        </is>
      </c>
      <c r="F41" s="21" t="inlineStr">
        <is>
          <t>0.000 SOL</t>
        </is>
      </c>
      <c r="G41" s="18" t="inlineStr">
        <is>
          <t>-1.984 SOL</t>
        </is>
      </c>
      <c r="H41" s="18" t="inlineStr">
        <is>
          <t>0.00%</t>
        </is>
      </c>
      <c r="I41" s="21" t="inlineStr">
        <is>
          <t>1,201,904</t>
        </is>
      </c>
      <c r="J41" s="21" t="n">
        <v>2</v>
      </c>
      <c r="K41" s="21" t="n">
        <v>0</v>
      </c>
      <c r="L41" s="21" t="inlineStr">
        <is>
          <t>30.10.2024 12:33:35</t>
        </is>
      </c>
      <c r="M41" s="21" t="inlineStr">
        <is>
          <t>20 hours</t>
        </is>
      </c>
      <c r="N41" s="21" t="inlineStr">
        <is>
          <t xml:space="preserve">        220K           429K           276K</t>
        </is>
      </c>
      <c r="O41" s="21" t="inlineStr">
        <is>
          <t>9HjsPutyGGPpxnRn4ibH1hTfPvitAY5EPvtAwGFkpump</t>
        </is>
      </c>
      <c r="P41" s="21">
        <f>HYPERLINK("https://dexscreener.com/solana/9HjsPutyGGPpxnRn4ibH1hTfPvitAY5EPvtAwGFkpump", "View")</f>
        <v/>
      </c>
    </row>
    <row r="42">
      <c r="A42" s="16" t="inlineStr">
        <is>
          <t>PEWARS</t>
        </is>
      </c>
      <c r="B42" s="17" t="n">
        <v>4070722</v>
      </c>
      <c r="C42" s="17" t="n">
        <v>4070721</v>
      </c>
      <c r="D42" s="17" t="inlineStr">
        <is>
          <t>0.000850</t>
        </is>
      </c>
      <c r="E42" s="17" t="inlineStr">
        <is>
          <t>1.027 SOL</t>
        </is>
      </c>
      <c r="F42" s="17" t="inlineStr">
        <is>
          <t>0.719 SOL</t>
        </is>
      </c>
      <c r="G42" s="25" t="inlineStr">
        <is>
          <t>-0.308 SOL</t>
        </is>
      </c>
      <c r="H42" s="25" t="inlineStr">
        <is>
          <t>-29.99%</t>
        </is>
      </c>
      <c r="I42" s="17" t="inlineStr">
        <is>
          <t>N/A</t>
        </is>
      </c>
      <c r="J42" s="17" t="n">
        <v>1</v>
      </c>
      <c r="K42" s="17" t="n">
        <v>2</v>
      </c>
      <c r="L42" s="17" t="inlineStr">
        <is>
          <t>30.10.2024 11:04:13</t>
        </is>
      </c>
      <c r="M42" s="17" t="inlineStr">
        <is>
          <t>6 min</t>
        </is>
      </c>
      <c r="N42" s="17" t="inlineStr">
        <is>
          <t xml:space="preserve">         44K            44K             5K</t>
        </is>
      </c>
      <c r="O42" s="17" t="inlineStr">
        <is>
          <t>D5vAj3Lct9Zmk3H9aMg9NwmELeG91rpEqxpExMFpump</t>
        </is>
      </c>
      <c r="P42" s="17">
        <f>HYPERLINK("https://photon-sol.tinyastro.io/en/lp/D5vAj3Lct9Zmk3H9aMg9NwmELeG91rpEqxpExMFpump?handle=676050794bc1b1657a56b", "View")</f>
        <v/>
      </c>
    </row>
    <row r="43">
      <c r="A43" s="20" t="inlineStr">
        <is>
          <t>DLP</t>
        </is>
      </c>
      <c r="B43" s="21" t="n">
        <v>8053528</v>
      </c>
      <c r="C43" s="21" t="n">
        <v>8053528</v>
      </c>
      <c r="D43" s="21" t="inlineStr">
        <is>
          <t>0.000450</t>
        </is>
      </c>
      <c r="E43" s="21" t="inlineStr">
        <is>
          <t>0.511 SOL</t>
        </is>
      </c>
      <c r="F43" s="21" t="inlineStr">
        <is>
          <t>0.466 SOL</t>
        </is>
      </c>
      <c r="G43" s="25" t="inlineStr">
        <is>
          <t>-0.045 SOL</t>
        </is>
      </c>
      <c r="H43" s="25" t="inlineStr">
        <is>
          <t>-8.83%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30.10.2024 10:35:32</t>
        </is>
      </c>
      <c r="M43" s="21" t="inlineStr">
        <is>
          <t>3 min</t>
        </is>
      </c>
      <c r="N43" s="21" t="inlineStr">
        <is>
          <t xml:space="preserve">         11K            11K             5K</t>
        </is>
      </c>
      <c r="O43" s="21" t="inlineStr">
        <is>
          <t>Az4eZG892XfT2KpCyFPFQqMQg9CL4FRnb5KoGhzqpump</t>
        </is>
      </c>
      <c r="P43" s="21">
        <f>HYPERLINK("https://photon-sol.tinyastro.io/en/lp/Az4eZG892XfT2KpCyFPFQqMQg9CL4FRnb5KoGhzqpump?handle=676050794bc1b1657a56b", "View")</f>
        <v/>
      </c>
    </row>
    <row r="44">
      <c r="A44" s="16" t="inlineStr">
        <is>
          <t>WANG</t>
        </is>
      </c>
      <c r="B44" s="17" t="n">
        <v>32808835</v>
      </c>
      <c r="C44" s="17" t="n">
        <v>32808834</v>
      </c>
      <c r="D44" s="17" t="inlineStr">
        <is>
          <t>0.000430</t>
        </is>
      </c>
      <c r="E44" s="17" t="inlineStr">
        <is>
          <t>1.014 SOL</t>
        </is>
      </c>
      <c r="F44" s="17" t="inlineStr">
        <is>
          <t>0.933 SOL</t>
        </is>
      </c>
      <c r="G44" s="25" t="inlineStr">
        <is>
          <t>-0.081 SOL</t>
        </is>
      </c>
      <c r="H44" s="25" t="inlineStr">
        <is>
          <t>-7.99%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30.10.2024 10:29:24</t>
        </is>
      </c>
      <c r="M44" s="17" t="inlineStr">
        <is>
          <t>11 hours</t>
        </is>
      </c>
      <c r="N44" s="17" t="inlineStr">
        <is>
          <t xml:space="preserve">          5K             5K             5K</t>
        </is>
      </c>
      <c r="O44" s="17" t="inlineStr">
        <is>
          <t>WANGuqYzU6tT3R7wwMxjMwcD9xzLVx6QZYwRjdJWWVb</t>
        </is>
      </c>
      <c r="P44" s="17">
        <f>HYPERLINK("https://photon-sol.tinyastro.io/en/lp/WANGuqYzU6tT3R7wwMxjMwcD9xzLVx6QZYwRjdJWWVb?handle=676050794bc1b1657a56b", "View")</f>
        <v/>
      </c>
    </row>
    <row r="45">
      <c r="A45" s="20" t="inlineStr">
        <is>
          <t>TDL</t>
        </is>
      </c>
      <c r="B45" s="21" t="n">
        <v>4802105</v>
      </c>
      <c r="C45" s="21" t="n">
        <v>0</v>
      </c>
      <c r="D45" s="21" t="inlineStr">
        <is>
          <t>0.000400</t>
        </is>
      </c>
      <c r="E45" s="21" t="inlineStr">
        <is>
          <t>0.009 SOL</t>
        </is>
      </c>
      <c r="F45" s="21" t="inlineStr">
        <is>
          <t>0.000 SOL</t>
        </is>
      </c>
      <c r="G45" s="18" t="inlineStr">
        <is>
          <t>-0.009 SOL</t>
        </is>
      </c>
      <c r="H45" s="18" t="inlineStr">
        <is>
          <t>0.00%</t>
        </is>
      </c>
      <c r="I45" s="21" t="inlineStr">
        <is>
          <t>4,802,105</t>
        </is>
      </c>
      <c r="J45" s="21" t="n">
        <v>1</v>
      </c>
      <c r="K45" s="21" t="n">
        <v>0</v>
      </c>
      <c r="L45" s="21" t="inlineStr">
        <is>
          <t>30.10.2024 10:18:41</t>
        </is>
      </c>
      <c r="M45" s="19" t="inlineStr">
        <is>
          <t>0 sec</t>
        </is>
      </c>
      <c r="N45" s="21" t="inlineStr">
        <is>
          <t xml:space="preserve">        N/A           N/A            14K</t>
        </is>
      </c>
      <c r="O45" s="21" t="inlineStr">
        <is>
          <t>CNTizh4wY2c63iezuyXQaiTsFxF8ZyysjvFnKGmRpump</t>
        </is>
      </c>
      <c r="P45" s="21">
        <f>HYPERLINK("https://photon-sol.tinyastro.io/en/lp/CNTizh4wY2c63iezuyXQaiTsFxF8ZyysjvFnKGmRpump?handle=676050794bc1b1657a56b", "View")</f>
        <v/>
      </c>
    </row>
    <row r="46">
      <c r="A46" s="16" t="inlineStr">
        <is>
          <t>POC</t>
        </is>
      </c>
      <c r="B46" s="17" t="n">
        <v>5954882</v>
      </c>
      <c r="C46" s="17" t="n">
        <v>5950000</v>
      </c>
      <c r="D46" s="17" t="inlineStr">
        <is>
          <t>0.001210</t>
        </is>
      </c>
      <c r="E46" s="17" t="inlineStr">
        <is>
          <t>0.017 SOL</t>
        </is>
      </c>
      <c r="F46" s="17" t="inlineStr">
        <is>
          <t>2.710 SOL</t>
        </is>
      </c>
      <c r="G46" s="24" t="inlineStr">
        <is>
          <t>2.692 SOL</t>
        </is>
      </c>
      <c r="H46" s="24" t="inlineStr">
        <is>
          <t>14778.60%</t>
        </is>
      </c>
      <c r="I46" s="17" t="inlineStr">
        <is>
          <t>N/A</t>
        </is>
      </c>
      <c r="J46" s="17" t="n">
        <v>1</v>
      </c>
      <c r="K46" s="17" t="n">
        <v>2</v>
      </c>
      <c r="L46" s="17" t="inlineStr">
        <is>
          <t>30.10.2024 07:32:59</t>
        </is>
      </c>
      <c r="M46" s="17" t="inlineStr">
        <is>
          <t>6 hours</t>
        </is>
      </c>
      <c r="N46" s="17" t="inlineStr">
        <is>
          <t xml:space="preserve">        N/A           N/A            61K</t>
        </is>
      </c>
      <c r="O46" s="17" t="inlineStr">
        <is>
          <t>ABdn3Zp7rK1TowqabiaqjHAxS2GKtWJVhNpDX1qHpump</t>
        </is>
      </c>
      <c r="P46" s="17">
        <f>HYPERLINK("https://photon-sol.tinyastro.io/en/lp/ABdn3Zp7rK1TowqabiaqjHAxS2GKtWJVhNpDX1qHpump?handle=676050794bc1b1657a56b", "View")</f>
        <v/>
      </c>
    </row>
    <row r="47">
      <c r="A47" s="20" t="inlineStr">
        <is>
          <t>DOPAMINE</t>
        </is>
      </c>
      <c r="B47" s="21" t="n">
        <v>25767671</v>
      </c>
      <c r="C47" s="21" t="n">
        <v>25767671</v>
      </c>
      <c r="D47" s="21" t="inlineStr">
        <is>
          <t>0.001460</t>
        </is>
      </c>
      <c r="E47" s="21" t="inlineStr">
        <is>
          <t>2.068 SOL</t>
        </is>
      </c>
      <c r="F47" s="21" t="inlineStr">
        <is>
          <t>5.284 SOL</t>
        </is>
      </c>
      <c r="G47" s="24" t="inlineStr">
        <is>
          <t>3.215 SOL</t>
        </is>
      </c>
      <c r="H47" s="24" t="inlineStr">
        <is>
          <t>155.32%</t>
        </is>
      </c>
      <c r="I47" s="21" t="inlineStr">
        <is>
          <t>N/A</t>
        </is>
      </c>
      <c r="J47" s="21" t="n">
        <v>2</v>
      </c>
      <c r="K47" s="21" t="n">
        <v>4</v>
      </c>
      <c r="L47" s="21" t="inlineStr">
        <is>
          <t>30.10.2024 01:30:22</t>
        </is>
      </c>
      <c r="M47" s="21" t="inlineStr">
        <is>
          <t>1 hours</t>
        </is>
      </c>
      <c r="N47" s="21" t="inlineStr">
        <is>
          <t xml:space="preserve">         12K            18K             5K</t>
        </is>
      </c>
      <c r="O47" s="21" t="inlineStr">
        <is>
          <t>6A1nnKKE8Pd6GFcB5tZ8tRTYpqufyr1uSWMdzVdBpump</t>
        </is>
      </c>
      <c r="P47" s="21">
        <f>HYPERLINK("https://photon-sol.tinyastro.io/en/lp/6A1nnKKE8Pd6GFcB5tZ8tRTYpqufyr1uSWMdzVdBpump?handle=676050794bc1b1657a56b", "View")</f>
        <v/>
      </c>
    </row>
    <row r="48">
      <c r="A48" s="16" t="inlineStr">
        <is>
          <t>UP</t>
        </is>
      </c>
      <c r="B48" s="17" t="n">
        <v>383797</v>
      </c>
      <c r="C48" s="17" t="n">
        <v>383796</v>
      </c>
      <c r="D48" s="17" t="inlineStr">
        <is>
          <t>0.001620</t>
        </is>
      </c>
      <c r="E48" s="17" t="inlineStr">
        <is>
          <t>1.000 SOL</t>
        </is>
      </c>
      <c r="F48" s="17" t="inlineStr">
        <is>
          <t>0.888 SOL</t>
        </is>
      </c>
      <c r="G48" s="25" t="inlineStr">
        <is>
          <t>-0.113 SOL</t>
        </is>
      </c>
      <c r="H48" s="25" t="inlineStr">
        <is>
          <t>-11.33%</t>
        </is>
      </c>
      <c r="I48" s="17" t="inlineStr">
        <is>
          <t>N/A</t>
        </is>
      </c>
      <c r="J48" s="17" t="n">
        <v>1</v>
      </c>
      <c r="K48" s="17" t="n">
        <v>2</v>
      </c>
      <c r="L48" s="17" t="inlineStr">
        <is>
          <t>29.10.2024 22:45:10</t>
        </is>
      </c>
      <c r="M48" s="17" t="inlineStr">
        <is>
          <t>35 min</t>
        </is>
      </c>
      <c r="N48" s="17" t="inlineStr">
        <is>
          <t xml:space="preserve">        458K           353K           225K</t>
        </is>
      </c>
      <c r="O48" s="17" t="inlineStr">
        <is>
          <t>8aZuUoqr9rBLjikz7kvpajm1JRqhoWiLMnrNtnRNpump</t>
        </is>
      </c>
      <c r="P48" s="17">
        <f>HYPERLINK("https://dexscreener.com/solana/8aZuUoqr9rBLjikz7kvpajm1JRqhoWiLMnrNtnRNpump", "View")</f>
        <v/>
      </c>
    </row>
    <row r="49">
      <c r="A49" s="20" t="inlineStr">
        <is>
          <t>yogi</t>
        </is>
      </c>
      <c r="B49" s="21" t="n">
        <v>1801991</v>
      </c>
      <c r="C49" s="21" t="n">
        <v>1800000</v>
      </c>
      <c r="D49" s="21" t="inlineStr">
        <is>
          <t>0.005370</t>
        </is>
      </c>
      <c r="E49" s="21" t="inlineStr">
        <is>
          <t>3.000 SOL</t>
        </is>
      </c>
      <c r="F49" s="21" t="inlineStr">
        <is>
          <t>0.365 SOL</t>
        </is>
      </c>
      <c r="G49" s="23" t="inlineStr">
        <is>
          <t>-2.641 SOL</t>
        </is>
      </c>
      <c r="H49" s="23" t="inlineStr">
        <is>
          <t>-87.87%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29.10.2024 21:23:43</t>
        </is>
      </c>
      <c r="M49" s="21" t="inlineStr">
        <is>
          <t>1 hours</t>
        </is>
      </c>
      <c r="N49" s="21" t="inlineStr">
        <is>
          <t xml:space="preserve">        292K           292K            11K</t>
        </is>
      </c>
      <c r="O49" s="21" t="inlineStr">
        <is>
          <t>5T3kPqWujSu2v6Y4YoZcQ4A2UtTRQFAwE82MoRm9pump</t>
        </is>
      </c>
      <c r="P49" s="21">
        <f>HYPERLINK("https://dexscreener.com/solana/5T3kPqWujSu2v6Y4YoZcQ4A2UtTRQFAwE82MoRm9pump", "View")</f>
        <v/>
      </c>
    </row>
    <row r="50">
      <c r="A50" s="16" t="inlineStr">
        <is>
          <t>47</t>
        </is>
      </c>
      <c r="B50" s="17" t="n">
        <v>345500</v>
      </c>
      <c r="C50" s="17" t="n">
        <v>345500</v>
      </c>
      <c r="D50" s="17" t="inlineStr">
        <is>
          <t>0.003240</t>
        </is>
      </c>
      <c r="E50" s="17" t="inlineStr">
        <is>
          <t>4.957 SOL</t>
        </is>
      </c>
      <c r="F50" s="17" t="inlineStr">
        <is>
          <t>11.383 SOL</t>
        </is>
      </c>
      <c r="G50" s="24" t="inlineStr">
        <is>
          <t>6.422 SOL</t>
        </is>
      </c>
      <c r="H50" s="24" t="inlineStr">
        <is>
          <t>129.45%</t>
        </is>
      </c>
      <c r="I50" s="17" t="inlineStr">
        <is>
          <t>N/A</t>
        </is>
      </c>
      <c r="J50" s="17" t="n">
        <v>2</v>
      </c>
      <c r="K50" s="17" t="n">
        <v>6</v>
      </c>
      <c r="L50" s="17" t="inlineStr">
        <is>
          <t>29.10.2024 21:07:52</t>
        </is>
      </c>
      <c r="M50" s="17" t="inlineStr">
        <is>
          <t>4 days</t>
        </is>
      </c>
      <c r="N50" s="17" t="inlineStr">
        <is>
          <t xml:space="preserve">          5M             2M             1M</t>
        </is>
      </c>
      <c r="O50" s="17" t="inlineStr">
        <is>
          <t>HdHqKPz3n52e6FCJREKY3MS56TagyvRxsxVYG7E4rF99</t>
        </is>
      </c>
      <c r="P50" s="17">
        <f>HYPERLINK("https://dexscreener.com/solana/HdHqKPz3n52e6FCJREKY3MS56TagyvRxsxVYG7E4rF99", "View")</f>
        <v/>
      </c>
    </row>
    <row r="51">
      <c r="A51" s="20" t="inlineStr">
        <is>
          <t>hoe</t>
        </is>
      </c>
      <c r="B51" s="21" t="n">
        <v>12874612</v>
      </c>
      <c r="C51" s="21" t="n">
        <v>12870000</v>
      </c>
      <c r="D51" s="21" t="inlineStr">
        <is>
          <t>0.001620</t>
        </is>
      </c>
      <c r="E51" s="21" t="inlineStr">
        <is>
          <t>0.023 SOL</t>
        </is>
      </c>
      <c r="F51" s="21" t="inlineStr">
        <is>
          <t>5.613 SOL</t>
        </is>
      </c>
      <c r="G51" s="24" t="inlineStr">
        <is>
          <t>5.589 SOL</t>
        </is>
      </c>
      <c r="H51" s="24" t="inlineStr">
        <is>
          <t>23065.60%</t>
        </is>
      </c>
      <c r="I51" s="21" t="inlineStr">
        <is>
          <t>N/A</t>
        </is>
      </c>
      <c r="J51" s="21" t="n">
        <v>2</v>
      </c>
      <c r="K51" s="21" t="n">
        <v>2</v>
      </c>
      <c r="L51" s="21" t="inlineStr">
        <is>
          <t>29.10.2024 18:31:31</t>
        </is>
      </c>
      <c r="M51" s="21" t="inlineStr">
        <is>
          <t>1 hours</t>
        </is>
      </c>
      <c r="N51" s="21" t="inlineStr">
        <is>
          <t xml:space="preserve">        N/A            14K             5K</t>
        </is>
      </c>
      <c r="O51" s="21" t="inlineStr">
        <is>
          <t>6EJaKs5y7aPPMYaQgcWk5HKtC4rTLchiioFzXY2L1QrU</t>
        </is>
      </c>
      <c r="P51" s="21">
        <f>HYPERLINK("https://photon-sol.tinyastro.io/en/lp/6EJaKs5y7aPPMYaQgcWk5HKtC4rTLchiioFzXY2L1QrU?handle=676050794bc1b1657a56b", "View")</f>
        <v/>
      </c>
    </row>
    <row r="52">
      <c r="A52" s="16" t="inlineStr">
        <is>
          <t>retire</t>
        </is>
      </c>
      <c r="B52" s="17" t="n">
        <v>612694</v>
      </c>
      <c r="C52" s="17" t="n">
        <v>112693</v>
      </c>
      <c r="D52" s="17" t="inlineStr">
        <is>
          <t>0.000810</t>
        </is>
      </c>
      <c r="E52" s="17" t="inlineStr">
        <is>
          <t>2.974 SOL</t>
        </is>
      </c>
      <c r="F52" s="17" t="inlineStr">
        <is>
          <t>0.933 SOL</t>
        </is>
      </c>
      <c r="G52" s="23" t="inlineStr">
        <is>
          <t>-2.042 SOL</t>
        </is>
      </c>
      <c r="H52" s="23" t="inlineStr">
        <is>
          <t>-68.63%</t>
        </is>
      </c>
      <c r="I52" s="17" t="inlineStr">
        <is>
          <t>N/A</t>
        </is>
      </c>
      <c r="J52" s="17" t="n">
        <v>1</v>
      </c>
      <c r="K52" s="17" t="n">
        <v>1</v>
      </c>
      <c r="L52" s="17" t="inlineStr">
        <is>
          <t>28.10.2024 16:47:04</t>
        </is>
      </c>
      <c r="M52" s="17" t="inlineStr">
        <is>
          <t>18 hours</t>
        </is>
      </c>
      <c r="N52" s="17" t="inlineStr">
        <is>
          <t xml:space="preserve">        852K           852K             2M</t>
        </is>
      </c>
      <c r="O52" s="17" t="inlineStr">
        <is>
          <t>zGh48JtNHVBb5evgoZLXwgPD2Qu4MhkWdJLGDAupump</t>
        </is>
      </c>
      <c r="P52" s="17">
        <f>HYPERLINK("https://dexscreener.com/solana/zGh48JtNHVBb5evgoZLXwgPD2Qu4MhkWdJLGDAupump", "View")</f>
        <v/>
      </c>
    </row>
    <row r="53">
      <c r="A53" s="20" t="inlineStr">
        <is>
          <t>SWORD</t>
        </is>
      </c>
      <c r="B53" s="21" t="n">
        <v>10590723</v>
      </c>
      <c r="C53" s="21" t="n">
        <v>10590723</v>
      </c>
      <c r="D53" s="21" t="inlineStr">
        <is>
          <t>0.000840</t>
        </is>
      </c>
      <c r="E53" s="21" t="inlineStr">
        <is>
          <t>1.015 SOL</t>
        </is>
      </c>
      <c r="F53" s="21" t="inlineStr">
        <is>
          <t>0.317 SOL</t>
        </is>
      </c>
      <c r="G53" s="23" t="inlineStr">
        <is>
          <t>-0.699 SOL</t>
        </is>
      </c>
      <c r="H53" s="23" t="inlineStr">
        <is>
          <t>-68.82%</t>
        </is>
      </c>
      <c r="I53" s="21" t="inlineStr">
        <is>
          <t>N/A</t>
        </is>
      </c>
      <c r="J53" s="21" t="n">
        <v>1</v>
      </c>
      <c r="K53" s="21" t="n">
        <v>1</v>
      </c>
      <c r="L53" s="21" t="inlineStr">
        <is>
          <t>28.10.2024 16:39:14</t>
        </is>
      </c>
      <c r="M53" s="21" t="inlineStr">
        <is>
          <t>1 days</t>
        </is>
      </c>
      <c r="N53" s="21" t="inlineStr">
        <is>
          <t xml:space="preserve">        N/A           N/A           N/A</t>
        </is>
      </c>
      <c r="O53" s="21" t="inlineStr">
        <is>
          <t>Emvu58KVTKMCViCJc3Ji5MVqATdBNr5YSkeGZS2g2gLe</t>
        </is>
      </c>
      <c r="P53" s="21">
        <f>HYPERLINK("https://photon-sol.tinyastro.io/en/lp/Emvu58KVTKMCViCJc3Ji5MVqATdBNr5YSkeGZS2g2gLe?handle=676050794bc1b1657a56b", "View")</f>
        <v/>
      </c>
    </row>
    <row r="54">
      <c r="A54" s="16" t="inlineStr">
        <is>
          <t>WMM</t>
        </is>
      </c>
      <c r="B54" s="17" t="n">
        <v>6976017</v>
      </c>
      <c r="C54" s="17" t="n">
        <v>7442252</v>
      </c>
      <c r="D54" s="17" t="inlineStr">
        <is>
          <t>0.010490</t>
        </is>
      </c>
      <c r="E54" s="17" t="inlineStr">
        <is>
          <t>35.703 SOL</t>
        </is>
      </c>
      <c r="F54" s="17" t="inlineStr">
        <is>
          <t>187.575 SOL</t>
        </is>
      </c>
      <c r="G54" s="24" t="inlineStr">
        <is>
          <t>151.862 SOL</t>
        </is>
      </c>
      <c r="H54" s="24" t="inlineStr">
        <is>
          <t>425.23%</t>
        </is>
      </c>
      <c r="I54" s="17" t="inlineStr">
        <is>
          <t>N/A</t>
        </is>
      </c>
      <c r="J54" s="17" t="n">
        <v>4</v>
      </c>
      <c r="K54" s="17" t="n">
        <v>15</v>
      </c>
      <c r="L54" s="17" t="inlineStr">
        <is>
          <t>28.10.2024 15:44:41</t>
        </is>
      </c>
      <c r="M54" s="17" t="inlineStr">
        <is>
          <t>6 days</t>
        </is>
      </c>
      <c r="N54" s="17" t="inlineStr">
        <is>
          <t xml:space="preserve">          6M            54K             4M</t>
        </is>
      </c>
      <c r="O54" s="17" t="inlineStr">
        <is>
          <t>9pWPUXoZKWNPWyaegPQeR3Kn8aFz9nrGtm5jeAFzpump</t>
        </is>
      </c>
      <c r="P54" s="17">
        <f>HYPERLINK("https://photon-sol.tinyastro.io/en/lp/9pWPUXoZKWNPWyaegPQeR3Kn8aFz9nrGtm5jeAFzpump?handle=676050794bc1b1657a56b", "View")</f>
        <v/>
      </c>
    </row>
    <row r="55">
      <c r="A55" s="20" t="inlineStr">
        <is>
          <t>PENIS</t>
        </is>
      </c>
      <c r="B55" s="21" t="n">
        <v>2544771</v>
      </c>
      <c r="C55" s="21" t="n">
        <v>2544771</v>
      </c>
      <c r="D55" s="21" t="inlineStr">
        <is>
          <t>0.000810</t>
        </is>
      </c>
      <c r="E55" s="21" t="inlineStr">
        <is>
          <t>5.652 SOL</t>
        </is>
      </c>
      <c r="F55" s="21" t="inlineStr">
        <is>
          <t>0.654 SOL</t>
        </is>
      </c>
      <c r="G55" s="23" t="inlineStr">
        <is>
          <t>-4.999 SOL</t>
        </is>
      </c>
      <c r="H55" s="23" t="inlineStr">
        <is>
          <t>-88.44%</t>
        </is>
      </c>
      <c r="I55" s="21" t="inlineStr">
        <is>
          <t>N/A</t>
        </is>
      </c>
      <c r="J55" s="21" t="n">
        <v>1</v>
      </c>
      <c r="K55" s="21" t="n">
        <v>1</v>
      </c>
      <c r="L55" s="21" t="inlineStr">
        <is>
          <t>28.10.2024 13:48:41</t>
        </is>
      </c>
      <c r="M55" s="21" t="inlineStr">
        <is>
          <t>1 hours</t>
        </is>
      </c>
      <c r="N55" s="21" t="inlineStr">
        <is>
          <t xml:space="preserve">        390K           390K             8K</t>
        </is>
      </c>
      <c r="O55" s="21" t="inlineStr">
        <is>
          <t>8sqkgSRcpgQvEPcZ5jeh5sSPw1W9sAYHGX9JTT5fpump</t>
        </is>
      </c>
      <c r="P55" s="21">
        <f>HYPERLINK("https://dexscreener.com/solana/8sqkgSRcpgQvEPcZ5jeh5sSPw1W9sAYHGX9JTT5fpump", "View")</f>
        <v/>
      </c>
    </row>
    <row r="56">
      <c r="A56" s="16" t="inlineStr">
        <is>
          <t>ARI</t>
        </is>
      </c>
      <c r="B56" s="17" t="n">
        <v>2035352</v>
      </c>
      <c r="C56" s="17" t="n">
        <v>0</v>
      </c>
      <c r="D56" s="17" t="inlineStr">
        <is>
          <t>0.000400</t>
        </is>
      </c>
      <c r="E56" s="17" t="inlineStr">
        <is>
          <t>0.992 SOL</t>
        </is>
      </c>
      <c r="F56" s="17" t="inlineStr">
        <is>
          <t>0.000 SOL</t>
        </is>
      </c>
      <c r="G56" s="18" t="inlineStr">
        <is>
          <t>-0.992 SOL</t>
        </is>
      </c>
      <c r="H56" s="18" t="inlineStr">
        <is>
          <t>0.00%</t>
        </is>
      </c>
      <c r="I56" s="17" t="inlineStr">
        <is>
          <t>2,035,352</t>
        </is>
      </c>
      <c r="J56" s="17" t="n">
        <v>1</v>
      </c>
      <c r="K56" s="17" t="n">
        <v>0</v>
      </c>
      <c r="L56" s="17" t="inlineStr">
        <is>
          <t>28.10.2024 00:47:23</t>
        </is>
      </c>
      <c r="M56" s="19" t="inlineStr">
        <is>
          <t>0 sec</t>
        </is>
      </c>
      <c r="N56" s="17" t="inlineStr">
        <is>
          <t xml:space="preserve">         80K            80K            11K</t>
        </is>
      </c>
      <c r="O56" s="17" t="inlineStr">
        <is>
          <t>9d9nFy1S4YRijRT2LH8GvV6KYk52ktbFcXtmsyc3pump</t>
        </is>
      </c>
      <c r="P56" s="17">
        <f>HYPERLINK("https://dexscreener.com/solana/9d9nFy1S4YRijRT2LH8GvV6KYk52ktbFcXtmsyc3pump", "View")</f>
        <v/>
      </c>
    </row>
    <row r="57">
      <c r="A57" s="20" t="inlineStr">
        <is>
          <t>POPGOAT</t>
        </is>
      </c>
      <c r="B57" s="21" t="n">
        <v>380432</v>
      </c>
      <c r="C57" s="21" t="n">
        <v>380432</v>
      </c>
      <c r="D57" s="21" t="inlineStr">
        <is>
          <t>0.000810</t>
        </is>
      </c>
      <c r="E57" s="21" t="inlineStr">
        <is>
          <t>2.974 SOL</t>
        </is>
      </c>
      <c r="F57" s="21" t="inlineStr">
        <is>
          <t>2.520 SOL</t>
        </is>
      </c>
      <c r="G57" s="25" t="inlineStr">
        <is>
          <t>-0.455 SOL</t>
        </is>
      </c>
      <c r="H57" s="25" t="inlineStr">
        <is>
          <t>-15.29%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27.10.2024 22:40:45</t>
        </is>
      </c>
      <c r="M57" s="21" t="inlineStr">
        <is>
          <t>10 min</t>
        </is>
      </c>
      <c r="N57" s="21" t="inlineStr">
        <is>
          <t xml:space="preserve">          1M             1M           449K</t>
        </is>
      </c>
      <c r="O57" s="21" t="inlineStr">
        <is>
          <t>DtWz93pDUZe5cYqBFmZjXq1wzZqZPygCeox5d3ajpump</t>
        </is>
      </c>
      <c r="P57" s="21">
        <f>HYPERLINK("https://dexscreener.com/solana/DtWz93pDUZe5cYqBFmZjXq1wzZqZPygCeox5d3ajpump", "View")</f>
        <v/>
      </c>
    </row>
    <row r="58">
      <c r="A58" s="16" t="inlineStr">
        <is>
          <t>DEGEN</t>
        </is>
      </c>
      <c r="B58" s="17" t="n">
        <v>396786</v>
      </c>
      <c r="C58" s="17" t="n">
        <v>96786</v>
      </c>
      <c r="D58" s="17" t="inlineStr">
        <is>
          <t>0.000810</t>
        </is>
      </c>
      <c r="E58" s="17" t="inlineStr">
        <is>
          <t>1.487 SOL</t>
        </is>
      </c>
      <c r="F58" s="17" t="inlineStr">
        <is>
          <t>0.483 SOL</t>
        </is>
      </c>
      <c r="G58" s="23" t="inlineStr">
        <is>
          <t>-1.005 SOL</t>
        </is>
      </c>
      <c r="H58" s="23" t="inlineStr">
        <is>
          <t>-67.55%</t>
        </is>
      </c>
      <c r="I58" s="17" t="inlineStr">
        <is>
          <t>N/A</t>
        </is>
      </c>
      <c r="J58" s="17" t="n">
        <v>1</v>
      </c>
      <c r="K58" s="17" t="n">
        <v>1</v>
      </c>
      <c r="L58" s="17" t="inlineStr">
        <is>
          <t>27.10.2024 17:19:57</t>
        </is>
      </c>
      <c r="M58" s="17" t="inlineStr">
        <is>
          <t>7 hours</t>
        </is>
      </c>
      <c r="N58" s="17" t="inlineStr">
        <is>
          <t xml:space="preserve">        659K           659K           210K</t>
        </is>
      </c>
      <c r="O58" s="17" t="inlineStr">
        <is>
          <t>DEGRZALfkV1KAPbV82Xb5hjsZYvwS6VAmGG1KSbc3KAv</t>
        </is>
      </c>
      <c r="P58" s="17">
        <f>HYPERLINK("https://dexscreener.com/solana/DEGRZALfkV1KAPbV82Xb5hjsZYvwS6VAmGG1KSbc3KAv", "View")</f>
        <v/>
      </c>
    </row>
    <row r="59">
      <c r="A59" s="20" t="inlineStr">
        <is>
          <t>MineTrump</t>
        </is>
      </c>
      <c r="B59" s="21" t="n">
        <v>2837173</v>
      </c>
      <c r="C59" s="21" t="n">
        <v>2837000</v>
      </c>
      <c r="D59" s="21" t="inlineStr">
        <is>
          <t>0.002040</t>
        </is>
      </c>
      <c r="E59" s="21" t="inlineStr">
        <is>
          <t>1.021 SOL</t>
        </is>
      </c>
      <c r="F59" s="21" t="inlineStr">
        <is>
          <t>1.403 SOL</t>
        </is>
      </c>
      <c r="G59" s="22" t="inlineStr">
        <is>
          <t>0.380 SOL</t>
        </is>
      </c>
      <c r="H59" s="22" t="inlineStr">
        <is>
          <t>37.14%</t>
        </is>
      </c>
      <c r="I59" s="21" t="inlineStr">
        <is>
          <t>N/A</t>
        </is>
      </c>
      <c r="J59" s="21" t="n">
        <v>1</v>
      </c>
      <c r="K59" s="21" t="n">
        <v>4</v>
      </c>
      <c r="L59" s="21" t="inlineStr">
        <is>
          <t>27.10.2024 15:17:05</t>
        </is>
      </c>
      <c r="M59" s="21" t="inlineStr">
        <is>
          <t>38 min</t>
        </is>
      </c>
      <c r="N59" s="21" t="inlineStr">
        <is>
          <t xml:space="preserve">         63K            63K            16K</t>
        </is>
      </c>
      <c r="O59" s="21" t="inlineStr">
        <is>
          <t>38H5toaBTxfFn3kJEiZGCszc2jcYpNsQRoGSkReEAUAE</t>
        </is>
      </c>
      <c r="P59" s="21">
        <f>HYPERLINK("https://photon-sol.tinyastro.io/en/lp/38H5toaBTxfFn3kJEiZGCszc2jcYpNsQRoGSkReEAUAE?handle=676050794bc1b1657a56b", "View")</f>
        <v/>
      </c>
    </row>
    <row r="60">
      <c r="A60" s="16" t="inlineStr">
        <is>
          <t>PONK</t>
        </is>
      </c>
      <c r="B60" s="17" t="n">
        <v>1981532</v>
      </c>
      <c r="C60" s="17" t="n">
        <v>4966663</v>
      </c>
      <c r="D60" s="17" t="inlineStr">
        <is>
          <t>0.001520</t>
        </is>
      </c>
      <c r="E60" s="17" t="inlineStr">
        <is>
          <t>6.295 SOL</t>
        </is>
      </c>
      <c r="F60" s="17" t="inlineStr">
        <is>
          <t>23.819 SOL</t>
        </is>
      </c>
      <c r="G60" s="24" t="inlineStr">
        <is>
          <t>17.522 SOL</t>
        </is>
      </c>
      <c r="H60" s="24" t="inlineStr">
        <is>
          <t>278.27%</t>
        </is>
      </c>
      <c r="I60" s="17" t="inlineStr">
        <is>
          <t>N/A</t>
        </is>
      </c>
      <c r="J60" s="17" t="n">
        <v>3</v>
      </c>
      <c r="K60" s="17" t="n">
        <v>6</v>
      </c>
      <c r="L60" s="17" t="inlineStr">
        <is>
          <t>27.10.2024 09:40:29</t>
        </is>
      </c>
      <c r="M60" s="17" t="inlineStr">
        <is>
          <t>20 days</t>
        </is>
      </c>
      <c r="N60" s="17" t="inlineStr">
        <is>
          <t xml:space="preserve">          1M             2M           903K</t>
        </is>
      </c>
      <c r="O60" s="17" t="inlineStr">
        <is>
          <t>2GMEDWxPhdBicySMjUky49UHgXutxQ8SJjWyrcKPpump</t>
        </is>
      </c>
      <c r="P60" s="17">
        <f>HYPERLINK("https://dexscreener.com/solana/2GMEDWxPhdBicySMjUky49UHgXutxQ8SJjWyrcKPpump", "View")</f>
        <v/>
      </c>
    </row>
    <row r="61">
      <c r="A61" s="20" t="inlineStr">
        <is>
          <t>LAMB</t>
        </is>
      </c>
      <c r="B61" s="21" t="n">
        <v>5502303</v>
      </c>
      <c r="C61" s="21" t="n">
        <v>9670000</v>
      </c>
      <c r="D61" s="21" t="inlineStr">
        <is>
          <t>0.002020</t>
        </is>
      </c>
      <c r="E61" s="21" t="inlineStr">
        <is>
          <t>7.238 SOL</t>
        </is>
      </c>
      <c r="F61" s="21" t="inlineStr">
        <is>
          <t>3.353 SOL</t>
        </is>
      </c>
      <c r="G61" s="23" t="inlineStr">
        <is>
          <t>-3.887 SOL</t>
        </is>
      </c>
      <c r="H61" s="23" t="inlineStr">
        <is>
          <t>-53.69%</t>
        </is>
      </c>
      <c r="I61" s="21" t="inlineStr">
        <is>
          <t>N/A</t>
        </is>
      </c>
      <c r="J61" s="21" t="n">
        <v>2</v>
      </c>
      <c r="K61" s="21" t="n">
        <v>3</v>
      </c>
      <c r="L61" s="21" t="inlineStr">
        <is>
          <t>27.10.2024 01:36:40</t>
        </is>
      </c>
      <c r="M61" s="21" t="inlineStr">
        <is>
          <t>1 hours</t>
        </is>
      </c>
      <c r="N61" s="21" t="inlineStr">
        <is>
          <t xml:space="preserve">        125K            18K             6K</t>
        </is>
      </c>
      <c r="O61" s="21" t="inlineStr">
        <is>
          <t>3xckQouCi1rTmdqY8AsMymhFfkY4KEryxRDK6iaopump</t>
        </is>
      </c>
      <c r="P61" s="21">
        <f>HYPERLINK("https://dexscreener.com/solana/3xckQouCi1rTmdqY8AsMymhFfkY4KEryxRDK6iaopump", "View")</f>
        <v/>
      </c>
    </row>
    <row r="62">
      <c r="A62" s="16" t="inlineStr">
        <is>
          <t>praiseAI</t>
        </is>
      </c>
      <c r="B62" s="17" t="n">
        <v>770534</v>
      </c>
      <c r="C62" s="17" t="n">
        <v>470534</v>
      </c>
      <c r="D62" s="17" t="inlineStr">
        <is>
          <t>0.001620</t>
        </is>
      </c>
      <c r="E62" s="17" t="inlineStr">
        <is>
          <t>0.992 SOL</t>
        </is>
      </c>
      <c r="F62" s="17" t="inlineStr">
        <is>
          <t>3.157 SOL</t>
        </is>
      </c>
      <c r="G62" s="24" t="inlineStr">
        <is>
          <t>2.164 SOL</t>
        </is>
      </c>
      <c r="H62" s="24" t="inlineStr">
        <is>
          <t>217.90%</t>
        </is>
      </c>
      <c r="I62" s="17" t="inlineStr">
        <is>
          <t>N/A</t>
        </is>
      </c>
      <c r="J62" s="17" t="n">
        <v>1</v>
      </c>
      <c r="K62" s="17" t="n">
        <v>3</v>
      </c>
      <c r="L62" s="17" t="inlineStr">
        <is>
          <t>27.10.2024 00:43:53</t>
        </is>
      </c>
      <c r="M62" s="17" t="inlineStr">
        <is>
          <t>1 days</t>
        </is>
      </c>
      <c r="N62" s="17" t="inlineStr">
        <is>
          <t xml:space="preserve">        227K           227K           245K</t>
        </is>
      </c>
      <c r="O62" s="17" t="inlineStr">
        <is>
          <t>9WXNvkvub2Fvg88n8mLD3iywpLmfhRZHZmdf8CGhpump</t>
        </is>
      </c>
      <c r="P62" s="17">
        <f>HYPERLINK("https://dexscreener.com/solana/9WXNvkvub2Fvg88n8mLD3iywpLmfhRZHZmdf8CGhpump", "View")</f>
        <v/>
      </c>
    </row>
    <row r="63">
      <c r="A63" s="20" t="inlineStr">
        <is>
          <t>SDOGE</t>
        </is>
      </c>
      <c r="B63" s="21" t="n">
        <v>102220</v>
      </c>
      <c r="C63" s="21" t="n">
        <v>0</v>
      </c>
      <c r="D63" s="21" t="inlineStr">
        <is>
          <t>0.000400</t>
        </is>
      </c>
      <c r="E63" s="21" t="inlineStr">
        <is>
          <t>1.686 SOL</t>
        </is>
      </c>
      <c r="F63" s="21" t="inlineStr">
        <is>
          <t>0.000 SOL</t>
        </is>
      </c>
      <c r="G63" s="18" t="inlineStr">
        <is>
          <t>-1.686 SOL</t>
        </is>
      </c>
      <c r="H63" s="18" t="inlineStr">
        <is>
          <t>0.00%</t>
        </is>
      </c>
      <c r="I63" s="21" t="inlineStr">
        <is>
          <t>102,220</t>
        </is>
      </c>
      <c r="J63" s="21" t="n">
        <v>1</v>
      </c>
      <c r="K63" s="21" t="n">
        <v>0</v>
      </c>
      <c r="L63" s="21" t="inlineStr">
        <is>
          <t>26.10.2024 23:30:20</t>
        </is>
      </c>
      <c r="M63" s="19" t="inlineStr">
        <is>
          <t>0 sec</t>
        </is>
      </c>
      <c r="N63" s="21" t="inlineStr">
        <is>
          <t xml:space="preserve">          3M             3M             2M</t>
        </is>
      </c>
      <c r="O63" s="21" t="inlineStr">
        <is>
          <t>BvSyXBvy76mUgzLSbvvT4NQw5rSM4P5zAsdnvqUJpump</t>
        </is>
      </c>
      <c r="P63" s="21">
        <f>HYPERLINK("https://dexscreener.com/solana/BvSyXBvy76mUgzLSbvvT4NQw5rSM4P5zAsdnvqUJpump", "View")</f>
        <v/>
      </c>
    </row>
    <row r="64">
      <c r="A64" s="16" t="inlineStr">
        <is>
          <t>pig</t>
        </is>
      </c>
      <c r="B64" s="17" t="n">
        <v>603335</v>
      </c>
      <c r="C64" s="17" t="n">
        <v>353334</v>
      </c>
      <c r="D64" s="17" t="inlineStr">
        <is>
          <t>0.002430</t>
        </is>
      </c>
      <c r="E64" s="17" t="inlineStr">
        <is>
          <t>1.239 SOL</t>
        </is>
      </c>
      <c r="F64" s="17" t="inlineStr">
        <is>
          <t>6.656 SOL</t>
        </is>
      </c>
      <c r="G64" s="24" t="inlineStr">
        <is>
          <t>5.414 SOL</t>
        </is>
      </c>
      <c r="H64" s="24" t="inlineStr">
        <is>
          <t>436.00%</t>
        </is>
      </c>
      <c r="I64" s="17" t="inlineStr">
        <is>
          <t>N/A</t>
        </is>
      </c>
      <c r="J64" s="17" t="n">
        <v>1</v>
      </c>
      <c r="K64" s="17" t="n">
        <v>5</v>
      </c>
      <c r="L64" s="17" t="inlineStr">
        <is>
          <t>26.10.2024 21:59:43</t>
        </is>
      </c>
      <c r="M64" s="17" t="inlineStr">
        <is>
          <t>21 hours</t>
        </is>
      </c>
      <c r="N64" s="17" t="inlineStr">
        <is>
          <t xml:space="preserve">        345K           807K           332K</t>
        </is>
      </c>
      <c r="O64" s="17" t="inlineStr">
        <is>
          <t>CXfErCqD2ufoZZ7791sRetSiMkeFSH6oKAjW7ERdpump</t>
        </is>
      </c>
      <c r="P64" s="17">
        <f>HYPERLINK("https://dexscreener.com/solana/CXfErCqD2ufoZZ7791sRetSiMkeFSH6oKAjW7ERdpump", "View")</f>
        <v/>
      </c>
    </row>
    <row r="65">
      <c r="A65" s="20" t="inlineStr">
        <is>
          <t>RBLX</t>
        </is>
      </c>
      <c r="B65" s="21" t="n">
        <v>278846</v>
      </c>
      <c r="C65" s="21" t="n">
        <v>0</v>
      </c>
      <c r="D65" s="21" t="inlineStr">
        <is>
          <t>0.000400</t>
        </is>
      </c>
      <c r="E65" s="21" t="inlineStr">
        <is>
          <t>0.992 SOL</t>
        </is>
      </c>
      <c r="F65" s="21" t="inlineStr">
        <is>
          <t>0.000 SOL</t>
        </is>
      </c>
      <c r="G65" s="18" t="inlineStr">
        <is>
          <t>-0.992 SOL</t>
        </is>
      </c>
      <c r="H65" s="18" t="inlineStr">
        <is>
          <t>0.00%</t>
        </is>
      </c>
      <c r="I65" s="21" t="inlineStr">
        <is>
          <t>278,846</t>
        </is>
      </c>
      <c r="J65" s="21" t="n">
        <v>1</v>
      </c>
      <c r="K65" s="21" t="n">
        <v>0</v>
      </c>
      <c r="L65" s="21" t="inlineStr">
        <is>
          <t>26.10.2024 19:43:26</t>
        </is>
      </c>
      <c r="M65" s="19" t="inlineStr">
        <is>
          <t>0 sec</t>
        </is>
      </c>
      <c r="N65" s="21" t="inlineStr">
        <is>
          <t xml:space="preserve">        624K           624K           222K</t>
        </is>
      </c>
      <c r="O65" s="21" t="inlineStr">
        <is>
          <t>98PeX1sFL7RoJprMxrvAapzZu4v6YBCEVozdge4snQpF</t>
        </is>
      </c>
      <c r="P65" s="21">
        <f>HYPERLINK("https://dexscreener.com/solana/98PeX1sFL7RoJprMxrvAapzZu4v6YBCEVozdge4snQpF", "View")</f>
        <v/>
      </c>
    </row>
    <row r="66">
      <c r="A66" s="16" t="inlineStr">
        <is>
          <t>Fortnite</t>
        </is>
      </c>
      <c r="B66" s="17" t="n">
        <v>6203162</v>
      </c>
      <c r="C66" s="17" t="n">
        <v>0</v>
      </c>
      <c r="D66" s="17" t="inlineStr">
        <is>
          <t>0.000810</t>
        </is>
      </c>
      <c r="E66" s="17" t="inlineStr">
        <is>
          <t>1.983 SOL</t>
        </is>
      </c>
      <c r="F66" s="17" t="inlineStr">
        <is>
          <t>0.000 SOL</t>
        </is>
      </c>
      <c r="G66" s="18" t="inlineStr">
        <is>
          <t>-1.984 SOL</t>
        </is>
      </c>
      <c r="H66" s="18" t="inlineStr">
        <is>
          <t>0.00%</t>
        </is>
      </c>
      <c r="I66" s="17" t="inlineStr">
        <is>
          <t>6,203,162</t>
        </is>
      </c>
      <c r="J66" s="17" t="n">
        <v>2</v>
      </c>
      <c r="K66" s="17" t="n">
        <v>0</v>
      </c>
      <c r="L66" s="17" t="inlineStr">
        <is>
          <t>26.10.2024 18:57:26</t>
        </is>
      </c>
      <c r="M66" s="17" t="inlineStr">
        <is>
          <t>3 min</t>
        </is>
      </c>
      <c r="N66" s="17" t="inlineStr">
        <is>
          <t xml:space="preserve">         67K            49K             6K</t>
        </is>
      </c>
      <c r="O66" s="17" t="inlineStr">
        <is>
          <t>21gK1z4pc6LGYRHU2QkytVePhZayBkAMH2rEw7eHpump</t>
        </is>
      </c>
      <c r="P66" s="17">
        <f>HYPERLINK("https://dexscreener.com/solana/21gK1z4pc6LGYRHU2QkytVePhZayBkAMH2rEw7eHpump", "View")</f>
        <v/>
      </c>
    </row>
    <row r="67">
      <c r="A67" s="20" t="inlineStr">
        <is>
          <t>alpha</t>
        </is>
      </c>
      <c r="B67" s="21" t="n">
        <v>125947</v>
      </c>
      <c r="C67" s="21" t="n">
        <v>0</v>
      </c>
      <c r="D67" s="21" t="inlineStr">
        <is>
          <t>0.000400</t>
        </is>
      </c>
      <c r="E67" s="21" t="inlineStr">
        <is>
          <t>2.974 SOL</t>
        </is>
      </c>
      <c r="F67" s="21" t="inlineStr">
        <is>
          <t>0.000 SOL</t>
        </is>
      </c>
      <c r="G67" s="18" t="inlineStr">
        <is>
          <t>-2.975 SOL</t>
        </is>
      </c>
      <c r="H67" s="18" t="inlineStr">
        <is>
          <t>0.00%</t>
        </is>
      </c>
      <c r="I67" s="21" t="inlineStr">
        <is>
          <t>125,947</t>
        </is>
      </c>
      <c r="J67" s="21" t="n">
        <v>1</v>
      </c>
      <c r="K67" s="21" t="n">
        <v>0</v>
      </c>
      <c r="L67" s="21" t="inlineStr">
        <is>
          <t>26.10.2024 13:38:14</t>
        </is>
      </c>
      <c r="M67" s="19" t="inlineStr">
        <is>
          <t>0 sec</t>
        </is>
      </c>
      <c r="N67" s="21" t="inlineStr">
        <is>
          <t xml:space="preserve">          4M             4M             3M</t>
        </is>
      </c>
      <c r="O67" s="21" t="inlineStr">
        <is>
          <t>2zrH2jE542mzB4HABgBjdWMQPtNC5H12pwo1iLpfpump</t>
        </is>
      </c>
      <c r="P67" s="21">
        <f>HYPERLINK("https://dexscreener.com/solana/2zrH2jE542mzB4HABgBjdWMQPtNC5H12pwo1iLpfpump", "View")</f>
        <v/>
      </c>
    </row>
    <row r="68">
      <c r="A68" s="16" t="inlineStr">
        <is>
          <t>OPUS</t>
        </is>
      </c>
      <c r="B68" s="17" t="n">
        <v>85668</v>
      </c>
      <c r="C68" s="17" t="n">
        <v>45667</v>
      </c>
      <c r="D68" s="17" t="inlineStr">
        <is>
          <t>0.001210</t>
        </is>
      </c>
      <c r="E68" s="17" t="inlineStr">
        <is>
          <t>1.983 SOL</t>
        </is>
      </c>
      <c r="F68" s="17" t="inlineStr">
        <is>
          <t>2.133 SOL</t>
        </is>
      </c>
      <c r="G68" s="22" t="inlineStr">
        <is>
          <t>0.149 SOL</t>
        </is>
      </c>
      <c r="H68" s="22" t="inlineStr">
        <is>
          <t>7.50%</t>
        </is>
      </c>
      <c r="I68" s="17" t="inlineStr">
        <is>
          <t>N/A</t>
        </is>
      </c>
      <c r="J68" s="17" t="n">
        <v>1</v>
      </c>
      <c r="K68" s="17" t="n">
        <v>2</v>
      </c>
      <c r="L68" s="17" t="inlineStr">
        <is>
          <t>26.10.2024 13:27:22</t>
        </is>
      </c>
      <c r="M68" s="17" t="inlineStr">
        <is>
          <t>2 days</t>
        </is>
      </c>
      <c r="N68" s="17" t="inlineStr">
        <is>
          <t xml:space="preserve">          4M             9M             4M</t>
        </is>
      </c>
      <c r="O68" s="17" t="inlineStr">
        <is>
          <t>9JhFqCA21MoAXs2PTaeqNQp2XngPn1PgYr2rsEVCpump</t>
        </is>
      </c>
      <c r="P68" s="17">
        <f>HYPERLINK("https://dexscreener.com/solana/9JhFqCA21MoAXs2PTaeqNQp2XngPn1PgYr2rsEVCpump", "View")</f>
        <v/>
      </c>
    </row>
    <row r="69">
      <c r="A69" s="20" t="inlineStr">
        <is>
          <t>Nixar</t>
        </is>
      </c>
      <c r="B69" s="21" t="n">
        <v>40907676</v>
      </c>
      <c r="C69" s="21" t="n">
        <v>40900000</v>
      </c>
      <c r="D69" s="21" t="inlineStr">
        <is>
          <t>0.001620</t>
        </is>
      </c>
      <c r="E69" s="21" t="inlineStr">
        <is>
          <t>0.017 SOL</t>
        </is>
      </c>
      <c r="F69" s="21" t="inlineStr">
        <is>
          <t>3.853 SOL</t>
        </is>
      </c>
      <c r="G69" s="24" t="inlineStr">
        <is>
          <t>3.835 SOL</t>
        </is>
      </c>
      <c r="H69" s="24" t="inlineStr">
        <is>
          <t>20594.15%</t>
        </is>
      </c>
      <c r="I69" s="21" t="inlineStr">
        <is>
          <t>N/A</t>
        </is>
      </c>
      <c r="J69" s="21" t="n">
        <v>1</v>
      </c>
      <c r="K69" s="21" t="n">
        <v>3</v>
      </c>
      <c r="L69" s="21" t="inlineStr">
        <is>
          <t>25.10.2024 06:16:54</t>
        </is>
      </c>
      <c r="M69" s="21" t="inlineStr">
        <is>
          <t>6 hours</t>
        </is>
      </c>
      <c r="N69" s="21" t="inlineStr">
        <is>
          <t xml:space="preserve">        N/A           N/A             4K</t>
        </is>
      </c>
      <c r="O69" s="21" t="inlineStr">
        <is>
          <t>CbMP7j1vCybSrVoBZGCWXMtjFdq6dHf6Y1Ave58jpump</t>
        </is>
      </c>
      <c r="P69" s="21">
        <f>HYPERLINK("https://photon-sol.tinyastro.io/en/lp/CbMP7j1vCybSrVoBZGCWXMtjFdq6dHf6Y1Ave58jpump?handle=676050794bc1b1657a56b", "View")</f>
        <v/>
      </c>
    </row>
    <row r="70">
      <c r="A70" s="16" t="inlineStr">
        <is>
          <t>VIORA</t>
        </is>
      </c>
      <c r="B70" s="17" t="n">
        <v>306592</v>
      </c>
      <c r="C70" s="17" t="n">
        <v>106590</v>
      </c>
      <c r="D70" s="17" t="inlineStr">
        <is>
          <t>0.000810</t>
        </is>
      </c>
      <c r="E70" s="17" t="inlineStr">
        <is>
          <t>1.983 SOL</t>
        </is>
      </c>
      <c r="F70" s="17" t="inlineStr">
        <is>
          <t>1.506 SOL</t>
        </is>
      </c>
      <c r="G70" s="25" t="inlineStr">
        <is>
          <t>-0.478 SOL</t>
        </is>
      </c>
      <c r="H70" s="25" t="inlineStr">
        <is>
          <t>-24.08%</t>
        </is>
      </c>
      <c r="I70" s="17" t="inlineStr">
        <is>
          <t>N/A</t>
        </is>
      </c>
      <c r="J70" s="17" t="n">
        <v>1</v>
      </c>
      <c r="K70" s="17" t="n">
        <v>1</v>
      </c>
      <c r="L70" s="17" t="inlineStr">
        <is>
          <t>24.10.2024 15:38:36</t>
        </is>
      </c>
      <c r="M70" s="17" t="inlineStr">
        <is>
          <t>3 hours</t>
        </is>
      </c>
      <c r="N70" s="17" t="inlineStr">
        <is>
          <t xml:space="preserve">          1M             1M            41K</t>
        </is>
      </c>
      <c r="O70" s="17" t="inlineStr">
        <is>
          <t>BhbfgSh5P742DE5eMx24iZXNZeD2vNRFBZe3EP9Mpump</t>
        </is>
      </c>
      <c r="P70" s="17">
        <f>HYPERLINK("https://dexscreener.com/solana/BhbfgSh5P742DE5eMx24iZXNZeD2vNRFBZe3EP9Mpump", "View")</f>
        <v/>
      </c>
    </row>
    <row r="71">
      <c r="A71" s="20" t="inlineStr">
        <is>
          <t>ANT</t>
        </is>
      </c>
      <c r="B71" s="21" t="n">
        <v>71914</v>
      </c>
      <c r="C71" s="21" t="n">
        <v>0</v>
      </c>
      <c r="D71" s="21" t="inlineStr">
        <is>
          <t>0.000400</t>
        </is>
      </c>
      <c r="E71" s="21" t="inlineStr">
        <is>
          <t>2.974 SOL</t>
        </is>
      </c>
      <c r="F71" s="21" t="inlineStr">
        <is>
          <t>0.000 SOL</t>
        </is>
      </c>
      <c r="G71" s="18" t="inlineStr">
        <is>
          <t>-2.975 SOL</t>
        </is>
      </c>
      <c r="H71" s="18" t="inlineStr">
        <is>
          <t>0.00%</t>
        </is>
      </c>
      <c r="I71" s="21" t="inlineStr">
        <is>
          <t>71,914</t>
        </is>
      </c>
      <c r="J71" s="21" t="n">
        <v>1</v>
      </c>
      <c r="K71" s="21" t="n">
        <v>0</v>
      </c>
      <c r="L71" s="21" t="inlineStr">
        <is>
          <t>24.10.2024 06:11:28</t>
        </is>
      </c>
      <c r="M71" s="19" t="inlineStr">
        <is>
          <t>0 sec</t>
        </is>
      </c>
      <c r="N71" s="21" t="inlineStr">
        <is>
          <t xml:space="preserve">          7M             7M           166K</t>
        </is>
      </c>
      <c r="O71" s="21" t="inlineStr">
        <is>
          <t>7PLFUMueEkMDc9dNoCnL5kG3aoLixML1iG5nA9ojpump</t>
        </is>
      </c>
      <c r="P71" s="21">
        <f>HYPERLINK("https://dexscreener.com/solana/7PLFUMueEkMDc9dNoCnL5kG3aoLixML1iG5nA9ojpump", "View")</f>
        <v/>
      </c>
    </row>
    <row r="72">
      <c r="A72" s="16" t="inlineStr">
        <is>
          <t>$horny</t>
        </is>
      </c>
      <c r="B72" s="17" t="n">
        <v>168897</v>
      </c>
      <c r="C72" s="17" t="n">
        <v>0</v>
      </c>
      <c r="D72" s="17" t="inlineStr">
        <is>
          <t>0.000400</t>
        </is>
      </c>
      <c r="E72" s="17" t="inlineStr">
        <is>
          <t>1.983 SOL</t>
        </is>
      </c>
      <c r="F72" s="17" t="inlineStr">
        <is>
          <t>0.000 SOL</t>
        </is>
      </c>
      <c r="G72" s="18" t="inlineStr">
        <is>
          <t>-1.983 SOL</t>
        </is>
      </c>
      <c r="H72" s="18" t="inlineStr">
        <is>
          <t>0.00%</t>
        </is>
      </c>
      <c r="I72" s="17" t="inlineStr">
        <is>
          <t>168,897</t>
        </is>
      </c>
      <c r="J72" s="17" t="n">
        <v>1</v>
      </c>
      <c r="K72" s="17" t="n">
        <v>0</v>
      </c>
      <c r="L72" s="17" t="inlineStr">
        <is>
          <t>23.10.2024 23:56:23</t>
        </is>
      </c>
      <c r="M72" s="19" t="inlineStr">
        <is>
          <t>0 sec</t>
        </is>
      </c>
      <c r="N72" s="17" t="inlineStr">
        <is>
          <t xml:space="preserve">          2M             2M            90K</t>
        </is>
      </c>
      <c r="O72" s="17" t="inlineStr">
        <is>
          <t>8AS9yeGsAwvTs9gCDKMmB2MgX8NiSvv4uppH61yqpump</t>
        </is>
      </c>
      <c r="P72" s="17">
        <f>HYPERLINK("https://dexscreener.com/solana/8AS9yeGsAwvTs9gCDKMmB2MgX8NiSvv4uppH61yqpump", "View")</f>
        <v/>
      </c>
    </row>
    <row r="73">
      <c r="A73" s="20" t="inlineStr">
        <is>
          <t xml:space="preserve">Retardia </t>
        </is>
      </c>
      <c r="B73" s="21" t="n">
        <v>276186</v>
      </c>
      <c r="C73" s="21" t="n">
        <v>0</v>
      </c>
      <c r="D73" s="21" t="inlineStr">
        <is>
          <t>0.000400</t>
        </is>
      </c>
      <c r="E73" s="21" t="inlineStr">
        <is>
          <t>4.957 SOL</t>
        </is>
      </c>
      <c r="F73" s="21" t="inlineStr">
        <is>
          <t>0.000 SOL</t>
        </is>
      </c>
      <c r="G73" s="18" t="inlineStr">
        <is>
          <t>-4.958 SOL</t>
        </is>
      </c>
      <c r="H73" s="18" t="inlineStr">
        <is>
          <t>0.00%</t>
        </is>
      </c>
      <c r="I73" s="21" t="inlineStr">
        <is>
          <t>276,186</t>
        </is>
      </c>
      <c r="J73" s="21" t="n">
        <v>1</v>
      </c>
      <c r="K73" s="21" t="n">
        <v>0</v>
      </c>
      <c r="L73" s="21" t="inlineStr">
        <is>
          <t>23.10.2024 23:16:19</t>
        </is>
      </c>
      <c r="M73" s="19" t="inlineStr">
        <is>
          <t>0 sec</t>
        </is>
      </c>
      <c r="N73" s="21" t="inlineStr">
        <is>
          <t xml:space="preserve">          3M             3M             3M</t>
        </is>
      </c>
      <c r="O73" s="21" t="inlineStr">
        <is>
          <t>7RrLheV7dSecVka3MfjYb4Wa6Z6uegNyzhpFeERsfFZP</t>
        </is>
      </c>
      <c r="P73" s="21">
        <f>HYPERLINK("https://dexscreener.com/solana/7RrLheV7dSecVka3MfjYb4Wa6Z6uegNyzhpFeERsfFZP", "View")</f>
        <v/>
      </c>
    </row>
    <row r="74">
      <c r="A74" s="16" t="inlineStr">
        <is>
          <t>Tarot</t>
        </is>
      </c>
      <c r="B74" s="17" t="n">
        <v>393524</v>
      </c>
      <c r="C74" s="17" t="n">
        <v>0</v>
      </c>
      <c r="D74" s="17" t="inlineStr">
        <is>
          <t>0.000400</t>
        </is>
      </c>
      <c r="E74" s="17" t="inlineStr">
        <is>
          <t>2.271 SOL</t>
        </is>
      </c>
      <c r="F74" s="17" t="inlineStr">
        <is>
          <t>0.000 SOL</t>
        </is>
      </c>
      <c r="G74" s="18" t="inlineStr">
        <is>
          <t>-2.271 SOL</t>
        </is>
      </c>
      <c r="H74" s="18" t="inlineStr">
        <is>
          <t>0.00%</t>
        </is>
      </c>
      <c r="I74" s="17" t="inlineStr">
        <is>
          <t>393,524</t>
        </is>
      </c>
      <c r="J74" s="17" t="n">
        <v>1</v>
      </c>
      <c r="K74" s="17" t="n">
        <v>0</v>
      </c>
      <c r="L74" s="17" t="inlineStr">
        <is>
          <t>23.10.2024 22:03:02</t>
        </is>
      </c>
      <c r="M74" s="19" t="inlineStr">
        <is>
          <t>0 sec</t>
        </is>
      </c>
      <c r="N74" s="17" t="inlineStr">
        <is>
          <t xml:space="preserve">          1M             1M            41K</t>
        </is>
      </c>
      <c r="O74" s="17" t="inlineStr">
        <is>
          <t>E8cxtZH4ivfrZTHXKtVmcEqkyKX5EKKFWW9X8jy8pump</t>
        </is>
      </c>
      <c r="P74" s="17">
        <f>HYPERLINK("https://dexscreener.com/solana/E8cxtZH4ivfrZTHXKtVmcEqkyKX5EKKFWW9X8jy8pump", "View")</f>
        <v/>
      </c>
    </row>
    <row r="75">
      <c r="A75" s="20" t="inlineStr">
        <is>
          <t>TARD</t>
        </is>
      </c>
      <c r="B75" s="21" t="n">
        <v>204996</v>
      </c>
      <c r="C75" s="21" t="n">
        <v>0</v>
      </c>
      <c r="D75" s="21" t="inlineStr">
        <is>
          <t>0.000400</t>
        </is>
      </c>
      <c r="E75" s="21" t="inlineStr">
        <is>
          <t>2.974 SOL</t>
        </is>
      </c>
      <c r="F75" s="21" t="inlineStr">
        <is>
          <t>0.000 SOL</t>
        </is>
      </c>
      <c r="G75" s="18" t="inlineStr">
        <is>
          <t>-2.975 SOL</t>
        </is>
      </c>
      <c r="H75" s="18" t="inlineStr">
        <is>
          <t>0.00%</t>
        </is>
      </c>
      <c r="I75" s="21" t="inlineStr">
        <is>
          <t>204,996</t>
        </is>
      </c>
      <c r="J75" s="21" t="n">
        <v>1</v>
      </c>
      <c r="K75" s="21" t="n">
        <v>0</v>
      </c>
      <c r="L75" s="21" t="inlineStr">
        <is>
          <t>22.10.2024 23:50:21</t>
        </is>
      </c>
      <c r="M75" s="19" t="inlineStr">
        <is>
          <t>0 sec</t>
        </is>
      </c>
      <c r="N75" s="21" t="inlineStr">
        <is>
          <t xml:space="preserve">          2M             2M           119K</t>
        </is>
      </c>
      <c r="O75" s="21" t="inlineStr">
        <is>
          <t>6bbATbj5XDYBoS8LFzQmDSRoGwfZZvNaAUA5WKuapump</t>
        </is>
      </c>
      <c r="P75" s="21">
        <f>HYPERLINK("https://dexscreener.com/solana/6bbATbj5XDYBoS8LFzQmDSRoGwfZZvNaAUA5WKuapump", "View")</f>
        <v/>
      </c>
    </row>
    <row r="76">
      <c r="A76" s="16" t="inlineStr">
        <is>
          <t>Gabriel</t>
        </is>
      </c>
      <c r="B76" s="17" t="n">
        <v>4514280</v>
      </c>
      <c r="C76" s="17" t="n">
        <v>2500000</v>
      </c>
      <c r="D76" s="17" t="inlineStr">
        <is>
          <t>0.000810</t>
        </is>
      </c>
      <c r="E76" s="17" t="inlineStr">
        <is>
          <t>0.922 SOL</t>
        </is>
      </c>
      <c r="F76" s="17" t="inlineStr">
        <is>
          <t>0.966 SOL</t>
        </is>
      </c>
      <c r="G76" s="22" t="inlineStr">
        <is>
          <t>0.043 SOL</t>
        </is>
      </c>
      <c r="H76" s="22" t="inlineStr">
        <is>
          <t>4.69%</t>
        </is>
      </c>
      <c r="I76" s="17" t="inlineStr">
        <is>
          <t>N/A</t>
        </is>
      </c>
      <c r="J76" s="17" t="n">
        <v>1</v>
      </c>
      <c r="K76" s="17" t="n">
        <v>1</v>
      </c>
      <c r="L76" s="17" t="inlineStr">
        <is>
          <t>21.10.2024 23:32:56</t>
        </is>
      </c>
      <c r="M76" s="17" t="inlineStr">
        <is>
          <t>48 min</t>
        </is>
      </c>
      <c r="N76" s="17" t="inlineStr">
        <is>
          <t xml:space="preserve">         35K            35K             6K</t>
        </is>
      </c>
      <c r="O76" s="17" t="inlineStr">
        <is>
          <t>HS7Q3wFt22uaWA1S2SQNd6ft1kQcxDvPuBMmPYqANGps</t>
        </is>
      </c>
      <c r="P76" s="17">
        <f>HYPERLINK("https://dexscreener.com/solana/HS7Q3wFt22uaWA1S2SQNd6ft1kQcxDvPuBMmPYqANGps", "View")</f>
        <v/>
      </c>
    </row>
    <row r="77">
      <c r="A77" s="20" t="inlineStr">
        <is>
          <t>HAIRDOS</t>
        </is>
      </c>
      <c r="B77" s="21" t="n">
        <v>1002853</v>
      </c>
      <c r="C77" s="21" t="n">
        <v>0</v>
      </c>
      <c r="D77" s="21" t="inlineStr">
        <is>
          <t>0.000400</t>
        </is>
      </c>
      <c r="E77" s="21" t="inlineStr">
        <is>
          <t>0.992 SOL</t>
        </is>
      </c>
      <c r="F77" s="21" t="inlineStr">
        <is>
          <t>0.000 SOL</t>
        </is>
      </c>
      <c r="G77" s="18" t="inlineStr">
        <is>
          <t>-0.992 SOL</t>
        </is>
      </c>
      <c r="H77" s="18" t="inlineStr">
        <is>
          <t>0.00%</t>
        </is>
      </c>
      <c r="I77" s="21" t="inlineStr">
        <is>
          <t>1,002,853</t>
        </is>
      </c>
      <c r="J77" s="21" t="n">
        <v>1</v>
      </c>
      <c r="K77" s="21" t="n">
        <v>0</v>
      </c>
      <c r="L77" s="21" t="inlineStr">
        <is>
          <t>21.10.2024 23:31:12</t>
        </is>
      </c>
      <c r="M77" s="19" t="inlineStr">
        <is>
          <t>0 sec</t>
        </is>
      </c>
      <c r="N77" s="21" t="inlineStr">
        <is>
          <t xml:space="preserve">        174K           174K             7K</t>
        </is>
      </c>
      <c r="O77" s="21" t="inlineStr">
        <is>
          <t>B1LaQNzBvUV5Yog8qozfX8AzZjZVuTt8Gy2JALoqpump</t>
        </is>
      </c>
      <c r="P77" s="21">
        <f>HYPERLINK("https://dexscreener.com/solana/B1LaQNzBvUV5Yog8qozfX8AzZjZVuTt8Gy2JALoqpump", "View")</f>
        <v/>
      </c>
    </row>
    <row r="78">
      <c r="A78" s="16" t="inlineStr">
        <is>
          <t>WojakAI</t>
        </is>
      </c>
      <c r="B78" s="17" t="n">
        <v>1031128</v>
      </c>
      <c r="C78" s="17" t="n">
        <v>0</v>
      </c>
      <c r="D78" s="17" t="inlineStr">
        <is>
          <t>0.000400</t>
        </is>
      </c>
      <c r="E78" s="17" t="inlineStr">
        <is>
          <t>0.992 SOL</t>
        </is>
      </c>
      <c r="F78" s="17" t="inlineStr">
        <is>
          <t>0.000 SOL</t>
        </is>
      </c>
      <c r="G78" s="18" t="inlineStr">
        <is>
          <t>-0.992 SOL</t>
        </is>
      </c>
      <c r="H78" s="18" t="inlineStr">
        <is>
          <t>0.00%</t>
        </is>
      </c>
      <c r="I78" s="17" t="inlineStr">
        <is>
          <t>1,031,128</t>
        </is>
      </c>
      <c r="J78" s="17" t="n">
        <v>1</v>
      </c>
      <c r="K78" s="17" t="n">
        <v>0</v>
      </c>
      <c r="L78" s="17" t="inlineStr">
        <is>
          <t>21.10.2024 23:23:58</t>
        </is>
      </c>
      <c r="M78" s="19" t="inlineStr">
        <is>
          <t>0 sec</t>
        </is>
      </c>
      <c r="N78" s="17" t="inlineStr">
        <is>
          <t xml:space="preserve">        169K           169K            14K</t>
        </is>
      </c>
      <c r="O78" s="17" t="inlineStr">
        <is>
          <t>GLz7XZbAuqakNKqpheYFZfkj7gcY3K3RxFLQPqFpump</t>
        </is>
      </c>
      <c r="P78" s="17">
        <f>HYPERLINK("https://dexscreener.com/solana/GLz7XZbAuqakNKqpheYFZfkj7gcY3K3RxFLQPqFpump", "View")</f>
        <v/>
      </c>
    </row>
    <row r="79">
      <c r="A79" s="20" t="inlineStr">
        <is>
          <t>SLOM</t>
        </is>
      </c>
      <c r="B79" s="21" t="n">
        <v>862996</v>
      </c>
      <c r="C79" s="21" t="n">
        <v>499099</v>
      </c>
      <c r="D79" s="21" t="inlineStr">
        <is>
          <t>0.001620</t>
        </is>
      </c>
      <c r="E79" s="21" t="inlineStr">
        <is>
          <t>1.983 SOL</t>
        </is>
      </c>
      <c r="F79" s="21" t="inlineStr">
        <is>
          <t>1.654 SOL</t>
        </is>
      </c>
      <c r="G79" s="25" t="inlineStr">
        <is>
          <t>-0.331 SOL</t>
        </is>
      </c>
      <c r="H79" s="25" t="inlineStr">
        <is>
          <t>-16.67%</t>
        </is>
      </c>
      <c r="I79" s="21" t="inlineStr">
        <is>
          <t>N/A</t>
        </is>
      </c>
      <c r="J79" s="21" t="n">
        <v>2</v>
      </c>
      <c r="K79" s="21" t="n">
        <v>2</v>
      </c>
      <c r="L79" s="21" t="inlineStr">
        <is>
          <t>21.10.2024 13:12:02</t>
        </is>
      </c>
      <c r="M79" s="21" t="inlineStr">
        <is>
          <t>24 min</t>
        </is>
      </c>
      <c r="N79" s="21" t="inlineStr">
        <is>
          <t xml:space="preserve">        349K           478K             9K</t>
        </is>
      </c>
      <c r="O79" s="21" t="inlineStr">
        <is>
          <t>5Uzw4pxZuHfrcMsrZgkjMeyk7WGnj6gFwn1bGqitpump</t>
        </is>
      </c>
      <c r="P79" s="21">
        <f>HYPERLINK("https://dexscreener.com/solana/5Uzw4pxZuHfrcMsrZgkjMeyk7WGnj6gFwn1bGqitpump", "View")</f>
        <v/>
      </c>
    </row>
    <row r="80">
      <c r="A80" s="16" t="inlineStr">
        <is>
          <t>$OHFUG</t>
        </is>
      </c>
      <c r="B80" s="17" t="n">
        <v>1306134</v>
      </c>
      <c r="C80" s="17" t="n">
        <v>0</v>
      </c>
      <c r="D80" s="17" t="inlineStr">
        <is>
          <t>0.000400</t>
        </is>
      </c>
      <c r="E80" s="17" t="inlineStr">
        <is>
          <t>0.992 SOL</t>
        </is>
      </c>
      <c r="F80" s="17" t="inlineStr">
        <is>
          <t>0.000 SOL</t>
        </is>
      </c>
      <c r="G80" s="18" t="inlineStr">
        <is>
          <t>-0.992 SOL</t>
        </is>
      </c>
      <c r="H80" s="18" t="inlineStr">
        <is>
          <t>0.00%</t>
        </is>
      </c>
      <c r="I80" s="17" t="inlineStr">
        <is>
          <t>1,306,134</t>
        </is>
      </c>
      <c r="J80" s="17" t="n">
        <v>1</v>
      </c>
      <c r="K80" s="17" t="n">
        <v>0</v>
      </c>
      <c r="L80" s="17" t="inlineStr">
        <is>
          <t>21.10.2024 12:25:17</t>
        </is>
      </c>
      <c r="M80" s="19" t="inlineStr">
        <is>
          <t>0 sec</t>
        </is>
      </c>
      <c r="N80" s="17" t="inlineStr">
        <is>
          <t xml:space="preserve">        114K           114K             7K</t>
        </is>
      </c>
      <c r="O80" s="17" t="inlineStr">
        <is>
          <t>6JQfi4zU2P6pBXJvRoatTngwnc4VLF1HKiR6K2gkpump</t>
        </is>
      </c>
      <c r="P80" s="17">
        <f>HYPERLINK("https://dexscreener.com/solana/6JQfi4zU2P6pBXJvRoatTngwnc4VLF1HKiR6K2gkpump", "View")</f>
        <v/>
      </c>
    </row>
    <row r="81">
      <c r="A81" s="20" t="inlineStr">
        <is>
          <t>SHOGGOTH</t>
        </is>
      </c>
      <c r="B81" s="21" t="n">
        <v>41069</v>
      </c>
      <c r="C81" s="21" t="n">
        <v>0</v>
      </c>
      <c r="D81" s="21" t="inlineStr">
        <is>
          <t>0.000400</t>
        </is>
      </c>
      <c r="E81" s="21" t="inlineStr">
        <is>
          <t>1.983 SOL</t>
        </is>
      </c>
      <c r="F81" s="21" t="inlineStr">
        <is>
          <t>0.000 SOL</t>
        </is>
      </c>
      <c r="G81" s="18" t="inlineStr">
        <is>
          <t>-1.983 SOL</t>
        </is>
      </c>
      <c r="H81" s="18" t="inlineStr">
        <is>
          <t>0.00%</t>
        </is>
      </c>
      <c r="I81" s="21" t="inlineStr">
        <is>
          <t>41,069</t>
        </is>
      </c>
      <c r="J81" s="21" t="n">
        <v>1</v>
      </c>
      <c r="K81" s="21" t="n">
        <v>0</v>
      </c>
      <c r="L81" s="21" t="inlineStr">
        <is>
          <t>21.10.2024 11:01:52</t>
        </is>
      </c>
      <c r="M81" s="19" t="inlineStr">
        <is>
          <t>0 sec</t>
        </is>
      </c>
      <c r="N81" s="21" t="inlineStr">
        <is>
          <t xml:space="preserve">        N/A           N/A           N/A</t>
        </is>
      </c>
      <c r="O81" s="21" t="inlineStr">
        <is>
          <t>q8BbQ4bFssfpCra5krgAp9bFELTy1ZGZawLrsT9pump</t>
        </is>
      </c>
      <c r="P81" s="21">
        <f>HYPERLINK("https://dexscreener.com/solana/q8BbQ4bFssfpCra5krgAp9bFELTy1ZGZawLrsT9pump", "View")</f>
        <v/>
      </c>
    </row>
    <row r="82">
      <c r="A82" s="16" t="inlineStr">
        <is>
          <t>autism</t>
        </is>
      </c>
      <c r="B82" s="17" t="n">
        <v>14534</v>
      </c>
      <c r="C82" s="17" t="n">
        <v>0</v>
      </c>
      <c r="D82" s="17" t="inlineStr">
        <is>
          <t>0.000110</t>
        </is>
      </c>
      <c r="E82" s="17" t="inlineStr">
        <is>
          <t>0.992 SOL</t>
        </is>
      </c>
      <c r="F82" s="17" t="inlineStr">
        <is>
          <t>0.000 SOL</t>
        </is>
      </c>
      <c r="G82" s="18" t="inlineStr">
        <is>
          <t>-0.992 SOL</t>
        </is>
      </c>
      <c r="H82" s="18" t="inlineStr">
        <is>
          <t>0.00%</t>
        </is>
      </c>
      <c r="I82" s="17" t="inlineStr">
        <is>
          <t>14,534</t>
        </is>
      </c>
      <c r="J82" s="17" t="n">
        <v>1</v>
      </c>
      <c r="K82" s="17" t="n">
        <v>0</v>
      </c>
      <c r="L82" s="17" t="inlineStr">
        <is>
          <t>19.10.2024 16:30:22</t>
        </is>
      </c>
      <c r="M82" s="19" t="inlineStr">
        <is>
          <t>0 sec</t>
        </is>
      </c>
      <c r="N82" s="17" t="inlineStr">
        <is>
          <t xml:space="preserve">         11M            11M             7M</t>
        </is>
      </c>
      <c r="O82" s="17" t="inlineStr">
        <is>
          <t>BkVeSP2GsXV3AYoRJBSZTpFE8sXmcuGnRQcFgoWspump</t>
        </is>
      </c>
      <c r="P82" s="17">
        <f>HYPERLINK("https://dexscreener.com/solana/BkVeSP2GsXV3AYoRJBSZTpFE8sXmcuGnRQcFgoWspump", "View")</f>
        <v/>
      </c>
    </row>
    <row r="83">
      <c r="A83" s="20" t="inlineStr">
        <is>
          <t>MOJI</t>
        </is>
      </c>
      <c r="B83" s="21" t="n">
        <v>147261</v>
      </c>
      <c r="C83" s="21" t="n">
        <v>0</v>
      </c>
      <c r="D83" s="21" t="inlineStr">
        <is>
          <t>0.000230</t>
        </is>
      </c>
      <c r="E83" s="21" t="inlineStr">
        <is>
          <t>0.992 SOL</t>
        </is>
      </c>
      <c r="F83" s="21" t="inlineStr">
        <is>
          <t>0.000 SOL</t>
        </is>
      </c>
      <c r="G83" s="18" t="inlineStr">
        <is>
          <t>-0.992 SOL</t>
        </is>
      </c>
      <c r="H83" s="18" t="inlineStr">
        <is>
          <t>0.00%</t>
        </is>
      </c>
      <c r="I83" s="21" t="inlineStr">
        <is>
          <t>147,261</t>
        </is>
      </c>
      <c r="J83" s="21" t="n">
        <v>1</v>
      </c>
      <c r="K83" s="21" t="n">
        <v>0</v>
      </c>
      <c r="L83" s="21" t="inlineStr">
        <is>
          <t>18.10.2024 10:02:30</t>
        </is>
      </c>
      <c r="M83" s="19" t="inlineStr">
        <is>
          <t>0 sec</t>
        </is>
      </c>
      <c r="N83" s="21" t="inlineStr">
        <is>
          <t xml:space="preserve">          1M             1M            58K</t>
        </is>
      </c>
      <c r="O83" s="21" t="inlineStr">
        <is>
          <t>CB48KiK1oi1tWtjmPWxVR2NPeEr9ewzmZQ8ERk79Ue4b</t>
        </is>
      </c>
      <c r="P83" s="21">
        <f>HYPERLINK("https://dexscreener.com/solana/CB48KiK1oi1tWtjmPWxVR2NPeEr9ewzmZQ8ERk79Ue4b", "View")</f>
        <v/>
      </c>
    </row>
    <row r="84">
      <c r="A84" s="16" t="inlineStr">
        <is>
          <t>DOGAI</t>
        </is>
      </c>
      <c r="B84" s="17" t="n">
        <v>50648</v>
      </c>
      <c r="C84" s="17" t="n">
        <v>0</v>
      </c>
      <c r="D84" s="17" t="inlineStr">
        <is>
          <t>0.000110</t>
        </is>
      </c>
      <c r="E84" s="17" t="inlineStr">
        <is>
          <t>0.992 SOL</t>
        </is>
      </c>
      <c r="F84" s="17" t="inlineStr">
        <is>
          <t>0.000 SOL</t>
        </is>
      </c>
      <c r="G84" s="18" t="inlineStr">
        <is>
          <t>-0.992 SOL</t>
        </is>
      </c>
      <c r="H84" s="18" t="inlineStr">
        <is>
          <t>0.00%</t>
        </is>
      </c>
      <c r="I84" s="17" t="inlineStr">
        <is>
          <t>50,648</t>
        </is>
      </c>
      <c r="J84" s="17" t="n">
        <v>1</v>
      </c>
      <c r="K84" s="17" t="n">
        <v>0</v>
      </c>
      <c r="L84" s="17" t="inlineStr">
        <is>
          <t>16.10.2024 11:27:47</t>
        </is>
      </c>
      <c r="M84" s="19" t="inlineStr">
        <is>
          <t>0 sec</t>
        </is>
      </c>
      <c r="N84" s="17" t="inlineStr">
        <is>
          <t xml:space="preserve">          3M             3M             2M</t>
        </is>
      </c>
      <c r="O84" s="17" t="inlineStr">
        <is>
          <t>Dogg6xWSgkF8KbsHkTWD3Et4J9a8VBLZjrASURXGiLe1</t>
        </is>
      </c>
      <c r="P84" s="17">
        <f>HYPERLINK("https://dexscreener.com/solana/Dogg6xWSgkF8KbsHkTWD3Et4J9a8VBLZjrASURXGiLe1", "View")</f>
        <v/>
      </c>
    </row>
    <row r="85">
      <c r="A85" s="20" t="inlineStr">
        <is>
          <t>CIT</t>
        </is>
      </c>
      <c r="B85" s="21" t="n">
        <v>2438263</v>
      </c>
      <c r="C85" s="21" t="n">
        <v>938000</v>
      </c>
      <c r="D85" s="21" t="inlineStr">
        <is>
          <t>0.000320</t>
        </is>
      </c>
      <c r="E85" s="21" t="inlineStr">
        <is>
          <t>0.992 SOL</t>
        </is>
      </c>
      <c r="F85" s="21" t="inlineStr">
        <is>
          <t>1.144 SOL</t>
        </is>
      </c>
      <c r="G85" s="22" t="inlineStr">
        <is>
          <t>0.152 SOL</t>
        </is>
      </c>
      <c r="H85" s="22" t="inlineStr">
        <is>
          <t>15.30%</t>
        </is>
      </c>
      <c r="I85" s="21" t="inlineStr">
        <is>
          <t>N/A</t>
        </is>
      </c>
      <c r="J85" s="21" t="n">
        <v>1</v>
      </c>
      <c r="K85" s="21" t="n">
        <v>2</v>
      </c>
      <c r="L85" s="21" t="inlineStr">
        <is>
          <t>15.10.2024 23:00:25</t>
        </is>
      </c>
      <c r="M85" s="21" t="inlineStr">
        <is>
          <t>56 min</t>
        </is>
      </c>
      <c r="N85" s="21" t="inlineStr">
        <is>
          <t xml:space="preserve">         72K           227K            12K</t>
        </is>
      </c>
      <c r="O85" s="21" t="inlineStr">
        <is>
          <t>D7L1XbVQqmnKFHhNABnNwGiqKxoDbpVw12V2bciKpump</t>
        </is>
      </c>
      <c r="P85" s="21">
        <f>HYPERLINK("https://dexscreener.com/solana/D7L1XbVQqmnKFHhNABnNwGiqKxoDbpVw12V2bciKpump", "View")</f>
        <v/>
      </c>
    </row>
    <row r="86">
      <c r="A86" s="16" t="inlineStr">
        <is>
          <t>DOUGY</t>
        </is>
      </c>
      <c r="B86" s="17" t="n">
        <v>559416</v>
      </c>
      <c r="C86" s="17" t="n">
        <v>441305</v>
      </c>
      <c r="D86" s="17" t="inlineStr">
        <is>
          <t>0.000210</t>
        </is>
      </c>
      <c r="E86" s="17" t="inlineStr">
        <is>
          <t>1.671 SOL</t>
        </is>
      </c>
      <c r="F86" s="17" t="inlineStr">
        <is>
          <t>0.706 SOL</t>
        </is>
      </c>
      <c r="G86" s="23" t="inlineStr">
        <is>
          <t>-0.965 SOL</t>
        </is>
      </c>
      <c r="H86" s="23" t="inlineStr">
        <is>
          <t>-57.75%</t>
        </is>
      </c>
      <c r="I86" s="17" t="inlineStr">
        <is>
          <t>N/A</t>
        </is>
      </c>
      <c r="J86" s="17" t="n">
        <v>1</v>
      </c>
      <c r="K86" s="17" t="n">
        <v>1</v>
      </c>
      <c r="L86" s="17" t="inlineStr">
        <is>
          <t>15.10.2024 20:05:12</t>
        </is>
      </c>
      <c r="M86" s="17" t="inlineStr">
        <is>
          <t>1 days</t>
        </is>
      </c>
      <c r="N86" s="17" t="inlineStr">
        <is>
          <t xml:space="preserve">        524K           281K           175K</t>
        </is>
      </c>
      <c r="O86" s="17" t="inlineStr">
        <is>
          <t>8QP6tVPFBWGqYY4wDX4rMhzKAbm3E7awRAiTWC1UXqLc</t>
        </is>
      </c>
      <c r="P86" s="17">
        <f>HYPERLINK("https://dexscreener.com/solana/8QP6tVPFBWGqYY4wDX4rMhzKAbm3E7awRAiTWC1UXqLc", "View")</f>
        <v/>
      </c>
    </row>
    <row r="87">
      <c r="A87" s="20" t="inlineStr">
        <is>
          <t>$MIHARU</t>
        </is>
      </c>
      <c r="B87" s="21" t="n">
        <v>26180</v>
      </c>
      <c r="C87" s="21" t="n">
        <v>0</v>
      </c>
      <c r="D87" s="21" t="inlineStr">
        <is>
          <t>0.000110</t>
        </is>
      </c>
      <c r="E87" s="21" t="inlineStr">
        <is>
          <t>0.992 SOL</t>
        </is>
      </c>
      <c r="F87" s="21" t="inlineStr">
        <is>
          <t>0.000 SOL</t>
        </is>
      </c>
      <c r="G87" s="18" t="inlineStr">
        <is>
          <t>-0.992 SOL</t>
        </is>
      </c>
      <c r="H87" s="18" t="inlineStr">
        <is>
          <t>0.00%</t>
        </is>
      </c>
      <c r="I87" s="21" t="inlineStr">
        <is>
          <t>26,180</t>
        </is>
      </c>
      <c r="J87" s="21" t="n">
        <v>1</v>
      </c>
      <c r="K87" s="21" t="n">
        <v>0</v>
      </c>
      <c r="L87" s="21" t="inlineStr">
        <is>
          <t>14.10.2024 22:43:07</t>
        </is>
      </c>
      <c r="M87" s="19" t="inlineStr">
        <is>
          <t>0 sec</t>
        </is>
      </c>
      <c r="N87" s="21" t="inlineStr">
        <is>
          <t xml:space="preserve">          7M             7M           394K</t>
        </is>
      </c>
      <c r="O87" s="21" t="inlineStr">
        <is>
          <t>2eCVVZ4tomqn4eyuA9Gh5PSKrjNXGwgMhPALGtAkpump</t>
        </is>
      </c>
      <c r="P87" s="21">
        <f>HYPERLINK("https://dexscreener.com/solana/2eCVVZ4tomqn4eyuA9Gh5PSKrjNXGwgMhPALGtAkpump", "View")</f>
        <v/>
      </c>
    </row>
    <row r="88">
      <c r="A88" s="16" t="inlineStr">
        <is>
          <t>LILY</t>
        </is>
      </c>
      <c r="B88" s="17" t="n">
        <v>564454</v>
      </c>
      <c r="C88" s="17" t="n">
        <v>0</v>
      </c>
      <c r="D88" s="17" t="inlineStr">
        <is>
          <t>0.000110</t>
        </is>
      </c>
      <c r="E88" s="17" t="inlineStr">
        <is>
          <t>1.596 SOL</t>
        </is>
      </c>
      <c r="F88" s="17" t="inlineStr">
        <is>
          <t>0.000 SOL</t>
        </is>
      </c>
      <c r="G88" s="18" t="inlineStr">
        <is>
          <t>-1.596 SOL</t>
        </is>
      </c>
      <c r="H88" s="18" t="inlineStr">
        <is>
          <t>0.00%</t>
        </is>
      </c>
      <c r="I88" s="17" t="inlineStr">
        <is>
          <t>564,454</t>
        </is>
      </c>
      <c r="J88" s="17" t="n">
        <v>1</v>
      </c>
      <c r="K88" s="17" t="n">
        <v>0</v>
      </c>
      <c r="L88" s="17" t="inlineStr">
        <is>
          <t>14.10.2024 21:04:58</t>
        </is>
      </c>
      <c r="M88" s="19" t="inlineStr">
        <is>
          <t>0 sec</t>
        </is>
      </c>
      <c r="N88" s="17" t="inlineStr">
        <is>
          <t xml:space="preserve">        N/A           N/A           N/A</t>
        </is>
      </c>
      <c r="O88" s="17" t="inlineStr">
        <is>
          <t>9o81cWB4kAWZ1hxxpakTsCTorJAwehPtxDKxMA564poi</t>
        </is>
      </c>
      <c r="P88" s="17">
        <f>HYPERLINK("https://dexscreener.com/solana/9o81cWB4kAWZ1hxxpakTsCTorJAwehPtxDKxMA564poi", "View")</f>
        <v/>
      </c>
    </row>
    <row r="89">
      <c r="A89" s="20" t="inlineStr">
        <is>
          <t>JOYCAT</t>
        </is>
      </c>
      <c r="B89" s="21" t="n">
        <v>1253618</v>
      </c>
      <c r="C89" s="21" t="n">
        <v>1250000</v>
      </c>
      <c r="D89" s="21" t="inlineStr">
        <is>
          <t>0.000320</t>
        </is>
      </c>
      <c r="E89" s="21" t="inlineStr">
        <is>
          <t>1.497 SOL</t>
        </is>
      </c>
      <c r="F89" s="21" t="inlineStr">
        <is>
          <t>0.129 SOL</t>
        </is>
      </c>
      <c r="G89" s="23" t="inlineStr">
        <is>
          <t>-1.368 SOL</t>
        </is>
      </c>
      <c r="H89" s="23" t="inlineStr">
        <is>
          <t>-91.36%</t>
        </is>
      </c>
      <c r="I89" s="21" t="inlineStr">
        <is>
          <t>N/A</t>
        </is>
      </c>
      <c r="J89" s="21" t="n">
        <v>2</v>
      </c>
      <c r="K89" s="21" t="n">
        <v>1</v>
      </c>
      <c r="L89" s="21" t="inlineStr">
        <is>
          <t>14.10.2024 15:32:53</t>
        </is>
      </c>
      <c r="M89" s="21" t="inlineStr">
        <is>
          <t>3 hours</t>
        </is>
      </c>
      <c r="N89" s="21" t="inlineStr">
        <is>
          <t xml:space="preserve">        191K            17K             7K</t>
        </is>
      </c>
      <c r="O89" s="21" t="inlineStr">
        <is>
          <t>A6EjZ7vd8iaoWQ6Sixm3o1txbShbBrPFqqerh7AYpump</t>
        </is>
      </c>
      <c r="P89" s="21">
        <f>HYPERLINK("https://dexscreener.com/solana/A6EjZ7vd8iaoWQ6Sixm3o1txbShbBrPFqqerh7AYpump", "View")</f>
        <v/>
      </c>
    </row>
    <row r="90">
      <c r="A90" s="16" t="inlineStr">
        <is>
          <t>🐖</t>
        </is>
      </c>
      <c r="B90" s="17" t="n">
        <v>2861442</v>
      </c>
      <c r="C90" s="17" t="n">
        <v>0</v>
      </c>
      <c r="D90" s="17" t="inlineStr">
        <is>
          <t>0.000110</t>
        </is>
      </c>
      <c r="E90" s="17" t="inlineStr">
        <is>
          <t>0.654 SOL</t>
        </is>
      </c>
      <c r="F90" s="17" t="inlineStr">
        <is>
          <t>0.000 SOL</t>
        </is>
      </c>
      <c r="G90" s="18" t="inlineStr">
        <is>
          <t>-0.654 SOL</t>
        </is>
      </c>
      <c r="H90" s="18" t="inlineStr">
        <is>
          <t>0.00%</t>
        </is>
      </c>
      <c r="I90" s="17" t="inlineStr">
        <is>
          <t>2,861,442</t>
        </is>
      </c>
      <c r="J90" s="17" t="n">
        <v>1</v>
      </c>
      <c r="K90" s="17" t="n">
        <v>0</v>
      </c>
      <c r="L90" s="17" t="inlineStr">
        <is>
          <t>14.10.2024 08:35:45</t>
        </is>
      </c>
      <c r="M90" s="19" t="inlineStr">
        <is>
          <t>0 sec</t>
        </is>
      </c>
      <c r="N90" s="17" t="inlineStr">
        <is>
          <t xml:space="preserve">         40K            40K            10K</t>
        </is>
      </c>
      <c r="O90" s="17" t="inlineStr">
        <is>
          <t>DXFQZR1DaGHxEKDRDT2Na7EU4CnNDYJBAhL1rddKpump</t>
        </is>
      </c>
      <c r="P90" s="17">
        <f>HYPERLINK("https://dexscreener.com/solana/DXFQZR1DaGHxEKDRDT2Na7EU4CnNDYJBAhL1rddKpump", "View")</f>
        <v/>
      </c>
    </row>
    <row r="91">
      <c r="A91" s="20" t="inlineStr">
        <is>
          <t>SORA</t>
        </is>
      </c>
      <c r="B91" s="21" t="n">
        <v>501560</v>
      </c>
      <c r="C91" s="21" t="n">
        <v>0</v>
      </c>
      <c r="D91" s="21" t="inlineStr">
        <is>
          <t>0.000110</t>
        </is>
      </c>
      <c r="E91" s="21" t="inlineStr">
        <is>
          <t>2.320 SOL</t>
        </is>
      </c>
      <c r="F91" s="21" t="inlineStr">
        <is>
          <t>0.000 SOL</t>
        </is>
      </c>
      <c r="G91" s="18" t="inlineStr">
        <is>
          <t>-2.320 SOL</t>
        </is>
      </c>
      <c r="H91" s="18" t="inlineStr">
        <is>
          <t>0.00%</t>
        </is>
      </c>
      <c r="I91" s="21" t="inlineStr">
        <is>
          <t>501,560</t>
        </is>
      </c>
      <c r="J91" s="21" t="n">
        <v>1</v>
      </c>
      <c r="K91" s="21" t="n">
        <v>0</v>
      </c>
      <c r="L91" s="21" t="inlineStr">
        <is>
          <t>13.10.2024 07:46:45</t>
        </is>
      </c>
      <c r="M91" s="19" t="inlineStr">
        <is>
          <t>0 sec</t>
        </is>
      </c>
      <c r="N91" s="21" t="inlineStr">
        <is>
          <t xml:space="preserve">        N/A           N/A           N/A</t>
        </is>
      </c>
      <c r="O91" s="21" t="inlineStr">
        <is>
          <t>2fsJzjj5WmPuwbkK172js9J5pDU6RmycsaW4GyFYyaz6</t>
        </is>
      </c>
      <c r="P91" s="21">
        <f>HYPERLINK("https://dexscreener.com/solana/2fsJzjj5WmPuwbkK172js9J5pDU6RmycsaW4GyFYyaz6", "View")</f>
        <v/>
      </c>
    </row>
    <row r="92">
      <c r="A92" s="16" t="inlineStr">
        <is>
          <t>TUNA</t>
        </is>
      </c>
      <c r="B92" s="17" t="n">
        <v>3768333</v>
      </c>
      <c r="C92" s="17" t="n">
        <v>3768332</v>
      </c>
      <c r="D92" s="17" t="inlineStr">
        <is>
          <t>0.000530</t>
        </is>
      </c>
      <c r="E92" s="17" t="inlineStr">
        <is>
          <t>3.391 SOL</t>
        </is>
      </c>
      <c r="F92" s="17" t="inlineStr">
        <is>
          <t>2.272 SOL</t>
        </is>
      </c>
      <c r="G92" s="25" t="inlineStr">
        <is>
          <t>-1.120 SOL</t>
        </is>
      </c>
      <c r="H92" s="25" t="inlineStr">
        <is>
          <t>-33.02%</t>
        </is>
      </c>
      <c r="I92" s="17" t="inlineStr">
        <is>
          <t>N/A</t>
        </is>
      </c>
      <c r="J92" s="17" t="n">
        <v>2</v>
      </c>
      <c r="K92" s="17" t="n">
        <v>3</v>
      </c>
      <c r="L92" s="17" t="inlineStr">
        <is>
          <t>13.10.2024 07:44:37</t>
        </is>
      </c>
      <c r="M92" s="17" t="inlineStr">
        <is>
          <t>7 hours</t>
        </is>
      </c>
      <c r="N92" s="17" t="inlineStr">
        <is>
          <t xml:space="preserve">        161K            35K             6K</t>
        </is>
      </c>
      <c r="O92" s="17" t="inlineStr">
        <is>
          <t>FJLehYsTWsdXP42tgixCvNzMN5PiWkHKNKfFPcCmpump</t>
        </is>
      </c>
      <c r="P92" s="17">
        <f>HYPERLINK("https://dexscreener.com/solana/FJLehYsTWsdXP42tgixCvNzMN5PiWkHKNKfFPcCmpump", "View")</f>
        <v/>
      </c>
    </row>
    <row r="93">
      <c r="A93" s="20" t="inlineStr">
        <is>
          <t>mini</t>
        </is>
      </c>
      <c r="B93" s="21" t="n">
        <v>7494</v>
      </c>
      <c r="C93" s="21" t="n">
        <v>0</v>
      </c>
      <c r="D93" s="21" t="inlineStr">
        <is>
          <t>0.000110</t>
        </is>
      </c>
      <c r="E93" s="21" t="inlineStr">
        <is>
          <t>3.391 SOL</t>
        </is>
      </c>
      <c r="F93" s="21" t="inlineStr">
        <is>
          <t>0.000 SOL</t>
        </is>
      </c>
      <c r="G93" s="18" t="inlineStr">
        <is>
          <t>-3.391 SOL</t>
        </is>
      </c>
      <c r="H93" s="18" t="inlineStr">
        <is>
          <t>0.00%</t>
        </is>
      </c>
      <c r="I93" s="21" t="inlineStr">
        <is>
          <t>7,494</t>
        </is>
      </c>
      <c r="J93" s="21" t="n">
        <v>1</v>
      </c>
      <c r="K93" s="21" t="n">
        <v>0</v>
      </c>
      <c r="L93" s="21" t="inlineStr">
        <is>
          <t>12.10.2024 22:12:54</t>
        </is>
      </c>
      <c r="M93" s="19" t="inlineStr">
        <is>
          <t>0 sec</t>
        </is>
      </c>
      <c r="N93" s="21" t="inlineStr">
        <is>
          <t xml:space="preserve">         70M            70M            47M</t>
        </is>
      </c>
      <c r="O93" s="21" t="inlineStr">
        <is>
          <t>2JcXacFwt9mVAwBQ5nZkYwCyXQkRcdsYrDXn6hj22SbP</t>
        </is>
      </c>
      <c r="P93" s="21">
        <f>HYPERLINK("https://dexscreener.com/solana/2JcXacFwt9mVAwBQ5nZkYwCyXQkRcdsYrDXn6hj22SbP", "View")</f>
        <v/>
      </c>
    </row>
    <row r="94">
      <c r="A94" s="16" t="inlineStr">
        <is>
          <t>POPDOG</t>
        </is>
      </c>
      <c r="B94" s="17" t="n">
        <v>77349</v>
      </c>
      <c r="C94" s="17" t="n">
        <v>0</v>
      </c>
      <c r="D94" s="17" t="inlineStr">
        <is>
          <t>0.000110</t>
        </is>
      </c>
      <c r="E94" s="17" t="inlineStr">
        <is>
          <t>4.747 SOL</t>
        </is>
      </c>
      <c r="F94" s="17" t="inlineStr">
        <is>
          <t>0.000 SOL</t>
        </is>
      </c>
      <c r="G94" s="18" t="inlineStr">
        <is>
          <t>-4.747 SOL</t>
        </is>
      </c>
      <c r="H94" s="18" t="inlineStr">
        <is>
          <t>0.00%</t>
        </is>
      </c>
      <c r="I94" s="17" t="inlineStr">
        <is>
          <t>77,349</t>
        </is>
      </c>
      <c r="J94" s="17" t="n">
        <v>1</v>
      </c>
      <c r="K94" s="17" t="n">
        <v>0</v>
      </c>
      <c r="L94" s="17" t="inlineStr">
        <is>
          <t>12.10.2024 21:51:00</t>
        </is>
      </c>
      <c r="M94" s="19" t="inlineStr">
        <is>
          <t>0 sec</t>
        </is>
      </c>
      <c r="N94" s="17" t="inlineStr">
        <is>
          <t xml:space="preserve">         11M            11M             7M</t>
        </is>
      </c>
      <c r="O94" s="17" t="inlineStr">
        <is>
          <t>EATGZHJViJsk7nEKkrdJicwNbfpkJfAtmrEmrjXR8NBj</t>
        </is>
      </c>
      <c r="P94" s="17">
        <f>HYPERLINK("https://dexscreener.com/solana/EATGZHJViJsk7nEKkrdJicwNbfpkJfAtmrEmrjXR8NBj", "View")</f>
        <v/>
      </c>
    </row>
    <row r="95">
      <c r="A95" s="20" t="inlineStr">
        <is>
          <t>PIPO</t>
        </is>
      </c>
      <c r="B95" s="21" t="n">
        <v>105540</v>
      </c>
      <c r="C95" s="21" t="n">
        <v>0</v>
      </c>
      <c r="D95" s="21" t="inlineStr">
        <is>
          <t>0.000110</t>
        </is>
      </c>
      <c r="E95" s="21" t="inlineStr">
        <is>
          <t>0.992 SOL</t>
        </is>
      </c>
      <c r="F95" s="21" t="inlineStr">
        <is>
          <t>0.000 SOL</t>
        </is>
      </c>
      <c r="G95" s="18" t="inlineStr">
        <is>
          <t>-0.992 SOL</t>
        </is>
      </c>
      <c r="H95" s="18" t="inlineStr">
        <is>
          <t>0.00%</t>
        </is>
      </c>
      <c r="I95" s="21" t="inlineStr">
        <is>
          <t>105,540</t>
        </is>
      </c>
      <c r="J95" s="21" t="n">
        <v>1</v>
      </c>
      <c r="K95" s="21" t="n">
        <v>0</v>
      </c>
      <c r="L95" s="21" t="inlineStr">
        <is>
          <t>07.10.2024 23:10:33</t>
        </is>
      </c>
      <c r="M95" s="19" t="inlineStr">
        <is>
          <t>0 sec</t>
        </is>
      </c>
      <c r="N95" s="21" t="inlineStr">
        <is>
          <t xml:space="preserve">          2M             2M           698K</t>
        </is>
      </c>
      <c r="O95" s="21" t="inlineStr">
        <is>
          <t>RodhH2Xivnpt9AjK1ZniRap6TTcK1yx9CJmZ5zqPipo</t>
        </is>
      </c>
      <c r="P95" s="21">
        <f>HYPERLINK("https://dexscreener.com/solana/RodhH2Xivnpt9AjK1ZniRap6TTcK1yx9CJmZ5zqPipo", "View")</f>
        <v/>
      </c>
    </row>
    <row r="96">
      <c r="A96" s="16" t="inlineStr">
        <is>
          <t>BALLTZE</t>
        </is>
      </c>
      <c r="B96" s="17" t="n">
        <v>3556143</v>
      </c>
      <c r="C96" s="17" t="n">
        <v>0</v>
      </c>
      <c r="D96" s="17" t="inlineStr">
        <is>
          <t>0.000340</t>
        </is>
      </c>
      <c r="E96" s="17" t="inlineStr">
        <is>
          <t>1.000 SOL</t>
        </is>
      </c>
      <c r="F96" s="17" t="inlineStr">
        <is>
          <t>0.000 SOL</t>
        </is>
      </c>
      <c r="G96" s="18" t="inlineStr">
        <is>
          <t>-1.000 SOL</t>
        </is>
      </c>
      <c r="H96" s="18" t="inlineStr">
        <is>
          <t>0.00%</t>
        </is>
      </c>
      <c r="I96" s="17" t="inlineStr">
        <is>
          <t>3,556,143</t>
        </is>
      </c>
      <c r="J96" s="17" t="n">
        <v>1</v>
      </c>
      <c r="K96" s="17" t="n">
        <v>0</v>
      </c>
      <c r="L96" s="17" t="inlineStr">
        <is>
          <t>02.10.2024 22:04:26</t>
        </is>
      </c>
      <c r="M96" s="19" t="inlineStr">
        <is>
          <t>0 sec</t>
        </is>
      </c>
      <c r="N96" s="17" t="inlineStr">
        <is>
          <t xml:space="preserve">         49K            49K            11K</t>
        </is>
      </c>
      <c r="O96" s="17" t="inlineStr">
        <is>
          <t>BqsE4AhFY1AoakyQXYWGRW8W8om94cBQ81wyKsZGkZEx</t>
        </is>
      </c>
      <c r="P96" s="17">
        <f>HYPERLINK("https://dexscreener.com/solana/BqsE4AhFY1AoakyQXYWGRW8W8om94cBQ81wyKsZGkZEx", "View")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HYPERLINK("https://gmgn.ai/sol/address/5FA9hUrwhpyKD9KipvtvpUTR6TqQ6mgHWNMS8EPqRQEj", "GMGN")</f>
        <v/>
      </c>
    </row>
    <row r="2">
      <c r="A2" s="3" t="inlineStr">
        <is>
          <t>5FA9hUrwhpyKD9KipvtvpUTR6TqQ6mgHWNMS8EPqRQEj</t>
        </is>
      </c>
      <c r="B2" s="3" t="inlineStr">
        <is>
          <t>6.03 SOL</t>
        </is>
      </c>
      <c r="C2" s="3" t="inlineStr">
        <is>
          <t>50%</t>
        </is>
      </c>
      <c r="D2" s="3" t="inlineStr">
        <is>
          <t>124%</t>
        </is>
      </c>
      <c r="E2" s="3" t="inlineStr">
        <is>
          <t>43.52 SOL</t>
        </is>
      </c>
      <c r="F2" s="3" t="inlineStr">
        <is>
          <t>1 (4%)</t>
        </is>
      </c>
      <c r="G2" s="3" t="inlineStr">
        <is>
          <t>0 (0%)</t>
        </is>
      </c>
      <c r="H2" s="3" t="n">
        <v>24</v>
      </c>
      <c r="I2" s="3" t="n">
        <v>0</v>
      </c>
      <c r="J2" s="3" t="inlineStr">
        <is>
          <t>7 days</t>
        </is>
      </c>
      <c r="K2" s="3" t="inlineStr">
        <is>
          <t>6 min</t>
        </is>
      </c>
      <c r="L2" s="3" t="n">
        <v>16</v>
      </c>
      <c r="M2" s="3" t="n">
        <v>17</v>
      </c>
      <c r="N2" s="3">
        <f>HYPERLINK("https://solscan.io/account/5FA9hUrwhpyKD9KipvtvpUTR6TqQ6mgHWNMS8EPqRQEj", "Solscan")</f>
        <v/>
      </c>
    </row>
    <row r="3">
      <c r="A3" s="7" t="inlineStr">
        <is>
          <t>Median ROI</t>
        </is>
      </c>
      <c r="B3" s="5" t="inlineStr">
        <is>
          <t>-4.33%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HYPERLINK("https://birdeye.so/profile/5FA9hUrwhpyKD9KipvtvpUTR6TqQ6mgHWNMS8EPqRQEj", "Birdeye")</f>
        <v/>
      </c>
    </row>
    <row r="4">
      <c r="A4" s="7" t="inlineStr">
        <is>
          <t>Rockets percent</t>
        </is>
      </c>
      <c r="B4" s="3" t="inlineStr">
        <is>
          <t>25%</t>
        </is>
      </c>
      <c r="C4" s="3" t="inlineStr"/>
      <c r="D4" s="3" t="inlineStr">
        <is>
          <t>11%</t>
        </is>
      </c>
      <c r="E4" s="3" t="inlineStr">
        <is>
          <t>3.81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9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3</v>
      </c>
      <c r="C10" s="7" t="n">
        <v>3</v>
      </c>
      <c r="D10" s="7" t="n">
        <v>1</v>
      </c>
      <c r="E10" s="7" t="n">
        <v>5</v>
      </c>
      <c r="F10" s="7" t="n">
        <v>5</v>
      </c>
      <c r="G10" s="7" t="n">
        <v>7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12.5%</t>
        </is>
      </c>
      <c r="D11" s="7" t="inlineStr">
        <is>
          <t>4.2%</t>
        </is>
      </c>
      <c r="E11" s="7" t="inlineStr">
        <is>
          <t>20.8%</t>
        </is>
      </c>
      <c r="F11" s="7" t="inlineStr">
        <is>
          <t>20.8%</t>
        </is>
      </c>
      <c r="G11" s="7" t="inlineStr">
        <is>
          <t>29.2%</t>
        </is>
      </c>
      <c r="H11" s="3" t="n"/>
      <c r="I11" s="3" t="inlineStr">
        <is>
          <t>5k-30k</t>
        </is>
      </c>
      <c r="J11" s="3" t="inlineStr">
        <is>
          <t>14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43.7 SOL</t>
        </is>
      </c>
      <c r="C12" s="7" t="inlineStr">
        <is>
          <t>8.5 SOL</t>
        </is>
      </c>
      <c r="D12" s="7" t="inlineStr">
        <is>
          <t>1.6 SOL</t>
        </is>
      </c>
      <c r="E12" s="7" t="inlineStr">
        <is>
          <t>0.4 SOL</t>
        </is>
      </c>
      <c r="F12" s="7" t="inlineStr">
        <is>
          <t>-1.4 SOL</t>
        </is>
      </c>
      <c r="G12" s="7" t="inlineStr">
        <is>
          <t>-9.3 SOL</t>
        </is>
      </c>
      <c r="H12" s="3" t="n"/>
      <c r="I12" s="3" t="inlineStr">
        <is>
          <t>30k-100k</t>
        </is>
      </c>
      <c r="J12" s="3" t="inlineStr">
        <is>
          <t>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20.0K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POTUS</t>
        </is>
      </c>
      <c r="B20" s="17" t="n">
        <v>2638629</v>
      </c>
      <c r="C20" s="17" t="n">
        <v>2638629</v>
      </c>
      <c r="D20" s="17" t="inlineStr">
        <is>
          <t>0.004060</t>
        </is>
      </c>
      <c r="E20" s="17" t="inlineStr">
        <is>
          <t>2.000 SOL</t>
        </is>
      </c>
      <c r="F20" s="17" t="inlineStr">
        <is>
          <t>29.641 SOL</t>
        </is>
      </c>
      <c r="G20" s="24" t="inlineStr">
        <is>
          <t>27.637 SOL</t>
        </is>
      </c>
      <c r="H20" s="24" t="inlineStr">
        <is>
          <t>1379.07%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16:41:12</t>
        </is>
      </c>
      <c r="M20" s="17" t="inlineStr">
        <is>
          <t>1 hours</t>
        </is>
      </c>
      <c r="N20" s="17" t="inlineStr">
        <is>
          <t xml:space="preserve">        133K           133K            64K</t>
        </is>
      </c>
      <c r="O20" s="17" t="inlineStr">
        <is>
          <t>Fy4DC1btDJnDtqs7zaEoxTyeZWsGBNPcmnFANFgmpump</t>
        </is>
      </c>
      <c r="P20" s="17">
        <f>HYPERLINK("https://dexscreener.com/solana/Fy4DC1btDJnDtqs7zaEoxTyeZWsGBNPcmnFANFgmpump", "View")</f>
        <v/>
      </c>
    </row>
    <row r="21">
      <c r="A21" s="20" t="inlineStr">
        <is>
          <t>THECAT</t>
        </is>
      </c>
      <c r="B21" s="21" t="n">
        <v>748595</v>
      </c>
      <c r="C21" s="21" t="n">
        <v>0</v>
      </c>
      <c r="D21" s="21" t="inlineStr">
        <is>
          <t>0.004010</t>
        </is>
      </c>
      <c r="E21" s="21" t="inlineStr">
        <is>
          <t>2.000 SOL</t>
        </is>
      </c>
      <c r="F21" s="21" t="inlineStr">
        <is>
          <t>0.000 SOL</t>
        </is>
      </c>
      <c r="G21" s="18" t="inlineStr">
        <is>
          <t>-2.004 SOL</t>
        </is>
      </c>
      <c r="H21" s="18" t="inlineStr">
        <is>
          <t>0.00%</t>
        </is>
      </c>
      <c r="I21" s="21" t="inlineStr">
        <is>
          <t>748,595</t>
        </is>
      </c>
      <c r="J21" s="21" t="n">
        <v>1</v>
      </c>
      <c r="K21" s="21" t="n">
        <v>0</v>
      </c>
      <c r="L21" s="21" t="inlineStr">
        <is>
          <t>30.10.2024 15:51:38</t>
        </is>
      </c>
      <c r="M21" s="19" t="inlineStr">
        <is>
          <t>0 sec</t>
        </is>
      </c>
      <c r="N21" s="21" t="inlineStr">
        <is>
          <t xml:space="preserve">        469K           469K           799K</t>
        </is>
      </c>
      <c r="O21" s="21" t="inlineStr">
        <is>
          <t>CATSo3iPhKCJX8xxshgSMH2hhijnc22VJWNcqKNHwRMk</t>
        </is>
      </c>
      <c r="P21" s="21">
        <f>HYPERLINK("https://dexscreener.com/solana/CATSo3iPhKCJX8xxshgSMH2hhijnc22VJWNcqKNHwRMk", "View")</f>
        <v/>
      </c>
    </row>
    <row r="22">
      <c r="A22" s="16" t="inlineStr">
        <is>
          <t>iSong</t>
        </is>
      </c>
      <c r="B22" s="17" t="n">
        <v>12568522</v>
      </c>
      <c r="C22" s="17" t="n">
        <v>12568522</v>
      </c>
      <c r="D22" s="17" t="inlineStr">
        <is>
          <t>0.008010</t>
        </is>
      </c>
      <c r="E22" s="17" t="inlineStr">
        <is>
          <t>1.216 SOL</t>
        </is>
      </c>
      <c r="F22" s="17" t="inlineStr">
        <is>
          <t>0.628 SOL</t>
        </is>
      </c>
      <c r="G22" s="25" t="inlineStr">
        <is>
          <t>-0.596 SOL</t>
        </is>
      </c>
      <c r="H22" s="25" t="inlineStr">
        <is>
          <t>-48.72%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14:53:11</t>
        </is>
      </c>
      <c r="M22" s="17" t="inlineStr">
        <is>
          <t>8 min</t>
        </is>
      </c>
      <c r="N22" s="17" t="inlineStr">
        <is>
          <t xml:space="preserve">         18K             9K             7K</t>
        </is>
      </c>
      <c r="O22" s="17" t="inlineStr">
        <is>
          <t>PN9VFZeyu77UKuyXZHvR3x69dYZxcjwstKFmzmepump</t>
        </is>
      </c>
      <c r="P22" s="17">
        <f>HYPERLINK("https://photon-sol.tinyastro.io/en/lp/PN9VFZeyu77UKuyXZHvR3x69dYZxcjwstKFmzmepump?handle=676050794bc1b1657a56b", "View")</f>
        <v/>
      </c>
    </row>
    <row r="23">
      <c r="A23" s="20" t="inlineStr">
        <is>
          <t>ELE</t>
        </is>
      </c>
      <c r="B23" s="21" t="n">
        <v>4292764</v>
      </c>
      <c r="C23" s="21" t="n">
        <v>4292764</v>
      </c>
      <c r="D23" s="21" t="inlineStr">
        <is>
          <t>0.008010</t>
        </is>
      </c>
      <c r="E23" s="21" t="inlineStr">
        <is>
          <t>1.404 SOL</t>
        </is>
      </c>
      <c r="F23" s="21" t="inlineStr">
        <is>
          <t>0.137 SOL</t>
        </is>
      </c>
      <c r="G23" s="23" t="inlineStr">
        <is>
          <t>-1.275 SOL</t>
        </is>
      </c>
      <c r="H23" s="23" t="inlineStr">
        <is>
          <t>-90.31%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11:57:55</t>
        </is>
      </c>
      <c r="M23" s="21" t="inlineStr">
        <is>
          <t>5 min</t>
        </is>
      </c>
      <c r="N23" s="21" t="inlineStr">
        <is>
          <t xml:space="preserve">         58K             5K             3K</t>
        </is>
      </c>
      <c r="O23" s="21" t="inlineStr">
        <is>
          <t>FgNJRhSsLa9RMvajHgdbv2oZYykGSUJ4bhfrKZaApump</t>
        </is>
      </c>
      <c r="P23" s="21">
        <f>HYPERLINK("https://photon-sol.tinyastro.io/en/lp/FgNJRhSsLa9RMvajHgdbv2oZYykGSUJ4bhfrKZaApump?handle=676050794bc1b1657a56b", "View")</f>
        <v/>
      </c>
    </row>
    <row r="24">
      <c r="A24" s="16" t="inlineStr">
        <is>
          <t>MOFA</t>
        </is>
      </c>
      <c r="B24" s="17" t="n">
        <v>31854950</v>
      </c>
      <c r="C24" s="17" t="n">
        <v>31854950</v>
      </c>
      <c r="D24" s="17" t="inlineStr">
        <is>
          <t>0.004060</t>
        </is>
      </c>
      <c r="E24" s="17" t="inlineStr">
        <is>
          <t>1.077 SOL</t>
        </is>
      </c>
      <c r="F24" s="17" t="inlineStr">
        <is>
          <t>0.917 SOL</t>
        </is>
      </c>
      <c r="G24" s="25" t="inlineStr">
        <is>
          <t>-0.164 SOL</t>
        </is>
      </c>
      <c r="H24" s="25" t="inlineStr">
        <is>
          <t>-15.17%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05:56:12</t>
        </is>
      </c>
      <c r="M24" s="17" t="inlineStr">
        <is>
          <t>1 min</t>
        </is>
      </c>
      <c r="N24" s="17" t="inlineStr">
        <is>
          <t xml:space="preserve">          5K             5K             5K</t>
        </is>
      </c>
      <c r="O24" s="17" t="inlineStr">
        <is>
          <t>Ec3SpK5v9HVTutaKk3LuLShkGUBpZTNGN39q7eJ8PvBz</t>
        </is>
      </c>
      <c r="P24" s="17">
        <f>HYPERLINK("https://photon-sol.tinyastro.io/en/lp/Ec3SpK5v9HVTutaKk3LuLShkGUBpZTNGN39q7eJ8PvBz?handle=676050794bc1b1657a56b", "View")</f>
        <v/>
      </c>
    </row>
    <row r="25">
      <c r="A25" s="20" t="inlineStr">
        <is>
          <t>FANTOUMI</t>
        </is>
      </c>
      <c r="B25" s="21" t="n">
        <v>23286809</v>
      </c>
      <c r="C25" s="21" t="n">
        <v>23286809</v>
      </c>
      <c r="D25" s="21" t="inlineStr">
        <is>
          <t>0.008010</t>
        </is>
      </c>
      <c r="E25" s="21" t="inlineStr">
        <is>
          <t>1.058 SOL</t>
        </is>
      </c>
      <c r="F25" s="21" t="inlineStr">
        <is>
          <t>7.040 SOL</t>
        </is>
      </c>
      <c r="G25" s="24" t="inlineStr">
        <is>
          <t>5.974 SOL</t>
        </is>
      </c>
      <c r="H25" s="24" t="inlineStr">
        <is>
          <t>560.57%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05:04:51</t>
        </is>
      </c>
      <c r="M25" s="21" t="inlineStr">
        <is>
          <t>10 min</t>
        </is>
      </c>
      <c r="N25" s="21" t="inlineStr">
        <is>
          <t xml:space="preserve">          9K            53K             9K</t>
        </is>
      </c>
      <c r="O25" s="21" t="inlineStr">
        <is>
          <t>C8Y2WqCM4XKQETd2WaFR63gK2T58YSBRAnGZtghUpump</t>
        </is>
      </c>
      <c r="P25" s="21">
        <f>HYPERLINK("https://photon-sol.tinyastro.io/en/lp/C8Y2WqCM4XKQETd2WaFR63gK2T58YSBRAnGZtghUpump?handle=676050794bc1b1657a56b", "View")</f>
        <v/>
      </c>
    </row>
    <row r="26">
      <c r="A26" s="16" t="inlineStr">
        <is>
          <t>RETALIK</t>
        </is>
      </c>
      <c r="B26" s="17" t="n">
        <v>7388381</v>
      </c>
      <c r="C26" s="17" t="n">
        <v>7388381</v>
      </c>
      <c r="D26" s="17" t="inlineStr">
        <is>
          <t>0.008010</t>
        </is>
      </c>
      <c r="E26" s="17" t="inlineStr">
        <is>
          <t>1.150 SOL</t>
        </is>
      </c>
      <c r="F26" s="17" t="inlineStr">
        <is>
          <t>0.307 SOL</t>
        </is>
      </c>
      <c r="G26" s="23" t="inlineStr">
        <is>
          <t>-0.851 SOL</t>
        </is>
      </c>
      <c r="H26" s="23" t="inlineStr">
        <is>
          <t>-73.52%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01:19:16</t>
        </is>
      </c>
      <c r="M26" s="19" t="inlineStr">
        <is>
          <t>54 sec</t>
        </is>
      </c>
      <c r="N26" s="17" t="inlineStr">
        <is>
          <t xml:space="preserve">         28K             7K             5K</t>
        </is>
      </c>
      <c r="O26" s="17" t="inlineStr">
        <is>
          <t>wSqBecHDZYSUBgCeHhKBqUR73TYm4CZBoLN1pWspump</t>
        </is>
      </c>
      <c r="P26" s="17">
        <f>HYPERLINK("https://photon-sol.tinyastro.io/en/lp/wSqBecHDZYSUBgCeHhKBqUR73TYm4CZBoLN1pWspump?handle=676050794bc1b1657a56b", "View")</f>
        <v/>
      </c>
    </row>
    <row r="27">
      <c r="A27" s="20" t="inlineStr">
        <is>
          <t>Dorime</t>
        </is>
      </c>
      <c r="B27" s="21" t="n">
        <v>34377658</v>
      </c>
      <c r="C27" s="21" t="n">
        <v>34377658</v>
      </c>
      <c r="D27" s="21" t="inlineStr">
        <is>
          <t>0.008010</t>
        </is>
      </c>
      <c r="E27" s="21" t="inlineStr">
        <is>
          <t>1.056 SOL</t>
        </is>
      </c>
      <c r="F27" s="21" t="inlineStr">
        <is>
          <t>1.167 SOL</t>
        </is>
      </c>
      <c r="G27" s="22" t="inlineStr">
        <is>
          <t>0.103 SOL</t>
        </is>
      </c>
      <c r="H27" s="22" t="inlineStr">
        <is>
          <t>9.69%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17:58:23</t>
        </is>
      </c>
      <c r="M27" s="21" t="inlineStr">
        <is>
          <t>3 min</t>
        </is>
      </c>
      <c r="N27" s="21" t="inlineStr">
        <is>
          <t xml:space="preserve">          5K             5K             5K</t>
        </is>
      </c>
      <c r="O27" s="21" t="inlineStr">
        <is>
          <t>F2JYLbA1gjHnyfX1oYQJ1y5Tjv318k3Gm1pYWbuzpump</t>
        </is>
      </c>
      <c r="P27" s="21">
        <f>HYPERLINK("https://photon-sol.tinyastro.io/en/lp/F2JYLbA1gjHnyfX1oYQJ1y5Tjv318k3Gm1pYWbuzpump?handle=676050794bc1b1657a56b", "View")</f>
        <v/>
      </c>
    </row>
    <row r="28">
      <c r="A28" s="16" t="inlineStr">
        <is>
          <t>DEEP</t>
        </is>
      </c>
      <c r="B28" s="17" t="n">
        <v>21297054</v>
      </c>
      <c r="C28" s="17" t="n">
        <v>21297054</v>
      </c>
      <c r="D28" s="17" t="inlineStr">
        <is>
          <t>0.008010</t>
        </is>
      </c>
      <c r="E28" s="17" t="inlineStr">
        <is>
          <t>1.066 SOL</t>
        </is>
      </c>
      <c r="F28" s="17" t="inlineStr">
        <is>
          <t>1.127 SOL</t>
        </is>
      </c>
      <c r="G28" s="22" t="inlineStr">
        <is>
          <t>0.053 SOL</t>
        </is>
      </c>
      <c r="H28" s="22" t="inlineStr">
        <is>
          <t>4.95%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28.10.2024 15:31:29</t>
        </is>
      </c>
      <c r="M28" s="17" t="inlineStr">
        <is>
          <t>1 min</t>
        </is>
      </c>
      <c r="N28" s="17" t="inlineStr">
        <is>
          <t xml:space="preserve">          9K             9K             5K</t>
        </is>
      </c>
      <c r="O28" s="17" t="inlineStr">
        <is>
          <t>ECgJJmoPb9Zqf6kiXKopZGo7GcCuTSh4G6TkbSsVpump</t>
        </is>
      </c>
      <c r="P28" s="17">
        <f>HYPERLINK("https://photon-sol.tinyastro.io/en/lp/ECgJJmoPb9Zqf6kiXKopZGo7GcCuTSh4G6TkbSsVpump?handle=676050794bc1b1657a56b", "View")</f>
        <v/>
      </c>
    </row>
    <row r="29">
      <c r="A29" s="20" t="inlineStr">
        <is>
          <t>Ascend</t>
        </is>
      </c>
      <c r="B29" s="21" t="n">
        <v>5171073</v>
      </c>
      <c r="C29" s="21" t="n">
        <v>5171073</v>
      </c>
      <c r="D29" s="21" t="inlineStr">
        <is>
          <t>0.008010</t>
        </is>
      </c>
      <c r="E29" s="21" t="inlineStr">
        <is>
          <t>2.000 SOL</t>
        </is>
      </c>
      <c r="F29" s="21" t="inlineStr">
        <is>
          <t>2.248 SOL</t>
        </is>
      </c>
      <c r="G29" s="22" t="inlineStr">
        <is>
          <t>0.240 SOL</t>
        </is>
      </c>
      <c r="H29" s="22" t="inlineStr">
        <is>
          <t>11.94%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28.10.2024 15:29:05</t>
        </is>
      </c>
      <c r="M29" s="21" t="inlineStr">
        <is>
          <t>1 min</t>
        </is>
      </c>
      <c r="N29" s="21" t="inlineStr">
        <is>
          <t xml:space="preserve">         68K            76K             3K</t>
        </is>
      </c>
      <c r="O29" s="21" t="inlineStr">
        <is>
          <t>6WNDE2xboFPp3TkYXtLBr535oRNpoVAGrpcVffLipump</t>
        </is>
      </c>
      <c r="P29" s="21">
        <f>HYPERLINK("https://dexscreener.com/solana/6WNDE2xboFPp3TkYXtLBr535oRNpoVAGrpcVffLipump", "View")</f>
        <v/>
      </c>
    </row>
    <row r="30">
      <c r="A30" s="16" t="inlineStr">
        <is>
          <t>POPGOAT</t>
        </is>
      </c>
      <c r="B30" s="17" t="n">
        <v>11770304</v>
      </c>
      <c r="C30" s="17" t="n">
        <v>11770304</v>
      </c>
      <c r="D30" s="17" t="inlineStr">
        <is>
          <t>0.012070</t>
        </is>
      </c>
      <c r="E30" s="17" t="inlineStr">
        <is>
          <t>2.067 SOL</t>
        </is>
      </c>
      <c r="F30" s="17" t="inlineStr">
        <is>
          <t>4.587 SOL</t>
        </is>
      </c>
      <c r="G30" s="24" t="inlineStr">
        <is>
          <t>2.508 SOL</t>
        </is>
      </c>
      <c r="H30" s="24" t="inlineStr">
        <is>
          <t>120.65%</t>
        </is>
      </c>
      <c r="I30" s="17" t="inlineStr">
        <is>
          <t>N/A</t>
        </is>
      </c>
      <c r="J30" s="17" t="n">
        <v>2</v>
      </c>
      <c r="K30" s="17" t="n">
        <v>2</v>
      </c>
      <c r="L30" s="17" t="inlineStr">
        <is>
          <t>27.10.2024 22:18:53</t>
        </is>
      </c>
      <c r="M30" s="17" t="inlineStr">
        <is>
          <t>7 hours</t>
        </is>
      </c>
      <c r="N30" s="17" t="inlineStr">
        <is>
          <t xml:space="preserve">         18K           258K           449K</t>
        </is>
      </c>
      <c r="O30" s="17" t="inlineStr">
        <is>
          <t>DtWz93pDUZe5cYqBFmZjXq1wzZqZPygCeox5d3ajpump</t>
        </is>
      </c>
      <c r="P30" s="17">
        <f>HYPERLINK("https://photon-sol.tinyastro.io/en/lp/DtWz93pDUZe5cYqBFmZjXq1wzZqZPygCeox5d3ajpump?handle=676050794bc1b1657a56b", "View")</f>
        <v/>
      </c>
    </row>
    <row r="31">
      <c r="A31" s="20" t="inlineStr">
        <is>
          <t>he/him</t>
        </is>
      </c>
      <c r="B31" s="21" t="n">
        <v>22542568</v>
      </c>
      <c r="C31" s="21" t="n">
        <v>22542568</v>
      </c>
      <c r="D31" s="21" t="inlineStr">
        <is>
          <t>0.008010</t>
        </is>
      </c>
      <c r="E31" s="21" t="inlineStr">
        <is>
          <t>2.549 SOL</t>
        </is>
      </c>
      <c r="F31" s="21" t="inlineStr">
        <is>
          <t>4.193 SOL</t>
        </is>
      </c>
      <c r="G31" s="24" t="inlineStr">
        <is>
          <t>1.636 SOL</t>
        </is>
      </c>
      <c r="H31" s="24" t="inlineStr">
        <is>
          <t>63.99%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27.10.2024 17:25:26</t>
        </is>
      </c>
      <c r="M31" s="21" t="inlineStr">
        <is>
          <t>3 min</t>
        </is>
      </c>
      <c r="N31" s="21" t="inlineStr">
        <is>
          <t xml:space="preserve">         19K            33K             5K</t>
        </is>
      </c>
      <c r="O31" s="21" t="inlineStr">
        <is>
          <t>Bht6wzQdkTVisYx7Ja8THsLDn4wbHSNqhx8ZsEkupump</t>
        </is>
      </c>
      <c r="P31" s="21">
        <f>HYPERLINK("https://photon-sol.tinyastro.io/en/lp/Bht6wzQdkTVisYx7Ja8THsLDn4wbHSNqhx8ZsEkupump?handle=676050794bc1b1657a56b", "View")</f>
        <v/>
      </c>
    </row>
    <row r="32">
      <c r="A32" s="16" t="inlineStr">
        <is>
          <t>POPGOAT</t>
        </is>
      </c>
      <c r="B32" s="17" t="n">
        <v>1140816</v>
      </c>
      <c r="C32" s="17" t="n">
        <v>1140816</v>
      </c>
      <c r="D32" s="17" t="inlineStr">
        <is>
          <t>0.008010</t>
        </is>
      </c>
      <c r="E32" s="17" t="inlineStr">
        <is>
          <t>2.000 SOL</t>
        </is>
      </c>
      <c r="F32" s="17" t="inlineStr">
        <is>
          <t>0.129 SOL</t>
        </is>
      </c>
      <c r="G32" s="23" t="inlineStr">
        <is>
          <t>-1.879 SOL</t>
        </is>
      </c>
      <c r="H32" s="23" t="inlineStr">
        <is>
          <t>-93.57%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27.10.2024 15:03:19</t>
        </is>
      </c>
      <c r="M32" s="17" t="inlineStr">
        <is>
          <t>16 min</t>
        </is>
      </c>
      <c r="N32" s="17" t="inlineStr">
        <is>
          <t xml:space="preserve">        307K           307K             4K</t>
        </is>
      </c>
      <c r="O32" s="17" t="inlineStr">
        <is>
          <t>BZasDyB47q8t4TsBDz1QzMEtji5NKcgGD7mWBRjMpump</t>
        </is>
      </c>
      <c r="P32" s="17">
        <f>HYPERLINK("https://dexscreener.com/solana/BZasDyB47q8t4TsBDz1QzMEtji5NKcgGD7mWBRjMpump", "View")</f>
        <v/>
      </c>
    </row>
    <row r="33">
      <c r="A33" s="20" t="inlineStr">
        <is>
          <t>Defaced</t>
        </is>
      </c>
      <c r="B33" s="21" t="n">
        <v>12865102</v>
      </c>
      <c r="C33" s="21" t="n">
        <v>12865102</v>
      </c>
      <c r="D33" s="21" t="inlineStr">
        <is>
          <t>0.028040</t>
        </is>
      </c>
      <c r="E33" s="21" t="inlineStr">
        <is>
          <t>1.068 SOL</t>
        </is>
      </c>
      <c r="F33" s="21" t="inlineStr">
        <is>
          <t>11.166 SOL</t>
        </is>
      </c>
      <c r="G33" s="24" t="inlineStr">
        <is>
          <t>10.070 SOL</t>
        </is>
      </c>
      <c r="H33" s="24" t="inlineStr">
        <is>
          <t>919.00%</t>
        </is>
      </c>
      <c r="I33" s="21" t="inlineStr">
        <is>
          <t>N/A</t>
        </is>
      </c>
      <c r="J33" s="21" t="n">
        <v>1</v>
      </c>
      <c r="K33" s="21" t="n">
        <v>6</v>
      </c>
      <c r="L33" s="21" t="inlineStr">
        <is>
          <t>27.10.2024 13:57:33</t>
        </is>
      </c>
      <c r="M33" s="21" t="inlineStr">
        <is>
          <t>6 min</t>
        </is>
      </c>
      <c r="N33" s="21" t="inlineStr">
        <is>
          <t xml:space="preserve">         13K           108K             5K</t>
        </is>
      </c>
      <c r="O33" s="21" t="inlineStr">
        <is>
          <t>6FbHd9DjMQK9ZUFEUaQchNqhfczzVfqqZozNnbqXpump</t>
        </is>
      </c>
      <c r="P33" s="21">
        <f>HYPERLINK("https://photon-sol.tinyastro.io/en/lp/6FbHd9DjMQK9ZUFEUaQchNqhfczzVfqqZozNnbqXpump?handle=676050794bc1b1657a56b", "View")</f>
        <v/>
      </c>
    </row>
    <row r="34">
      <c r="A34" s="16" t="inlineStr">
        <is>
          <t>Sund</t>
        </is>
      </c>
      <c r="B34" s="17" t="n">
        <v>12235616</v>
      </c>
      <c r="C34" s="17" t="n">
        <v>12235616</v>
      </c>
      <c r="D34" s="17" t="inlineStr">
        <is>
          <t>0.008010</t>
        </is>
      </c>
      <c r="E34" s="17" t="inlineStr">
        <is>
          <t>1.074 SOL</t>
        </is>
      </c>
      <c r="F34" s="17" t="inlineStr">
        <is>
          <t>4.488 SOL</t>
        </is>
      </c>
      <c r="G34" s="24" t="inlineStr">
        <is>
          <t>3.406 SOL</t>
        </is>
      </c>
      <c r="H34" s="24" t="inlineStr">
        <is>
          <t>314.77%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27.10.2024 13:25:48</t>
        </is>
      </c>
      <c r="M34" s="17" t="inlineStr">
        <is>
          <t>4 min</t>
        </is>
      </c>
      <c r="N34" s="17" t="inlineStr">
        <is>
          <t xml:space="preserve">         16K            65K             6K</t>
        </is>
      </c>
      <c r="O34" s="17" t="inlineStr">
        <is>
          <t>66b8mPygotxasiWXba7eFSaMXd77g8HaB2yk4F7spump</t>
        </is>
      </c>
      <c r="P34" s="17">
        <f>HYPERLINK("https://photon-sol.tinyastro.io/en/lp/66b8mPygotxasiWXba7eFSaMXd77g8HaB2yk4F7spump?handle=676050794bc1b1657a56b", "View")</f>
        <v/>
      </c>
    </row>
    <row r="35">
      <c r="A35" s="20" t="inlineStr">
        <is>
          <t>AxC</t>
        </is>
      </c>
      <c r="B35" s="21" t="n">
        <v>22741775</v>
      </c>
      <c r="C35" s="21" t="n">
        <v>22741775</v>
      </c>
      <c r="D35" s="21" t="inlineStr">
        <is>
          <t>0.012020</t>
        </is>
      </c>
      <c r="E35" s="21" t="inlineStr">
        <is>
          <t>1.612 SOL</t>
        </is>
      </c>
      <c r="F35" s="21" t="inlineStr">
        <is>
          <t>1.479 SOL</t>
        </is>
      </c>
      <c r="G35" s="25" t="inlineStr">
        <is>
          <t>-0.145 SOL</t>
        </is>
      </c>
      <c r="H35" s="25" t="inlineStr">
        <is>
          <t>-8.90%</t>
        </is>
      </c>
      <c r="I35" s="21" t="inlineStr">
        <is>
          <t>N/A</t>
        </is>
      </c>
      <c r="J35" s="21" t="n">
        <v>2</v>
      </c>
      <c r="K35" s="21" t="n">
        <v>1</v>
      </c>
      <c r="L35" s="21" t="inlineStr">
        <is>
          <t>27.10.2024 11:58:04</t>
        </is>
      </c>
      <c r="M35" s="21" t="inlineStr">
        <is>
          <t>16 min</t>
        </is>
      </c>
      <c r="N35" s="21" t="inlineStr">
        <is>
          <t xml:space="preserve">          7K            12K             5K</t>
        </is>
      </c>
      <c r="O35" s="21" t="inlineStr">
        <is>
          <t>EgVm5kaF7hn6U8g2gdWrg3hz74LdytvkEHdHwg8fpump</t>
        </is>
      </c>
      <c r="P35" s="21">
        <f>HYPERLINK("https://photon-sol.tinyastro.io/en/lp/EgVm5kaF7hn6U8g2gdWrg3hz74LdytvkEHdHwg8fpump?handle=676050794bc1b1657a56b", "View")</f>
        <v/>
      </c>
    </row>
    <row r="36">
      <c r="A36" s="16" t="inlineStr">
        <is>
          <t>Edmond</t>
        </is>
      </c>
      <c r="B36" s="17" t="n">
        <v>9158297</v>
      </c>
      <c r="C36" s="17" t="n">
        <v>0</v>
      </c>
      <c r="D36" s="17" t="inlineStr">
        <is>
          <t>0.004010</t>
        </is>
      </c>
      <c r="E36" s="17" t="inlineStr">
        <is>
          <t>1.062 SOL</t>
        </is>
      </c>
      <c r="F36" s="17" t="inlineStr">
        <is>
          <t>0.000 SOL</t>
        </is>
      </c>
      <c r="G36" s="18" t="inlineStr">
        <is>
          <t>-1.066 SOL</t>
        </is>
      </c>
      <c r="H36" s="18" t="inlineStr">
        <is>
          <t>0.00%</t>
        </is>
      </c>
      <c r="I36" s="17" t="inlineStr">
        <is>
          <t>9,158,297</t>
        </is>
      </c>
      <c r="J36" s="17" t="n">
        <v>1</v>
      </c>
      <c r="K36" s="17" t="n">
        <v>0</v>
      </c>
      <c r="L36" s="17" t="inlineStr">
        <is>
          <t>27.10.2024 08:33:40</t>
        </is>
      </c>
      <c r="M36" s="19" t="inlineStr">
        <is>
          <t>0 sec</t>
        </is>
      </c>
      <c r="N36" s="17" t="inlineStr">
        <is>
          <t xml:space="preserve">         21K            21K             8K</t>
        </is>
      </c>
      <c r="O36" s="17" t="inlineStr">
        <is>
          <t>Bj4gfziJdoMZv9wWzEiArdFTiMiGwQ1ha3jGwbEmpump</t>
        </is>
      </c>
      <c r="P36" s="17">
        <f>HYPERLINK("https://photon-sol.tinyastro.io/en/lp/Bj4gfziJdoMZv9wWzEiArdFTiMiGwQ1ha3jGwbEmpump?handle=676050794bc1b1657a56b", "View")</f>
        <v/>
      </c>
    </row>
    <row r="37">
      <c r="A37" s="20" t="inlineStr">
        <is>
          <t>$EX</t>
        </is>
      </c>
      <c r="B37" s="21" t="n">
        <v>3382826</v>
      </c>
      <c r="C37" s="21" t="n">
        <v>3382826</v>
      </c>
      <c r="D37" s="21" t="inlineStr">
        <is>
          <t>0.008010</t>
        </is>
      </c>
      <c r="E37" s="21" t="inlineStr">
        <is>
          <t>0.351 SOL</t>
        </is>
      </c>
      <c r="F37" s="21" t="inlineStr">
        <is>
          <t>0.113 SOL</t>
        </is>
      </c>
      <c r="G37" s="23" t="inlineStr">
        <is>
          <t>-0.246 SOL</t>
        </is>
      </c>
      <c r="H37" s="23" t="inlineStr">
        <is>
          <t>-68.46%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25.10.2024 19:58:53</t>
        </is>
      </c>
      <c r="M37" s="21" t="inlineStr">
        <is>
          <t>8 min</t>
        </is>
      </c>
      <c r="N37" s="21" t="inlineStr">
        <is>
          <t xml:space="preserve">         18K             5K             5K</t>
        </is>
      </c>
      <c r="O37" s="21" t="inlineStr">
        <is>
          <t>3NtuvZhSMYvX7UMo956JHEQ3jUZUYbSVopeYQphPMGQP</t>
        </is>
      </c>
      <c r="P37" s="21">
        <f>HYPERLINK("https://photon-sol.tinyastro.io/en/lp/3NtuvZhSMYvX7UMo956JHEQ3jUZUYbSVopeYQphPMGQP?handle=676050794bc1b1657a56b", "View")</f>
        <v/>
      </c>
    </row>
    <row r="38">
      <c r="A38" s="16" t="inlineStr">
        <is>
          <t>$EX</t>
        </is>
      </c>
      <c r="B38" s="17" t="n">
        <v>1145546</v>
      </c>
      <c r="C38" s="17" t="n">
        <v>1145546</v>
      </c>
      <c r="D38" s="17" t="inlineStr">
        <is>
          <t>0.012020</t>
        </is>
      </c>
      <c r="E38" s="17" t="inlineStr">
        <is>
          <t>2.000 SOL</t>
        </is>
      </c>
      <c r="F38" s="17" t="inlineStr">
        <is>
          <t>0.042 SOL</t>
        </is>
      </c>
      <c r="G38" s="23" t="inlineStr">
        <is>
          <t>-1.970 SOL</t>
        </is>
      </c>
      <c r="H38" s="23" t="inlineStr">
        <is>
          <t>-97.89%</t>
        </is>
      </c>
      <c r="I38" s="17" t="inlineStr">
        <is>
          <t>N/A</t>
        </is>
      </c>
      <c r="J38" s="17" t="n">
        <v>2</v>
      </c>
      <c r="K38" s="17" t="n">
        <v>1</v>
      </c>
      <c r="L38" s="17" t="inlineStr">
        <is>
          <t>25.10.2024 19:43:27</t>
        </is>
      </c>
      <c r="M38" s="17" t="inlineStr">
        <is>
          <t>7 min</t>
        </is>
      </c>
      <c r="N38" s="17" t="inlineStr">
        <is>
          <t xml:space="preserve">        300K             7K             3K</t>
        </is>
      </c>
      <c r="O38" s="17" t="inlineStr">
        <is>
          <t>6Z8FyduQMGYtM25QhX3BB3FTLK7WuJzcF2QmKV7mpump</t>
        </is>
      </c>
      <c r="P38" s="17">
        <f>HYPERLINK("https://dexscreener.com/solana/6Z8FyduQMGYtM25QhX3BB3FTLK7WuJzcF2QmKV7mpump", "View")</f>
        <v/>
      </c>
    </row>
    <row r="39">
      <c r="A39" s="20" t="inlineStr">
        <is>
          <t>vdog</t>
        </is>
      </c>
      <c r="B39" s="21" t="n">
        <v>23870229</v>
      </c>
      <c r="C39" s="21" t="n">
        <v>23870229</v>
      </c>
      <c r="D39" s="21" t="inlineStr">
        <is>
          <t>0.008010</t>
        </is>
      </c>
      <c r="E39" s="21" t="inlineStr">
        <is>
          <t>1.056 SOL</t>
        </is>
      </c>
      <c r="F39" s="21" t="inlineStr">
        <is>
          <t>1.094 SOL</t>
        </is>
      </c>
      <c r="G39" s="22" t="inlineStr">
        <is>
          <t>0.029 SOL</t>
        </is>
      </c>
      <c r="H39" s="22" t="inlineStr">
        <is>
          <t>2.77%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25.10.2024 17:13:24</t>
        </is>
      </c>
      <c r="M39" s="21" t="inlineStr">
        <is>
          <t>8 min</t>
        </is>
      </c>
      <c r="N39" s="21" t="inlineStr">
        <is>
          <t xml:space="preserve">          7K             9K             5K</t>
        </is>
      </c>
      <c r="O39" s="21" t="inlineStr">
        <is>
          <t>9UhD4uq2Yx4UC7B622xw1obguSvMnvcQoPSMWd1Npump</t>
        </is>
      </c>
      <c r="P39" s="21">
        <f>HYPERLINK("https://photon-sol.tinyastro.io/en/lp/9UhD4uq2Yx4UC7B622xw1obguSvMnvcQoPSMWd1Npump?handle=676050794bc1b1657a56b", "View")</f>
        <v/>
      </c>
    </row>
    <row r="40">
      <c r="A40" s="16" t="inlineStr">
        <is>
          <t>VIORA</t>
        </is>
      </c>
      <c r="B40" s="17" t="n">
        <v>2775333</v>
      </c>
      <c r="C40" s="17" t="n">
        <v>2775333</v>
      </c>
      <c r="D40" s="17" t="inlineStr">
        <is>
          <t>0.004060</t>
        </is>
      </c>
      <c r="E40" s="17" t="inlineStr">
        <is>
          <t>1.000 SOL</t>
        </is>
      </c>
      <c r="F40" s="17" t="inlineStr">
        <is>
          <t>3.552 SOL</t>
        </is>
      </c>
      <c r="G40" s="24" t="inlineStr">
        <is>
          <t>2.548 SOL</t>
        </is>
      </c>
      <c r="H40" s="24" t="inlineStr">
        <is>
          <t>253.72%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23.10.2024 15:48:19</t>
        </is>
      </c>
      <c r="M40" s="17" t="inlineStr">
        <is>
          <t>23 min</t>
        </is>
      </c>
      <c r="N40" s="17" t="inlineStr">
        <is>
          <t xml:space="preserve">         63K           225K            41K</t>
        </is>
      </c>
      <c r="O40" s="17" t="inlineStr">
        <is>
          <t>BhbfgSh5P742DE5eMx24iZXNZeD2vNRFBZe3EP9Mpump</t>
        </is>
      </c>
      <c r="P40" s="17">
        <f>HYPERLINK("https://dexscreener.com/solana/BhbfgSh5P742DE5eMx24iZXNZeD2vNRFBZe3EP9Mpump", "View")</f>
        <v/>
      </c>
    </row>
    <row r="41">
      <c r="A41" s="20" t="inlineStr">
        <is>
          <t>MAGA</t>
        </is>
      </c>
      <c r="B41" s="21" t="n">
        <v>2594737</v>
      </c>
      <c r="C41" s="21" t="n">
        <v>2594737</v>
      </c>
      <c r="D41" s="21" t="inlineStr">
        <is>
          <t>0.008010</t>
        </is>
      </c>
      <c r="E41" s="21" t="inlineStr">
        <is>
          <t>1.000 SOL</t>
        </is>
      </c>
      <c r="F41" s="21" t="inlineStr">
        <is>
          <t>0.893 SOL</t>
        </is>
      </c>
      <c r="G41" s="25" t="inlineStr">
        <is>
          <t>-0.115 SOL</t>
        </is>
      </c>
      <c r="H41" s="25" t="inlineStr">
        <is>
          <t>-11.38%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23.10.2024 10:22:51</t>
        </is>
      </c>
      <c r="M41" s="21" t="inlineStr">
        <is>
          <t>2 hours</t>
        </is>
      </c>
      <c r="N41" s="21" t="inlineStr">
        <is>
          <t xml:space="preserve">         69K            60K             4K</t>
        </is>
      </c>
      <c r="O41" s="21" t="inlineStr">
        <is>
          <t>FuvGoDo84SNL2fKpwuGfQD3tc1wihUDLxr2qXxXkpump</t>
        </is>
      </c>
      <c r="P41" s="21">
        <f>HYPERLINK("https://dexscreener.com/solana/FuvGoDo84SNL2fKpwuGfQD3tc1wihUDLxr2qXxXkpump", "View")</f>
        <v/>
      </c>
    </row>
    <row r="42">
      <c r="A42" s="16" t="inlineStr">
        <is>
          <t>Aleister</t>
        </is>
      </c>
      <c r="B42" s="17" t="n">
        <v>2769584</v>
      </c>
      <c r="C42" s="17" t="n">
        <v>2769584</v>
      </c>
      <c r="D42" s="17" t="inlineStr">
        <is>
          <t>0.008010</t>
        </is>
      </c>
      <c r="E42" s="17" t="inlineStr">
        <is>
          <t>0.955 SOL</t>
        </is>
      </c>
      <c r="F42" s="17" t="inlineStr">
        <is>
          <t>0.578 SOL</t>
        </is>
      </c>
      <c r="G42" s="25" t="inlineStr">
        <is>
          <t>-0.386 SOL</t>
        </is>
      </c>
      <c r="H42" s="25" t="inlineStr">
        <is>
          <t>-40.03%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23.10.2024 09:12:54</t>
        </is>
      </c>
      <c r="M42" s="17" t="inlineStr">
        <is>
          <t>1 min</t>
        </is>
      </c>
      <c r="N42" s="17" t="inlineStr">
        <is>
          <t xml:space="preserve">         60K            37K             5K</t>
        </is>
      </c>
      <c r="O42" s="17" t="inlineStr">
        <is>
          <t>5dRVkRqL4P8jv1E9NfkmfVBxV75MYLstc6UtyNTgpump</t>
        </is>
      </c>
      <c r="P42" s="17">
        <f>HYPERLINK("https://photon-sol.tinyastro.io/en/lp/5dRVkRqL4P8jv1E9NfkmfVBxV75MYLstc6UtyNTgpump?handle=676050794bc1b1657a56b", "View")</f>
        <v/>
      </c>
    </row>
    <row r="43">
      <c r="A43" s="20" t="inlineStr">
        <is>
          <t>plex</t>
        </is>
      </c>
      <c r="B43" s="21" t="n">
        <v>13107629</v>
      </c>
      <c r="C43" s="21" t="n">
        <v>13107629</v>
      </c>
      <c r="D43" s="21" t="inlineStr">
        <is>
          <t>0.008010</t>
        </is>
      </c>
      <c r="E43" s="21" t="inlineStr">
        <is>
          <t>3.000 SOL</t>
        </is>
      </c>
      <c r="F43" s="21" t="inlineStr">
        <is>
          <t>3.015 SOL</t>
        </is>
      </c>
      <c r="G43" s="22" t="inlineStr">
        <is>
          <t>0.007 SOL</t>
        </is>
      </c>
      <c r="H43" s="22" t="inlineStr">
        <is>
          <t>0.24%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23.10.2024 08:58:30</t>
        </is>
      </c>
      <c r="M43" s="21" t="inlineStr">
        <is>
          <t>3 min</t>
        </is>
      </c>
      <c r="N43" s="21" t="inlineStr">
        <is>
          <t xml:space="preserve">         40K            40K             6K</t>
        </is>
      </c>
      <c r="O43" s="21" t="inlineStr">
        <is>
          <t>DeYoi2NxeRPwo4R72KJezZKBUtHzmtuEeekwW82Epump</t>
        </is>
      </c>
      <c r="P43" s="21">
        <f>HYPERLINK("https://dexscreener.com/solana/DeYoi2NxeRPwo4R72KJezZKBUtHzmtuEeekwW82Epump", "View")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HYPERLINK("https://gmgn.ai/sol/address/BbS7e412soMUG4HBrJuhmXRcYxiaj5ereVwKayHCNCnU", "GMGN")</f>
        <v/>
      </c>
    </row>
    <row r="2">
      <c r="A2" s="3" t="inlineStr">
        <is>
          <t>BbS7e412soMUG4HBrJuhmXRcYxiaj5ereVwKayHCNCnU</t>
        </is>
      </c>
      <c r="B2" s="3" t="inlineStr">
        <is>
          <t>21.12 SOL</t>
        </is>
      </c>
      <c r="C2" s="3" t="inlineStr">
        <is>
          <t>73%</t>
        </is>
      </c>
      <c r="D2" s="3" t="inlineStr">
        <is>
          <t>152%</t>
        </is>
      </c>
      <c r="E2" s="3" t="inlineStr">
        <is>
          <t>19.46 SOL</t>
        </is>
      </c>
      <c r="F2" s="3" t="inlineStr">
        <is>
          <t>1 (9%)</t>
        </is>
      </c>
      <c r="G2" s="3" t="inlineStr">
        <is>
          <t>0 (0%)</t>
        </is>
      </c>
      <c r="H2" s="3" t="n">
        <v>11</v>
      </c>
      <c r="I2" s="3" t="n">
        <v>0</v>
      </c>
      <c r="J2" s="3" t="inlineStr">
        <is>
          <t>3 days</t>
        </is>
      </c>
      <c r="K2" s="3" t="inlineStr">
        <is>
          <t>5 min</t>
        </is>
      </c>
      <c r="L2" s="3" t="n">
        <v>10</v>
      </c>
      <c r="M2" s="3" t="n">
        <v>14</v>
      </c>
      <c r="N2" s="3">
        <f>HYPERLINK("https://solscan.io/account/BbS7e412soMUG4HBrJuhmXRcYxiaj5ereVwKayHCNCnU", "Solscan")</f>
        <v/>
      </c>
    </row>
    <row r="3">
      <c r="A3" s="7" t="inlineStr">
        <is>
          <t>Median ROI</t>
        </is>
      </c>
      <c r="B3" s="4" t="inlineStr">
        <is>
          <t>61.81%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HYPERLINK("https://birdeye.so/profile/BbS7e412soMUG4HBrJuhmXRcYxiaj5ereVwKayHCNCnU", "Birdeye")</f>
        <v/>
      </c>
    </row>
    <row r="4">
      <c r="A4" s="7" t="inlineStr">
        <is>
          <t>Rockets percent</t>
        </is>
      </c>
      <c r="B4" s="4" t="inlineStr">
        <is>
          <t>36%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2</v>
      </c>
      <c r="C10" s="7" t="n">
        <v>2</v>
      </c>
      <c r="D10" s="7" t="n">
        <v>2</v>
      </c>
      <c r="E10" s="7" t="n">
        <v>2</v>
      </c>
      <c r="F10" s="7" t="n">
        <v>1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18.2%</t>
        </is>
      </c>
      <c r="C11" s="7" t="inlineStr">
        <is>
          <t>18.2%</t>
        </is>
      </c>
      <c r="D11" s="7" t="inlineStr">
        <is>
          <t>18.2%</t>
        </is>
      </c>
      <c r="E11" s="7" t="inlineStr">
        <is>
          <t>18.2%</t>
        </is>
      </c>
      <c r="F11" s="7" t="inlineStr">
        <is>
          <t>9.1%</t>
        </is>
      </c>
      <c r="G11" s="7" t="inlineStr">
        <is>
          <t>18.2%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10.7 SOL</t>
        </is>
      </c>
      <c r="C12" s="7" t="inlineStr">
        <is>
          <t>7.4 SOL</t>
        </is>
      </c>
      <c r="D12" s="7" t="inlineStr">
        <is>
          <t>2.2 SOL</t>
        </is>
      </c>
      <c r="E12" s="7" t="inlineStr">
        <is>
          <t>0.6 SOL</t>
        </is>
      </c>
      <c r="F12" s="7" t="inlineStr">
        <is>
          <t>-0.0 SOL</t>
        </is>
      </c>
      <c r="G12" s="7" t="inlineStr">
        <is>
          <t>-1.4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ZEN</t>
        </is>
      </c>
      <c r="B20" s="17" t="n">
        <v>9847334</v>
      </c>
      <c r="C20" s="17" t="n">
        <v>9847334</v>
      </c>
      <c r="D20" s="17" t="inlineStr">
        <is>
          <t>0.280020</t>
        </is>
      </c>
      <c r="E20" s="17" t="inlineStr">
        <is>
          <t>1.124 SOL</t>
        </is>
      </c>
      <c r="F20" s="17" t="inlineStr">
        <is>
          <t>2.680 SOL</t>
        </is>
      </c>
      <c r="G20" s="24" t="inlineStr">
        <is>
          <t>1.276 SOL</t>
        </is>
      </c>
      <c r="H20" s="24" t="inlineStr">
        <is>
          <t>90.90%</t>
        </is>
      </c>
      <c r="I20" s="17" t="inlineStr">
        <is>
          <t>N/A</t>
        </is>
      </c>
      <c r="J20" s="17" t="n">
        <v>1</v>
      </c>
      <c r="K20" s="17" t="n">
        <v>2</v>
      </c>
      <c r="L20" s="17" t="inlineStr">
        <is>
          <t>30.10.2024 16:42:32</t>
        </is>
      </c>
      <c r="M20" s="17" t="inlineStr">
        <is>
          <t>4 min</t>
        </is>
      </c>
      <c r="N20" s="17" t="inlineStr">
        <is>
          <t xml:space="preserve">        N/A           N/A           N/A</t>
        </is>
      </c>
      <c r="O20" s="17" t="inlineStr">
        <is>
          <t>4KdmmBF845nJknS1DpWWdL8CsjKExFoUmiEnzHrtpump</t>
        </is>
      </c>
      <c r="P20" s="17">
        <f>HYPERLINK("https://photon-sol.tinyastro.io/en/lp/4KdmmBF845nJknS1DpWWdL8CsjKExFoUmiEnzHrtpump?handle=676050794bc1b1657a56b", "View")</f>
        <v/>
      </c>
    </row>
    <row r="21">
      <c r="A21" s="20" t="inlineStr">
        <is>
          <t>SPARKY</t>
        </is>
      </c>
      <c r="B21" s="21" t="n">
        <v>8038025</v>
      </c>
      <c r="C21" s="21" t="n">
        <v>8038025</v>
      </c>
      <c r="D21" s="21" t="inlineStr">
        <is>
          <t>0.240010</t>
        </is>
      </c>
      <c r="E21" s="21" t="inlineStr">
        <is>
          <t>0.530 SOL</t>
        </is>
      </c>
      <c r="F21" s="21" t="inlineStr">
        <is>
          <t>1.012 SOL</t>
        </is>
      </c>
      <c r="G21" s="22" t="inlineStr">
        <is>
          <t>0.242 SOL</t>
        </is>
      </c>
      <c r="H21" s="22" t="inlineStr">
        <is>
          <t>31.43%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13:29:19</t>
        </is>
      </c>
      <c r="M21" s="19" t="inlineStr">
        <is>
          <t>58 sec</t>
        </is>
      </c>
      <c r="N21" s="21" t="inlineStr">
        <is>
          <t xml:space="preserve">         12K            23K             5K</t>
        </is>
      </c>
      <c r="O21" s="21" t="inlineStr">
        <is>
          <t>ChhFGDYQ5n6UkCcsX3NDXHfdgoFbjBMn1msye5HDpump</t>
        </is>
      </c>
      <c r="P21" s="21">
        <f>HYPERLINK("https://photon-sol.tinyastro.io/en/lp/ChhFGDYQ5n6UkCcsX3NDXHfdgoFbjBMn1msye5HDpump?handle=676050794bc1b1657a56b", "View")</f>
        <v/>
      </c>
    </row>
    <row r="22">
      <c r="A22" s="16" t="inlineStr">
        <is>
          <t>Torin</t>
        </is>
      </c>
      <c r="B22" s="17" t="n">
        <v>5770298</v>
      </c>
      <c r="C22" s="17" t="n">
        <v>5770298</v>
      </c>
      <c r="D22" s="17" t="inlineStr">
        <is>
          <t>0.240010</t>
        </is>
      </c>
      <c r="E22" s="17" t="inlineStr">
        <is>
          <t>0.961 SOL</t>
        </is>
      </c>
      <c r="F22" s="17" t="inlineStr">
        <is>
          <t>0.576 SOL</t>
        </is>
      </c>
      <c r="G22" s="23" t="inlineStr">
        <is>
          <t>-0.625 SOL</t>
        </is>
      </c>
      <c r="H22" s="23" t="inlineStr">
        <is>
          <t>-52.03%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06:27:36</t>
        </is>
      </c>
      <c r="M22" s="17" t="inlineStr">
        <is>
          <t>5 min</t>
        </is>
      </c>
      <c r="N22" s="17" t="inlineStr">
        <is>
          <t xml:space="preserve">         30K            18K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MOLANG</t>
        </is>
      </c>
      <c r="B23" s="21" t="n">
        <v>6485448</v>
      </c>
      <c r="C23" s="21" t="n">
        <v>6485448</v>
      </c>
      <c r="D23" s="21" t="inlineStr">
        <is>
          <t>0.240010</t>
        </is>
      </c>
      <c r="E23" s="21" t="inlineStr">
        <is>
          <t>0.830 SOL</t>
        </is>
      </c>
      <c r="F23" s="21" t="inlineStr">
        <is>
          <t>1.052 SOL</t>
        </is>
      </c>
      <c r="G23" s="25" t="inlineStr">
        <is>
          <t>-0.018 SOL</t>
        </is>
      </c>
      <c r="H23" s="25" t="inlineStr">
        <is>
          <t>-1.72%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14:48:14</t>
        </is>
      </c>
      <c r="M23" s="21" t="inlineStr">
        <is>
          <t>11 min</t>
        </is>
      </c>
      <c r="N23" s="21" t="inlineStr">
        <is>
          <t xml:space="preserve">         23K            28K             4K</t>
        </is>
      </c>
      <c r="O23" s="21" t="inlineStr">
        <is>
          <t>BPFXTGBjoARa89gbSvbp7Dy6cQwgGc7efW1jE8nTpump</t>
        </is>
      </c>
      <c r="P23" s="21">
        <f>HYPERLINK("https://photon-sol.tinyastro.io/en/lp/BPFXTGBjoARa89gbSvbp7Dy6cQwgGc7efW1jE8nTpump?handle=676050794bc1b1657a56b", "View")</f>
        <v/>
      </c>
    </row>
    <row r="24">
      <c r="A24" s="16" t="inlineStr">
        <is>
          <t>MOLANG</t>
        </is>
      </c>
      <c r="B24" s="17" t="n">
        <v>10056459</v>
      </c>
      <c r="C24" s="17" t="n">
        <v>10056459</v>
      </c>
      <c r="D24" s="17" t="inlineStr">
        <is>
          <t>0.320020</t>
        </is>
      </c>
      <c r="E24" s="17" t="inlineStr">
        <is>
          <t>0.896 SOL</t>
        </is>
      </c>
      <c r="F24" s="17" t="inlineStr">
        <is>
          <t>3.601 SOL</t>
        </is>
      </c>
      <c r="G24" s="24" t="inlineStr">
        <is>
          <t>2.385 SOL</t>
        </is>
      </c>
      <c r="H24" s="24" t="inlineStr">
        <is>
          <t>196.18%</t>
        </is>
      </c>
      <c r="I24" s="17" t="inlineStr">
        <is>
          <t>N/A</t>
        </is>
      </c>
      <c r="J24" s="17" t="n">
        <v>1</v>
      </c>
      <c r="K24" s="17" t="n">
        <v>3</v>
      </c>
      <c r="L24" s="17" t="inlineStr">
        <is>
          <t>29.10.2024 14:28:50</t>
        </is>
      </c>
      <c r="M24" s="17" t="inlineStr">
        <is>
          <t>10 min</t>
        </is>
      </c>
      <c r="N24" s="17" t="inlineStr">
        <is>
          <t xml:space="preserve">         14K            30K             4K</t>
        </is>
      </c>
      <c r="O24" s="17" t="inlineStr">
        <is>
          <t>FAS87Vmmejcf5RBtpfGZ8vPAjR2VuUZJ6Sojf8Jgpump</t>
        </is>
      </c>
      <c r="P24" s="17">
        <f>HYPERLINK("https://photon-sol.tinyastro.io/en/lp/FAS87Vmmejcf5RBtpfGZ8vPAjR2VuUZJ6Sojf8Jgpump?handle=676050794bc1b1657a56b", "View")</f>
        <v/>
      </c>
    </row>
    <row r="25">
      <c r="A25" s="20" t="inlineStr">
        <is>
          <t>SOLO</t>
        </is>
      </c>
      <c r="B25" s="21" t="n">
        <v>11589762</v>
      </c>
      <c r="C25" s="21" t="n">
        <v>11589762</v>
      </c>
      <c r="D25" s="21" t="inlineStr">
        <is>
          <t>0.280020</t>
        </is>
      </c>
      <c r="E25" s="21" t="inlineStr">
        <is>
          <t>1.205 SOL</t>
        </is>
      </c>
      <c r="F25" s="21" t="inlineStr">
        <is>
          <t>2.403 SOL</t>
        </is>
      </c>
      <c r="G25" s="24" t="inlineStr">
        <is>
          <t>0.918 SOL</t>
        </is>
      </c>
      <c r="H25" s="24" t="inlineStr">
        <is>
          <t>61.81%</t>
        </is>
      </c>
      <c r="I25" s="21" t="inlineStr">
        <is>
          <t>N/A</t>
        </is>
      </c>
      <c r="J25" s="21" t="n">
        <v>1</v>
      </c>
      <c r="K25" s="21" t="n">
        <v>2</v>
      </c>
      <c r="L25" s="21" t="inlineStr">
        <is>
          <t>29.10.2024 13:00:25</t>
        </is>
      </c>
      <c r="M25" s="21" t="inlineStr">
        <is>
          <t>4 min</t>
        </is>
      </c>
      <c r="N25" s="21" t="inlineStr">
        <is>
          <t xml:space="preserve">         16K            38K             4K</t>
        </is>
      </c>
      <c r="O25" s="21" t="inlineStr">
        <is>
          <t>GeHMGsBk1SfZSmRccWiUxoGd9ZpYHhTYYqMn95Hapump</t>
        </is>
      </c>
      <c r="P25" s="21">
        <f>HYPERLINK("https://photon-sol.tinyastro.io/en/lp/GeHMGsBk1SfZSmRccWiUxoGd9ZpYHhTYYqMn95Hapump?handle=676050794bc1b1657a56b", "View")</f>
        <v/>
      </c>
    </row>
    <row r="26">
      <c r="A26" s="16" t="inlineStr">
        <is>
          <t>LINK</t>
        </is>
      </c>
      <c r="B26" s="17" t="n">
        <v>7591064</v>
      </c>
      <c r="C26" s="17" t="n">
        <v>7591064</v>
      </c>
      <c r="D26" s="17" t="inlineStr">
        <is>
          <t>0.320020</t>
        </is>
      </c>
      <c r="E26" s="17" t="inlineStr">
        <is>
          <t>0.561 SOL</t>
        </is>
      </c>
      <c r="F26" s="17" t="inlineStr">
        <is>
          <t>6.725 SOL</t>
        </is>
      </c>
      <c r="G26" s="24" t="inlineStr">
        <is>
          <t>5.844 SOL</t>
        </is>
      </c>
      <c r="H26" s="24" t="inlineStr">
        <is>
          <t>663.34%</t>
        </is>
      </c>
      <c r="I26" s="17" t="inlineStr">
        <is>
          <t>N/A</t>
        </is>
      </c>
      <c r="J26" s="17" t="n">
        <v>1</v>
      </c>
      <c r="K26" s="17" t="n">
        <v>3</v>
      </c>
      <c r="L26" s="17" t="inlineStr">
        <is>
          <t>29.10.2024 04:30:14</t>
        </is>
      </c>
      <c r="M26" s="17" t="inlineStr">
        <is>
          <t>5 min</t>
        </is>
      </c>
      <c r="N26" s="17" t="inlineStr">
        <is>
          <t xml:space="preserve">         11K           143K             4K</t>
        </is>
      </c>
      <c r="O26" s="17" t="inlineStr">
        <is>
          <t>BxaRiJpUwPkiUfwUe7bXqMZV5EG8Xx5BZaY6QM3Jpump</t>
        </is>
      </c>
      <c r="P26" s="17">
        <f>HYPERLINK("https://photon-sol.tinyastro.io/en/lp/BxaRiJpUwPkiUfwUe7bXqMZV5EG8Xx5BZaY6QM3Jpump?handle=676050794bc1b1657a56b", "View")</f>
        <v/>
      </c>
    </row>
    <row r="27">
      <c r="A27" s="20" t="inlineStr">
        <is>
          <t>Ziggy</t>
        </is>
      </c>
      <c r="B27" s="21" t="n">
        <v>2579086</v>
      </c>
      <c r="C27" s="21" t="n">
        <v>2579086</v>
      </c>
      <c r="D27" s="21" t="inlineStr">
        <is>
          <t>0.240010</t>
        </is>
      </c>
      <c r="E27" s="21" t="inlineStr">
        <is>
          <t>1.000 SOL</t>
        </is>
      </c>
      <c r="F27" s="21" t="inlineStr">
        <is>
          <t>1.617 SOL</t>
        </is>
      </c>
      <c r="G27" s="22" t="inlineStr">
        <is>
          <t>0.377 SOL</t>
        </is>
      </c>
      <c r="H27" s="22" t="inlineStr">
        <is>
          <t>30.43%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16:51:16</t>
        </is>
      </c>
      <c r="M27" s="21" t="inlineStr">
        <is>
          <t>1 min</t>
        </is>
      </c>
      <c r="N27" s="21" t="inlineStr">
        <is>
          <t xml:space="preserve">         68K           111K             4K</t>
        </is>
      </c>
      <c r="O27" s="21" t="inlineStr">
        <is>
          <t>9wBdGejMb6UJeXDdTSfvRhhECCCNi74vmzLFQixjpump</t>
        </is>
      </c>
      <c r="P27" s="21">
        <f>HYPERLINK("https://dexscreener.com/solana/9wBdGejMb6UJeXDdTSfvRhhECCCNi74vmzLFQixjpump", "View")</f>
        <v/>
      </c>
    </row>
    <row r="28">
      <c r="A28" s="16" t="inlineStr">
        <is>
          <t>LUNIX</t>
        </is>
      </c>
      <c r="B28" s="17" t="n">
        <v>8672520</v>
      </c>
      <c r="C28" s="17" t="n">
        <v>8672520</v>
      </c>
      <c r="D28" s="17" t="inlineStr">
        <is>
          <t>0.320020</t>
        </is>
      </c>
      <c r="E28" s="17" t="inlineStr">
        <is>
          <t>1.329 SOL</t>
        </is>
      </c>
      <c r="F28" s="17" t="inlineStr">
        <is>
          <t>6.698 SOL</t>
        </is>
      </c>
      <c r="G28" s="24" t="inlineStr">
        <is>
          <t>5.049 SOL</t>
        </is>
      </c>
      <c r="H28" s="24" t="inlineStr">
        <is>
          <t>306.12%</t>
        </is>
      </c>
      <c r="I28" s="17" t="inlineStr">
        <is>
          <t>N/A</t>
        </is>
      </c>
      <c r="J28" s="17" t="n">
        <v>1</v>
      </c>
      <c r="K28" s="17" t="n">
        <v>3</v>
      </c>
      <c r="L28" s="17" t="inlineStr">
        <is>
          <t>28.10.2024 15:35:49</t>
        </is>
      </c>
      <c r="M28" s="17" t="inlineStr">
        <is>
          <t>6 min</t>
        </is>
      </c>
      <c r="N28" s="17" t="inlineStr">
        <is>
          <t xml:space="preserve">         12K            53K             7K</t>
        </is>
      </c>
      <c r="O28" s="17" t="inlineStr">
        <is>
          <t>2vuTTsSqRjjDcozauGTXcUYR3a7GVJsnKMcMLpxjpump</t>
        </is>
      </c>
      <c r="P28" s="17">
        <f>HYPERLINK("https://photon-sol.tinyastro.io/en/lp/2vuTTsSqRjjDcozauGTXcUYR3a7GVJsnKMcMLpxjpump?handle=676050794bc1b1657a56b", "View")</f>
        <v/>
      </c>
    </row>
    <row r="29">
      <c r="A29" s="20" t="inlineStr">
        <is>
          <t>LUNIX</t>
        </is>
      </c>
      <c r="B29" s="21" t="n">
        <v>7843901</v>
      </c>
      <c r="C29" s="21" t="n">
        <v>7843901</v>
      </c>
      <c r="D29" s="21" t="inlineStr">
        <is>
          <t>0.240010</t>
        </is>
      </c>
      <c r="E29" s="21" t="inlineStr">
        <is>
          <t>0.592 SOL</t>
        </is>
      </c>
      <c r="F29" s="21" t="inlineStr">
        <is>
          <t>5.670 SOL</t>
        </is>
      </c>
      <c r="G29" s="24" t="inlineStr">
        <is>
          <t>4.838 SOL</t>
        </is>
      </c>
      <c r="H29" s="24" t="inlineStr">
        <is>
          <t>581.50%</t>
        </is>
      </c>
      <c r="I29" s="21" t="inlineStr">
        <is>
          <t>N/A</t>
        </is>
      </c>
      <c r="J29" s="21" t="n">
        <v>1</v>
      </c>
      <c r="K29" s="21" t="n">
        <v>2</v>
      </c>
      <c r="L29" s="21" t="inlineStr">
        <is>
          <t>28.10.2024 15:16:17</t>
        </is>
      </c>
      <c r="M29" s="21" t="inlineStr">
        <is>
          <t>8 min</t>
        </is>
      </c>
      <c r="N29" s="21" t="inlineStr">
        <is>
          <t xml:space="preserve">         14K           130K             4K</t>
        </is>
      </c>
      <c r="O29" s="21" t="inlineStr">
        <is>
          <t>DsDzFKro1PRxCX2CAuAKaYuc9uHRhmgtbrYLwWa3pump</t>
        </is>
      </c>
      <c r="P29" s="21">
        <f>HYPERLINK("https://photon-sol.tinyastro.io/en/lp/DsDzFKro1PRxCX2CAuAKaYuc9uHRhmgtbrYLwWa3pump?handle=676050794bc1b1657a56b", "View")</f>
        <v/>
      </c>
    </row>
    <row r="30">
      <c r="A30" s="16" t="inlineStr">
        <is>
          <t>LIZZERD</t>
        </is>
      </c>
      <c r="B30" s="17" t="n">
        <v>3387378</v>
      </c>
      <c r="C30" s="17" t="n">
        <v>3387378</v>
      </c>
      <c r="D30" s="17" t="inlineStr">
        <is>
          <t>0.220010</t>
        </is>
      </c>
      <c r="E30" s="17" t="inlineStr">
        <is>
          <t>0.796 SOL</t>
        </is>
      </c>
      <c r="F30" s="17" t="inlineStr">
        <is>
          <t>0.191 SOL</t>
        </is>
      </c>
      <c r="G30" s="23" t="inlineStr">
        <is>
          <t>-0.824 SOL</t>
        </is>
      </c>
      <c r="H30" s="23" t="inlineStr">
        <is>
          <t>-81.17%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27.10.2024 14:32:10</t>
        </is>
      </c>
      <c r="M30" s="17" t="inlineStr">
        <is>
          <t>23 min</t>
        </is>
      </c>
      <c r="N30" s="17" t="inlineStr">
        <is>
          <t xml:space="preserve">         40K            11K             4K</t>
        </is>
      </c>
      <c r="O30" s="17" t="inlineStr">
        <is>
          <t>7FisD5QTeFBCd2vbAVs5PQ89vefLqz9Qhaqja6XRpump</t>
        </is>
      </c>
      <c r="P30" s="17">
        <f>HYPERLINK("https://photon-sol.tinyastro.io/en/lp/7FisD5QTeFBCd2vbAVs5PQ89vefLqz9Qhaqja6XRpump?handle=676050794bc1b1657a56b", "View")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HYPERLINK("https://gmgn.ai/sol/address/7ApjVzSa4eWsH7hi5aCwPjbo1k2cw9unV2vy4VQZuL7K", "GMGN")</f>
        <v/>
      </c>
    </row>
    <row r="2">
      <c r="A2" s="3" t="inlineStr">
        <is>
          <t>7ApjVzSa4eWsH7hi5aCwPjbo1k2cw9unV2vy4VQZuL7K</t>
        </is>
      </c>
      <c r="B2" s="3" t="inlineStr">
        <is>
          <t>9.44 SOL</t>
        </is>
      </c>
      <c r="C2" s="3" t="inlineStr">
        <is>
          <t>78%</t>
        </is>
      </c>
      <c r="D2" s="3" t="inlineStr">
        <is>
          <t>125%</t>
        </is>
      </c>
      <c r="E2" s="3" t="inlineStr">
        <is>
          <t>9.27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1</v>
      </c>
      <c r="N2" s="3">
        <f>HYPERLINK("https://solscan.io/account/7ApjVzSa4eWsH7hi5aCwPjbo1k2cw9unV2vy4VQZuL7K", "Solscan")</f>
        <v/>
      </c>
    </row>
    <row r="3">
      <c r="A3" s="7" t="inlineStr">
        <is>
          <t>Median ROI</t>
        </is>
      </c>
      <c r="B3" s="4" t="inlineStr">
        <is>
          <t>51.11%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HYPERLINK("https://birdeye.so/profile/7ApjVzSa4eWsH7hi5aCwPjbo1k2cw9unV2vy4VQZuL7K", "Birdeye")</f>
        <v/>
      </c>
    </row>
    <row r="4">
      <c r="A4" s="7" t="inlineStr">
        <is>
          <t>Rockets percent</t>
        </is>
      </c>
      <c r="B4" s="3" t="inlineStr">
        <is>
          <t>22%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3</v>
      </c>
      <c r="E10" s="7" t="n">
        <v>2</v>
      </c>
      <c r="F10" s="7" t="n">
        <v>1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11.1%</t>
        </is>
      </c>
      <c r="C11" s="7" t="inlineStr">
        <is>
          <t>11.1%</t>
        </is>
      </c>
      <c r="D11" s="7" t="inlineStr">
        <is>
          <t>33.3%</t>
        </is>
      </c>
      <c r="E11" s="7" t="inlineStr">
        <is>
          <t>22.2%</t>
        </is>
      </c>
      <c r="F11" s="7" t="inlineStr">
        <is>
          <t>11.1%</t>
        </is>
      </c>
      <c r="G11" s="7" t="inlineStr">
        <is>
          <t>11.1%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6.6 SOL</t>
        </is>
      </c>
      <c r="C12" s="7" t="inlineStr">
        <is>
          <t>1.3 SOL</t>
        </is>
      </c>
      <c r="D12" s="7" t="inlineStr">
        <is>
          <t>1.7 SOL</t>
        </is>
      </c>
      <c r="E12" s="7" t="inlineStr">
        <is>
          <t>0.0 SOL</t>
        </is>
      </c>
      <c r="F12" s="7" t="inlineStr">
        <is>
          <t>-0.2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0.666 SOL</t>
        </is>
      </c>
      <c r="F20" s="17" t="inlineStr">
        <is>
          <t>0.480 SOL</t>
        </is>
      </c>
      <c r="G20" s="25" t="inlineStr">
        <is>
          <t>-0.206 SOL</t>
        </is>
      </c>
      <c r="H20" s="25" t="inlineStr">
        <is>
          <t>-30.01%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17:34:58</t>
        </is>
      </c>
      <c r="M20" s="17" t="inlineStr">
        <is>
          <t>3 min</t>
        </is>
      </c>
      <c r="N20" s="17" t="inlineStr">
        <is>
          <t xml:space="preserve">         12K            12K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0.200100</t>
        </is>
      </c>
      <c r="E21" s="21" t="inlineStr">
        <is>
          <t>0.805 SOL</t>
        </is>
      </c>
      <c r="F21" s="21" t="inlineStr">
        <is>
          <t>1.519 SOL</t>
        </is>
      </c>
      <c r="G21" s="24" t="inlineStr">
        <is>
          <t>0.514 SOL</t>
        </is>
      </c>
      <c r="H21" s="24" t="inlineStr">
        <is>
          <t>51.11%</t>
        </is>
      </c>
      <c r="I21" s="21" t="inlineStr">
        <is>
          <t>N/A</t>
        </is>
      </c>
      <c r="J21" s="21" t="n">
        <v>1</v>
      </c>
      <c r="K21" s="21" t="n">
        <v>19</v>
      </c>
      <c r="L21" s="21" t="inlineStr">
        <is>
          <t>30.10.2024 13:20:51</t>
        </is>
      </c>
      <c r="M21" s="21" t="inlineStr">
        <is>
          <t>4 min</t>
        </is>
      </c>
      <c r="N21" s="21" t="inlineStr">
        <is>
          <t xml:space="preserve">         16K            16K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10163367</v>
      </c>
      <c r="C22" s="17" t="n">
        <v>10163367</v>
      </c>
      <c r="D22" s="17" t="inlineStr">
        <is>
          <t>0.130060</t>
        </is>
      </c>
      <c r="E22" s="17" t="inlineStr">
        <is>
          <t>0.433 SOL</t>
        </is>
      </c>
      <c r="F22" s="17" t="inlineStr">
        <is>
          <t>1.827 SOL</t>
        </is>
      </c>
      <c r="G22" s="24" t="inlineStr">
        <is>
          <t>1.264 SOL</t>
        </is>
      </c>
      <c r="H22" s="24" t="inlineStr">
        <is>
          <t>224.57%</t>
        </is>
      </c>
      <c r="I22" s="17" t="inlineStr">
        <is>
          <t>N/A</t>
        </is>
      </c>
      <c r="J22" s="17" t="n">
        <v>1</v>
      </c>
      <c r="K22" s="17" t="n">
        <v>12</v>
      </c>
      <c r="L22" s="17" t="inlineStr">
        <is>
          <t>30.10.2024 06:27:41</t>
        </is>
      </c>
      <c r="M22" s="17" t="inlineStr">
        <is>
          <t>6 min</t>
        </is>
      </c>
      <c r="N22" s="17" t="inlineStr">
        <is>
          <t xml:space="preserve">          7K            16K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Torin</t>
        </is>
      </c>
      <c r="B23" s="21" t="n">
        <v>8831328</v>
      </c>
      <c r="C23" s="21" t="n">
        <v>8831328</v>
      </c>
      <c r="D23" s="21" t="inlineStr">
        <is>
          <t>0.640320</t>
        </is>
      </c>
      <c r="E23" s="21" t="inlineStr">
        <is>
          <t>0.377 SOL</t>
        </is>
      </c>
      <c r="F23" s="21" t="inlineStr">
        <is>
          <t>7.657 SOL</t>
        </is>
      </c>
      <c r="G23" s="24" t="inlineStr">
        <is>
          <t>6.640 SOL</t>
        </is>
      </c>
      <c r="H23" s="24" t="inlineStr">
        <is>
          <t>652.74%</t>
        </is>
      </c>
      <c r="I23" s="21" t="inlineStr">
        <is>
          <t>N/A</t>
        </is>
      </c>
      <c r="J23" s="21" t="n">
        <v>1</v>
      </c>
      <c r="K23" s="21" t="n">
        <v>63</v>
      </c>
      <c r="L23" s="21" t="inlineStr">
        <is>
          <t>30.10.2024 06:17:46</t>
        </is>
      </c>
      <c r="M23" s="21" t="inlineStr">
        <is>
          <t>7 min</t>
        </is>
      </c>
      <c r="N23" s="21" t="inlineStr">
        <is>
          <t xml:space="preserve">          7K           102K             7K</t>
        </is>
      </c>
      <c r="O23" s="21" t="inlineStr">
        <is>
          <t>ALKTKLRTyF3P83KMCAvGEtY4CsoMzvh1k38uixCgpump</t>
        </is>
      </c>
      <c r="P23" s="21">
        <f>HYPERLINK("https://photon-sol.tinyastro.io/en/lp/ALKTKLRTyF3P83KMCAvGEtY4CsoMzvh1k38uixCgpump?handle=676050794bc1b1657a56b", "View")</f>
        <v/>
      </c>
    </row>
    <row r="24">
      <c r="A24" s="16" t="inlineStr">
        <is>
          <t>Butters</t>
        </is>
      </c>
      <c r="B24" s="17" t="n">
        <v>7929767</v>
      </c>
      <c r="C24" s="17" t="n">
        <v>7929767</v>
      </c>
      <c r="D24" s="17" t="inlineStr">
        <is>
          <t>0.020010</t>
        </is>
      </c>
      <c r="E24" s="17" t="inlineStr">
        <is>
          <t>0.630 SOL</t>
        </is>
      </c>
      <c r="F24" s="17" t="inlineStr">
        <is>
          <t>1.006 SOL</t>
        </is>
      </c>
      <c r="G24" s="24" t="inlineStr">
        <is>
          <t>0.356 SOL</t>
        </is>
      </c>
      <c r="H24" s="24" t="inlineStr">
        <is>
          <t>54.68%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18:24:57</t>
        </is>
      </c>
      <c r="M24" s="17" t="inlineStr">
        <is>
          <t>7 min</t>
        </is>
      </c>
      <c r="N24" s="17" t="inlineStr">
        <is>
          <t xml:space="preserve">         14K            23K             4K</t>
        </is>
      </c>
      <c r="O24" s="17" t="inlineStr">
        <is>
          <t>BFc3G2JaqZA3eCJzWiSMhGZp7aXwonXETtr2Nudppump</t>
        </is>
      </c>
      <c r="P24" s="17">
        <f>HYPERLINK("https://photon-sol.tinyastro.io/en/lp/BFc3G2JaqZA3eCJzWiSMhGZp7aXwonXETtr2Nudppump?handle=676050794bc1b1657a56b", "View")</f>
        <v/>
      </c>
    </row>
    <row r="25">
      <c r="A25" s="20" t="inlineStr">
        <is>
          <t>Nina</t>
        </is>
      </c>
      <c r="B25" s="21" t="n">
        <v>11778199</v>
      </c>
      <c r="C25" s="21" t="n">
        <v>11778199</v>
      </c>
      <c r="D25" s="21" t="inlineStr">
        <is>
          <t>0.020010</t>
        </is>
      </c>
      <c r="E25" s="21" t="inlineStr">
        <is>
          <t>0.862 SOL</t>
        </is>
      </c>
      <c r="F25" s="21" t="inlineStr">
        <is>
          <t>0.910 SOL</t>
        </is>
      </c>
      <c r="G25" s="22" t="inlineStr">
        <is>
          <t>0.028 SOL</t>
        </is>
      </c>
      <c r="H25" s="22" t="inlineStr">
        <is>
          <t>3.17%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15:46:54</t>
        </is>
      </c>
      <c r="M25" s="21" t="inlineStr">
        <is>
          <t>4 min</t>
        </is>
      </c>
      <c r="N25" s="21" t="inlineStr">
        <is>
          <t xml:space="preserve">         12K            14K             5K</t>
        </is>
      </c>
      <c r="O25" s="21" t="inlineStr">
        <is>
          <t>CDkwBE7pPovZLJC2KxM7jvWXkyygR1Y1u2R7f6hmpump</t>
        </is>
      </c>
      <c r="P25" s="21">
        <f>HYPERLINK("https://photon-sol.tinyastro.io/en/lp/CDkwBE7pPovZLJC2KxM7jvWXkyygR1Y1u2R7f6hmpump?handle=676050794bc1b1657a56b", "View")</f>
        <v/>
      </c>
    </row>
    <row r="26">
      <c r="A26" s="16" t="inlineStr">
        <is>
          <t>MOLANG</t>
        </is>
      </c>
      <c r="B26" s="17" t="n">
        <v>6064798</v>
      </c>
      <c r="C26" s="17" t="n">
        <v>6064798</v>
      </c>
      <c r="D26" s="17" t="inlineStr">
        <is>
          <t>0.320030</t>
        </is>
      </c>
      <c r="E26" s="17" t="inlineStr">
        <is>
          <t>1.078 SOL</t>
        </is>
      </c>
      <c r="F26" s="17" t="inlineStr">
        <is>
          <t>1.404 SOL</t>
        </is>
      </c>
      <c r="G26" s="22" t="inlineStr">
        <is>
          <t>0.006 SOL</t>
        </is>
      </c>
      <c r="H26" s="22" t="inlineStr">
        <is>
          <t>0.46%</t>
        </is>
      </c>
      <c r="I26" s="17" t="inlineStr">
        <is>
          <t>N/A</t>
        </is>
      </c>
      <c r="J26" s="17" t="n">
        <v>3</v>
      </c>
      <c r="K26" s="17" t="n">
        <v>2</v>
      </c>
      <c r="L26" s="17" t="inlineStr">
        <is>
          <t>29.10.2024 14:48:15</t>
        </is>
      </c>
      <c r="M26" s="17" t="inlineStr">
        <is>
          <t>11 min</t>
        </is>
      </c>
      <c r="N26" s="17" t="inlineStr">
        <is>
          <t xml:space="preserve">         21K            32K             4K</t>
        </is>
      </c>
      <c r="O26" s="17" t="inlineStr">
        <is>
          <t>BPFXTGBjoARa89gbSvbp7Dy6cQwgGc7efW1jE8nTpump</t>
        </is>
      </c>
      <c r="P26" s="17">
        <f>HYPERLINK("https://photon-sol.tinyastro.io/en/lp/BPFXTGBjoARa89gbSvbp7Dy6cQwgGc7efW1jE8nTpump?handle=676050794bc1b1657a56b", "View")</f>
        <v/>
      </c>
    </row>
    <row r="27">
      <c r="A27" s="20" t="inlineStr">
        <is>
          <t>Trina</t>
        </is>
      </c>
      <c r="B27" s="21" t="n">
        <v>11384893</v>
      </c>
      <c r="C27" s="21" t="n">
        <v>11384893</v>
      </c>
      <c r="D27" s="21" t="inlineStr">
        <is>
          <t>0.410160</t>
        </is>
      </c>
      <c r="E27" s="21" t="inlineStr">
        <is>
          <t>0.593 SOL</t>
        </is>
      </c>
      <c r="F27" s="21" t="inlineStr">
        <is>
          <t>1.796 SOL</t>
        </is>
      </c>
      <c r="G27" s="24" t="inlineStr">
        <is>
          <t>0.793 SOL</t>
        </is>
      </c>
      <c r="H27" s="24" t="inlineStr">
        <is>
          <t>79.09%</t>
        </is>
      </c>
      <c r="I27" s="21" t="inlineStr">
        <is>
          <t>N/A</t>
        </is>
      </c>
      <c r="J27" s="21" t="n">
        <v>1</v>
      </c>
      <c r="K27" s="21" t="n">
        <v>31</v>
      </c>
      <c r="L27" s="21" t="inlineStr">
        <is>
          <t>29.10.2024 13:33:33</t>
        </is>
      </c>
      <c r="M27" s="21" t="inlineStr">
        <is>
          <t>9 min</t>
        </is>
      </c>
      <c r="N27" s="21" t="inlineStr">
        <is>
          <t xml:space="preserve">          9K            14K             4K</t>
        </is>
      </c>
      <c r="O27" s="21" t="inlineStr">
        <is>
          <t>DirQ7FDi1C5SZCy8ai1GTSvnm9o8MDf9s4C4cExzpump</t>
        </is>
      </c>
      <c r="P27" s="21">
        <f>HYPERLINK("https://photon-sol.tinyastro.io/en/lp/DirQ7FDi1C5SZCy8ai1GTSvnm9o8MDf9s4C4cExzpump?handle=676050794bc1b1657a56b", "View")</f>
        <v/>
      </c>
    </row>
    <row r="28">
      <c r="A28" s="16" t="inlineStr">
        <is>
          <t>Trina</t>
        </is>
      </c>
      <c r="B28" s="17" t="n">
        <v>585788</v>
      </c>
      <c r="C28" s="17" t="n">
        <v>585788</v>
      </c>
      <c r="D28" s="17" t="inlineStr">
        <is>
          <t>0.110010</t>
        </is>
      </c>
      <c r="E28" s="17" t="inlineStr">
        <is>
          <t>0.131 SOL</t>
        </is>
      </c>
      <c r="F28" s="17" t="inlineStr">
        <is>
          <t>0.114 SOL</t>
        </is>
      </c>
      <c r="G28" s="23" t="inlineStr">
        <is>
          <t>-0.127 SOL</t>
        </is>
      </c>
      <c r="H28" s="23" t="inlineStr">
        <is>
          <t>-52.86%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13:22:14</t>
        </is>
      </c>
      <c r="M28" s="17" t="inlineStr">
        <is>
          <t>8 min</t>
        </is>
      </c>
      <c r="N28" s="17" t="inlineStr">
        <is>
          <t xml:space="preserve">         39K            33K             5K</t>
        </is>
      </c>
      <c r="O28" s="17" t="inlineStr">
        <is>
          <t>CsT44i2W2MWp23WQ2EqjorxZVVzuN4niw1cj1Qr5pump</t>
        </is>
      </c>
      <c r="P28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HYPERLINK("https://gmgn.ai/sol/address/77AeyLRLcrFb195Qve1bUxFHWYVVvGRQDLmNpSnrpfJP", "GMGN")</f>
        <v/>
      </c>
    </row>
    <row r="2">
      <c r="A2" s="3" t="inlineStr">
        <is>
          <t>77AeyLRLcrFb195Qve1bUxFHWYVVvGRQDLmNpSnrpfJP</t>
        </is>
      </c>
      <c r="B2" s="3" t="inlineStr">
        <is>
          <t>9.88 SOL</t>
        </is>
      </c>
      <c r="C2" s="3" t="inlineStr">
        <is>
          <t>78%</t>
        </is>
      </c>
      <c r="D2" s="3" t="inlineStr">
        <is>
          <t>150%</t>
        </is>
      </c>
      <c r="E2" s="3" t="inlineStr">
        <is>
          <t>9.73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HYPERLINK("https://solscan.io/account/77AeyLRLcrFb195Qve1bUxFHWYVVvGRQDLmNpSnrpfJP", "Solscan")</f>
        <v/>
      </c>
    </row>
    <row r="3">
      <c r="A3" s="7" t="inlineStr">
        <is>
          <t>Median ROI</t>
        </is>
      </c>
      <c r="B3" s="4" t="inlineStr">
        <is>
          <t>34.83%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HYPERLINK("https://birdeye.so/profile/77AeyLRLcrFb195Qve1bUxFHWYVVvGRQDLmNpSnrpfJP", "Birdeye")</f>
        <v/>
      </c>
    </row>
    <row r="4">
      <c r="A4" s="7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2</v>
      </c>
      <c r="D10" s="7" t="n">
        <v>1</v>
      </c>
      <c r="E10" s="7" t="n">
        <v>3</v>
      </c>
      <c r="F10" s="7" t="n">
        <v>1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11.1%</t>
        </is>
      </c>
      <c r="C11" s="7" t="inlineStr">
        <is>
          <t>22.2%</t>
        </is>
      </c>
      <c r="D11" s="7" t="inlineStr">
        <is>
          <t>11.1%</t>
        </is>
      </c>
      <c r="E11" s="7" t="inlineStr">
        <is>
          <t>33.3%</t>
        </is>
      </c>
      <c r="F11" s="7" t="inlineStr">
        <is>
          <t>11.1%</t>
        </is>
      </c>
      <c r="G11" s="7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6.7 SOL</t>
        </is>
      </c>
      <c r="C12" s="7" t="inlineStr">
        <is>
          <t>2.1 SOL</t>
        </is>
      </c>
      <c r="D12" s="7" t="inlineStr">
        <is>
          <t>1.1 SOL</t>
        </is>
      </c>
      <c r="E12" s="7" t="inlineStr">
        <is>
          <t>0.3 SOL</t>
        </is>
      </c>
      <c r="F12" s="7" t="inlineStr">
        <is>
          <t>-0.3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0.467 SOL</t>
        </is>
      </c>
      <c r="F20" s="17" t="inlineStr">
        <is>
          <t>0.657 SOL</t>
        </is>
      </c>
      <c r="G20" s="22" t="inlineStr">
        <is>
          <t>0.170 SOL</t>
        </is>
      </c>
      <c r="H20" s="22" t="inlineStr">
        <is>
          <t>34.83%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17:34:53</t>
        </is>
      </c>
      <c r="M20" s="17" t="inlineStr">
        <is>
          <t>3 min</t>
        </is>
      </c>
      <c r="N20" s="17" t="inlineStr">
        <is>
          <t xml:space="preserve">          9K            12K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0.190090</t>
        </is>
      </c>
      <c r="E21" s="21" t="inlineStr">
        <is>
          <t>0.448 SOL</t>
        </is>
      </c>
      <c r="F21" s="21" t="inlineStr">
        <is>
          <t>1.509 SOL</t>
        </is>
      </c>
      <c r="G21" s="24" t="inlineStr">
        <is>
          <t>0.872 SOL</t>
        </is>
      </c>
      <c r="H21" s="24" t="inlineStr">
        <is>
          <t>136.71%</t>
        </is>
      </c>
      <c r="I21" s="21" t="inlineStr">
        <is>
          <t>N/A</t>
        </is>
      </c>
      <c r="J21" s="21" t="n">
        <v>1</v>
      </c>
      <c r="K21" s="21" t="n">
        <v>18</v>
      </c>
      <c r="L21" s="21" t="inlineStr">
        <is>
          <t>30.10.2024 13:20:50</t>
        </is>
      </c>
      <c r="M21" s="21" t="inlineStr">
        <is>
          <t>4 min</t>
        </is>
      </c>
      <c r="N21" s="21" t="inlineStr">
        <is>
          <t xml:space="preserve">          9K             9K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10163367</v>
      </c>
      <c r="C22" s="17" t="n">
        <v>10163367</v>
      </c>
      <c r="D22" s="17" t="inlineStr">
        <is>
          <t>0.130060</t>
        </is>
      </c>
      <c r="E22" s="17" t="inlineStr">
        <is>
          <t>0.508 SOL</t>
        </is>
      </c>
      <c r="F22" s="17" t="inlineStr">
        <is>
          <t>1.834 SOL</t>
        </is>
      </c>
      <c r="G22" s="24" t="inlineStr">
        <is>
          <t>1.196 SOL</t>
        </is>
      </c>
      <c r="H22" s="24" t="inlineStr">
        <is>
          <t>187.51%</t>
        </is>
      </c>
      <c r="I22" s="17" t="inlineStr">
        <is>
          <t>N/A</t>
        </is>
      </c>
      <c r="J22" s="17" t="n">
        <v>1</v>
      </c>
      <c r="K22" s="17" t="n">
        <v>12</v>
      </c>
      <c r="L22" s="17" t="inlineStr">
        <is>
          <t>30.10.2024 06:27:36</t>
        </is>
      </c>
      <c r="M22" s="17" t="inlineStr">
        <is>
          <t>6 min</t>
        </is>
      </c>
      <c r="N22" s="17" t="inlineStr">
        <is>
          <t xml:space="preserve">          9K            16K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Torin</t>
        </is>
      </c>
      <c r="B23" s="21" t="n">
        <v>8831328</v>
      </c>
      <c r="C23" s="21" t="n">
        <v>8831328</v>
      </c>
      <c r="D23" s="21" t="inlineStr">
        <is>
          <t>0.620310</t>
        </is>
      </c>
      <c r="E23" s="21" t="inlineStr">
        <is>
          <t>0.415 SOL</t>
        </is>
      </c>
      <c r="F23" s="21" t="inlineStr">
        <is>
          <t>7.700 SOL</t>
        </is>
      </c>
      <c r="G23" s="24" t="inlineStr">
        <is>
          <t>6.665 SOL</t>
        </is>
      </c>
      <c r="H23" s="24" t="inlineStr">
        <is>
          <t>643.52%</t>
        </is>
      </c>
      <c r="I23" s="21" t="inlineStr">
        <is>
          <t>N/A</t>
        </is>
      </c>
      <c r="J23" s="21" t="n">
        <v>1</v>
      </c>
      <c r="K23" s="21" t="n">
        <v>61</v>
      </c>
      <c r="L23" s="21" t="inlineStr">
        <is>
          <t>30.10.2024 06:17:46</t>
        </is>
      </c>
      <c r="M23" s="21" t="inlineStr">
        <is>
          <t>7 min</t>
        </is>
      </c>
      <c r="N23" s="21" t="inlineStr">
        <is>
          <t xml:space="preserve">          9K           100K             7K</t>
        </is>
      </c>
      <c r="O23" s="21" t="inlineStr">
        <is>
          <t>ALKTKLRTyF3P83KMCAvGEtY4CsoMzvh1k38uixCgpump</t>
        </is>
      </c>
      <c r="P23" s="21">
        <f>HYPERLINK("https://photon-sol.tinyastro.io/en/lp/ALKTKLRTyF3P83KMCAvGEtY4CsoMzvh1k38uixCgpump?handle=676050794bc1b1657a56b", "View")</f>
        <v/>
      </c>
    </row>
    <row r="24">
      <c r="A24" s="16" t="inlineStr">
        <is>
          <t>Butters</t>
        </is>
      </c>
      <c r="B24" s="17" t="n">
        <v>7929767</v>
      </c>
      <c r="C24" s="17" t="n">
        <v>7929767</v>
      </c>
      <c r="D24" s="17" t="inlineStr">
        <is>
          <t>0.020010</t>
        </is>
      </c>
      <c r="E24" s="17" t="inlineStr">
        <is>
          <t>0.532 SOL</t>
        </is>
      </c>
      <c r="F24" s="17" t="inlineStr">
        <is>
          <t>0.554 SOL</t>
        </is>
      </c>
      <c r="G24" s="22" t="inlineStr">
        <is>
          <t>0.001 SOL</t>
        </is>
      </c>
      <c r="H24" s="22" t="inlineStr">
        <is>
          <t>0.23%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18:25:22</t>
        </is>
      </c>
      <c r="M24" s="17" t="inlineStr">
        <is>
          <t>8 min</t>
        </is>
      </c>
      <c r="N24" s="17" t="inlineStr">
        <is>
          <t xml:space="preserve">         12K            12K             4K</t>
        </is>
      </c>
      <c r="O24" s="17" t="inlineStr">
        <is>
          <t>BFc3G2JaqZA3eCJzWiSMhGZp7aXwonXETtr2Nudppump</t>
        </is>
      </c>
      <c r="P24" s="17">
        <f>HYPERLINK("https://photon-sol.tinyastro.io/en/lp/BFc3G2JaqZA3eCJzWiSMhGZp7aXwonXETtr2Nudppump?handle=676050794bc1b1657a56b", "View")</f>
        <v/>
      </c>
    </row>
    <row r="25">
      <c r="A25" s="20" t="inlineStr">
        <is>
          <t>Nina</t>
        </is>
      </c>
      <c r="B25" s="21" t="n">
        <v>11778199</v>
      </c>
      <c r="C25" s="21" t="n">
        <v>11778199</v>
      </c>
      <c r="D25" s="21" t="inlineStr">
        <is>
          <t>0.020010</t>
        </is>
      </c>
      <c r="E25" s="21" t="inlineStr">
        <is>
          <t>0.957 SOL</t>
        </is>
      </c>
      <c r="F25" s="21" t="inlineStr">
        <is>
          <t>1.110 SOL</t>
        </is>
      </c>
      <c r="G25" s="22" t="inlineStr">
        <is>
          <t>0.133 SOL</t>
        </is>
      </c>
      <c r="H25" s="22" t="inlineStr">
        <is>
          <t>13.57%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15:46:54</t>
        </is>
      </c>
      <c r="M25" s="21" t="inlineStr">
        <is>
          <t>4 min</t>
        </is>
      </c>
      <c r="N25" s="21" t="inlineStr">
        <is>
          <t xml:space="preserve">         14K            16K             5K</t>
        </is>
      </c>
      <c r="O25" s="21" t="inlineStr">
        <is>
          <t>CDkwBE7pPovZLJC2KxM7jvWXkyygR1Y1u2R7f6hmpump</t>
        </is>
      </c>
      <c r="P25" s="21">
        <f>HYPERLINK("https://photon-sol.tinyastro.io/en/lp/CDkwBE7pPovZLJC2KxM7jvWXkyygR1Y1u2R7f6hmpump?handle=676050794bc1b1657a56b", "View")</f>
        <v/>
      </c>
    </row>
    <row r="26">
      <c r="A26" s="16" t="inlineStr">
        <is>
          <t>MOLANG</t>
        </is>
      </c>
      <c r="B26" s="17" t="n">
        <v>1793028</v>
      </c>
      <c r="C26" s="17" t="n">
        <v>1793028</v>
      </c>
      <c r="D26" s="17" t="inlineStr">
        <is>
          <t>0.220020</t>
        </is>
      </c>
      <c r="E26" s="17" t="inlineStr">
        <is>
          <t>0.545 SOL</t>
        </is>
      </c>
      <c r="F26" s="17" t="inlineStr">
        <is>
          <t>0.480 SOL</t>
        </is>
      </c>
      <c r="G26" s="25" t="inlineStr">
        <is>
          <t>-0.286 SOL</t>
        </is>
      </c>
      <c r="H26" s="25" t="inlineStr">
        <is>
          <t>-37.35%</t>
        </is>
      </c>
      <c r="I26" s="17" t="inlineStr">
        <is>
          <t>N/A</t>
        </is>
      </c>
      <c r="J26" s="17" t="n">
        <v>2</v>
      </c>
      <c r="K26" s="17" t="n">
        <v>2</v>
      </c>
      <c r="L26" s="17" t="inlineStr">
        <is>
          <t>29.10.2024 14:48:15</t>
        </is>
      </c>
      <c r="M26" s="17" t="inlineStr">
        <is>
          <t>10 min</t>
        </is>
      </c>
      <c r="N26" s="17" t="inlineStr">
        <is>
          <t xml:space="preserve">         56K            32K             4K</t>
        </is>
      </c>
      <c r="O26" s="17" t="inlineStr">
        <is>
          <t>BPFXTGBjoARa89gbSvbp7Dy6cQwgGc7efW1jE8nTpump</t>
        </is>
      </c>
      <c r="P26" s="17">
        <f>HYPERLINK("https://photon-sol.tinyastro.io/en/lp/BPFXTGBjoARa89gbSvbp7Dy6cQwgGc7efW1jE8nTpump?handle=676050794bc1b1657a56b", "View")</f>
        <v/>
      </c>
    </row>
    <row r="27">
      <c r="A27" s="20" t="inlineStr">
        <is>
          <t>Trina</t>
        </is>
      </c>
      <c r="B27" s="21" t="n">
        <v>11384893</v>
      </c>
      <c r="C27" s="21" t="n">
        <v>11384893</v>
      </c>
      <c r="D27" s="21" t="inlineStr">
        <is>
          <t>0.470190</t>
        </is>
      </c>
      <c r="E27" s="21" t="inlineStr">
        <is>
          <t>0.695 SOL</t>
        </is>
      </c>
      <c r="F27" s="21" t="inlineStr">
        <is>
          <t>2.267 SOL</t>
        </is>
      </c>
      <c r="G27" s="24" t="inlineStr">
        <is>
          <t>1.101 SOL</t>
        </is>
      </c>
      <c r="H27" s="24" t="inlineStr">
        <is>
          <t>94.48%</t>
        </is>
      </c>
      <c r="I27" s="21" t="inlineStr">
        <is>
          <t>N/A</t>
        </is>
      </c>
      <c r="J27" s="21" t="n">
        <v>1</v>
      </c>
      <c r="K27" s="21" t="n">
        <v>37</v>
      </c>
      <c r="L27" s="21" t="inlineStr">
        <is>
          <t>29.10.2024 13:33:43</t>
        </is>
      </c>
      <c r="M27" s="21" t="inlineStr">
        <is>
          <t>10 min</t>
        </is>
      </c>
      <c r="N27" s="21" t="inlineStr">
        <is>
          <t xml:space="preserve">         11K            11K             4K</t>
        </is>
      </c>
      <c r="O27" s="21" t="inlineStr">
        <is>
          <t>DirQ7FDi1C5SZCy8ai1GTSvnm9o8MDf9s4C4cExzpump</t>
        </is>
      </c>
      <c r="P27" s="21">
        <f>HYPERLINK("https://photon-sol.tinyastro.io/en/lp/DirQ7FDi1C5SZCy8ai1GTSvnm9o8MDf9s4C4cExzpump?handle=676050794bc1b1657a56b", "View")</f>
        <v/>
      </c>
    </row>
    <row r="28">
      <c r="A28" s="16" t="inlineStr">
        <is>
          <t>Trina</t>
        </is>
      </c>
      <c r="B28" s="17" t="n">
        <v>585788</v>
      </c>
      <c r="C28" s="17" t="n">
        <v>585788</v>
      </c>
      <c r="D28" s="17" t="inlineStr">
        <is>
          <t>0.110010</t>
        </is>
      </c>
      <c r="E28" s="17" t="inlineStr">
        <is>
          <t>0.131 SOL</t>
        </is>
      </c>
      <c r="F28" s="17" t="inlineStr">
        <is>
          <t>0.119 SOL</t>
        </is>
      </c>
      <c r="G28" s="23" t="inlineStr">
        <is>
          <t>-0.122 SOL</t>
        </is>
      </c>
      <c r="H28" s="23" t="inlineStr">
        <is>
          <t>-50.61%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13:22:12</t>
        </is>
      </c>
      <c r="M28" s="17" t="inlineStr">
        <is>
          <t>8 min</t>
        </is>
      </c>
      <c r="N28" s="17" t="inlineStr">
        <is>
          <t xml:space="preserve">         39K            35K             5K</t>
        </is>
      </c>
      <c r="O28" s="17" t="inlineStr">
        <is>
          <t>CsT44i2W2MWp23WQ2EqjorxZVVzuN4niw1cj1Qr5pump</t>
        </is>
      </c>
      <c r="P28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HYPERLINK("https://gmgn.ai/sol/address/7BJk376WuRbWZ7DJRnxyJoYwwh5p6XAV3gySChMMQ4pi", "GMGN")</f>
        <v/>
      </c>
    </row>
    <row r="2">
      <c r="A2" s="3" t="inlineStr">
        <is>
          <t>7BJk376WuRbWZ7DJRnxyJoYwwh5p6XAV3gySChMMQ4pi</t>
        </is>
      </c>
      <c r="B2" s="3" t="inlineStr">
        <is>
          <t>10.04 SOL</t>
        </is>
      </c>
      <c r="C2" s="3" t="inlineStr">
        <is>
          <t>63%</t>
        </is>
      </c>
      <c r="D2" s="3" t="inlineStr">
        <is>
          <t>163%</t>
        </is>
      </c>
      <c r="E2" s="3" t="inlineStr">
        <is>
          <t>9.94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0</v>
      </c>
      <c r="N2" s="3">
        <f>HYPERLINK("https://solscan.io/account/7BJk376WuRbWZ7DJRnxyJoYwwh5p6XAV3gySChMMQ4pi", "Solscan")</f>
        <v/>
      </c>
    </row>
    <row r="3">
      <c r="A3" s="7" t="inlineStr">
        <is>
          <t>Median ROI</t>
        </is>
      </c>
      <c r="B3" s="4" t="inlineStr">
        <is>
          <t>96.72%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HYPERLINK("https://birdeye.so/profile/7BJk376WuRbWZ7DJRnxyJoYwwh5p6XAV3gySChMMQ4pi", "Birdeye")</f>
        <v/>
      </c>
    </row>
    <row r="4">
      <c r="A4" s="7" t="inlineStr">
        <is>
          <t>Rockets percent</t>
        </is>
      </c>
      <c r="B4" s="4" t="inlineStr">
        <is>
          <t>50%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3</v>
      </c>
      <c r="D10" s="7" t="n">
        <v>1</v>
      </c>
      <c r="E10" s="7" t="n">
        <v>0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37.5%</t>
        </is>
      </c>
      <c r="D11" s="7" t="inlineStr">
        <is>
          <t>12.5%</t>
        </is>
      </c>
      <c r="E11" s="7" t="inlineStr">
        <is>
          <t>0.0%</t>
        </is>
      </c>
      <c r="F11" s="7" t="inlineStr">
        <is>
          <t>25.0%</t>
        </is>
      </c>
      <c r="G11" s="7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6.7 SOL</t>
        </is>
      </c>
      <c r="C12" s="7" t="inlineStr">
        <is>
          <t>3.5 SOL</t>
        </is>
      </c>
      <c r="D12" s="7" t="inlineStr">
        <is>
          <t>0.4 SOL</t>
        </is>
      </c>
      <c r="E12" s="7" t="inlineStr">
        <is>
          <t>0.0 SOL</t>
        </is>
      </c>
      <c r="F12" s="7" t="inlineStr">
        <is>
          <t>-0.5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Liberty</t>
        </is>
      </c>
      <c r="B20" s="17" t="n">
        <v>8959841</v>
      </c>
      <c r="C20" s="17" t="n">
        <v>8959841</v>
      </c>
      <c r="D20" s="17" t="inlineStr">
        <is>
          <t>0.190090</t>
        </is>
      </c>
      <c r="E20" s="17" t="inlineStr">
        <is>
          <t>0.457 SOL</t>
        </is>
      </c>
      <c r="F20" s="17" t="inlineStr">
        <is>
          <t>1.475 SOL</t>
        </is>
      </c>
      <c r="G20" s="24" t="inlineStr">
        <is>
          <t>0.828 SOL</t>
        </is>
      </c>
      <c r="H20" s="24" t="inlineStr">
        <is>
          <t>127.88%</t>
        </is>
      </c>
      <c r="I20" s="17" t="inlineStr">
        <is>
          <t>N/A</t>
        </is>
      </c>
      <c r="J20" s="17" t="n">
        <v>1</v>
      </c>
      <c r="K20" s="17" t="n">
        <v>18</v>
      </c>
      <c r="L20" s="17" t="inlineStr">
        <is>
          <t>30.10.2024 13:20:51</t>
        </is>
      </c>
      <c r="M20" s="17" t="inlineStr">
        <is>
          <t>4 min</t>
        </is>
      </c>
      <c r="N20" s="17" t="inlineStr">
        <is>
          <t xml:space="preserve">          9K             9K             5K</t>
        </is>
      </c>
      <c r="O20" s="17" t="inlineStr">
        <is>
          <t>CqBmg5ZUoaPg5Yx5uAKYzpyRcXme2UpVmZ8U5iotpump</t>
        </is>
      </c>
      <c r="P20" s="17">
        <f>HYPERLINK("https://photon-sol.tinyastro.io/en/lp/CqBmg5ZUoaPg5Yx5uAKYzpyRcXme2UpVmZ8U5iotpump?handle=676050794bc1b1657a56b", "View")</f>
        <v/>
      </c>
    </row>
    <row r="21">
      <c r="A21" s="20" t="inlineStr">
        <is>
          <t>Torin</t>
        </is>
      </c>
      <c r="B21" s="21" t="n">
        <v>10163367</v>
      </c>
      <c r="C21" s="21" t="n">
        <v>10163367</v>
      </c>
      <c r="D21" s="21" t="inlineStr">
        <is>
          <t>0.140070</t>
        </is>
      </c>
      <c r="E21" s="21" t="inlineStr">
        <is>
          <t>0.657 SOL</t>
        </is>
      </c>
      <c r="F21" s="21" t="inlineStr">
        <is>
          <t>2.021 SOL</t>
        </is>
      </c>
      <c r="G21" s="24" t="inlineStr">
        <is>
          <t>1.224 SOL</t>
        </is>
      </c>
      <c r="H21" s="24" t="inlineStr">
        <is>
          <t>153.68%</t>
        </is>
      </c>
      <c r="I21" s="21" t="inlineStr">
        <is>
          <t>N/A</t>
        </is>
      </c>
      <c r="J21" s="21" t="n">
        <v>1</v>
      </c>
      <c r="K21" s="21" t="n">
        <v>13</v>
      </c>
      <c r="L21" s="21" t="inlineStr">
        <is>
          <t>30.10.2024 06:27:36</t>
        </is>
      </c>
      <c r="M21" s="21" t="inlineStr">
        <is>
          <t>6 min</t>
        </is>
      </c>
      <c r="N21" s="21" t="inlineStr">
        <is>
          <t xml:space="preserve">         11K            21K             3K</t>
        </is>
      </c>
      <c r="O21" s="21" t="inlineStr">
        <is>
          <t>HxdzGHd2jLF12UHjgFKCb6zMzgfqGnwRvwKweXmXpump</t>
        </is>
      </c>
      <c r="P21" s="21">
        <f>HYPERLINK("https://photon-sol.tinyastro.io/en/lp/HxdzGHd2jLF12UHjgFKCb6zMzgfqGnwRvwKweXmXpump?handle=676050794bc1b1657a56b",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0.650330</t>
        </is>
      </c>
      <c r="E22" s="17" t="inlineStr">
        <is>
          <t>0.636 SOL</t>
        </is>
      </c>
      <c r="F22" s="17" t="inlineStr">
        <is>
          <t>7.947 SOL</t>
        </is>
      </c>
      <c r="G22" s="24" t="inlineStr">
        <is>
          <t>6.661 SOL</t>
        </is>
      </c>
      <c r="H22" s="24" t="inlineStr">
        <is>
          <t>517.94%</t>
        </is>
      </c>
      <c r="I22" s="17" t="inlineStr">
        <is>
          <t>N/A</t>
        </is>
      </c>
      <c r="J22" s="17" t="n">
        <v>1</v>
      </c>
      <c r="K22" s="17" t="n">
        <v>64</v>
      </c>
      <c r="L22" s="17" t="inlineStr">
        <is>
          <t>30.10.2024 06:17:46</t>
        </is>
      </c>
      <c r="M22" s="17" t="inlineStr">
        <is>
          <t>7 min</t>
        </is>
      </c>
      <c r="N22" s="17" t="inlineStr">
        <is>
          <t xml:space="preserve">         12K           100K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Butters</t>
        </is>
      </c>
      <c r="B23" s="21" t="n">
        <v>7929767</v>
      </c>
      <c r="C23" s="21" t="n">
        <v>7929767</v>
      </c>
      <c r="D23" s="21" t="inlineStr">
        <is>
          <t>0.020010</t>
        </is>
      </c>
      <c r="E23" s="21" t="inlineStr">
        <is>
          <t>0.562 SOL</t>
        </is>
      </c>
      <c r="F23" s="21" t="inlineStr">
        <is>
          <t>0.963 SOL</t>
        </is>
      </c>
      <c r="G23" s="24" t="inlineStr">
        <is>
          <t>0.381 SOL</t>
        </is>
      </c>
      <c r="H23" s="24" t="inlineStr">
        <is>
          <t>65.55%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18:24:57</t>
        </is>
      </c>
      <c r="M23" s="21" t="inlineStr">
        <is>
          <t>7 min</t>
        </is>
      </c>
      <c r="N23" s="21" t="inlineStr">
        <is>
          <t xml:space="preserve">         12K            21K             4K</t>
        </is>
      </c>
      <c r="O23" s="21" t="inlineStr">
        <is>
          <t>BFc3G2JaqZA3eCJzWiSMhGZp7aXwonXETtr2Nudppump</t>
        </is>
      </c>
      <c r="P23" s="21">
        <f>HYPERLINK("https://photon-sol.tinyastro.io/en/lp/BFc3G2JaqZA3eCJzWiSMhGZp7aXwonXETtr2Nudppump?handle=676050794bc1b1657a56b", "View")</f>
        <v/>
      </c>
    </row>
    <row r="24">
      <c r="A24" s="16" t="inlineStr">
        <is>
          <t>Nina</t>
        </is>
      </c>
      <c r="B24" s="17" t="n">
        <v>11778199</v>
      </c>
      <c r="C24" s="17" t="n">
        <v>11778199</v>
      </c>
      <c r="D24" s="17" t="inlineStr">
        <is>
          <t>0.020010</t>
        </is>
      </c>
      <c r="E24" s="17" t="inlineStr">
        <is>
          <t>0.833 SOL</t>
        </is>
      </c>
      <c r="F24" s="17" t="inlineStr">
        <is>
          <t>0.679 SOL</t>
        </is>
      </c>
      <c r="G24" s="25" t="inlineStr">
        <is>
          <t>-0.174 SOL</t>
        </is>
      </c>
      <c r="H24" s="25" t="inlineStr">
        <is>
          <t>-20.40%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15:47:07</t>
        </is>
      </c>
      <c r="M24" s="17" t="inlineStr">
        <is>
          <t>4 min</t>
        </is>
      </c>
      <c r="N24" s="17" t="inlineStr">
        <is>
          <t xml:space="preserve">         12K            11K             5K</t>
        </is>
      </c>
      <c r="O24" s="17" t="inlineStr">
        <is>
          <t>CDkwBE7pPovZLJC2KxM7jvWXkyygR1Y1u2R7f6hmpump</t>
        </is>
      </c>
      <c r="P24" s="17">
        <f>HYPERLINK("https://photon-sol.tinyastro.io/en/lp/CDkwBE7pPovZLJC2KxM7jvWXkyygR1Y1u2R7f6hmpump?handle=676050794bc1b1657a56b", "View")</f>
        <v/>
      </c>
    </row>
    <row r="25">
      <c r="A25" s="20" t="inlineStr">
        <is>
          <t>MOLANG</t>
        </is>
      </c>
      <c r="B25" s="21" t="n">
        <v>1793028</v>
      </c>
      <c r="C25" s="21" t="n">
        <v>1793028</v>
      </c>
      <c r="D25" s="21" t="inlineStr">
        <is>
          <t>0.220020</t>
        </is>
      </c>
      <c r="E25" s="21" t="inlineStr">
        <is>
          <t>0.552 SOL</t>
        </is>
      </c>
      <c r="F25" s="21" t="inlineStr">
        <is>
          <t>0.466 SOL</t>
        </is>
      </c>
      <c r="G25" s="25" t="inlineStr">
        <is>
          <t>-0.306 SOL</t>
        </is>
      </c>
      <c r="H25" s="25" t="inlineStr">
        <is>
          <t>-39.68%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14:48:15</t>
        </is>
      </c>
      <c r="M25" s="21" t="inlineStr">
        <is>
          <t>10 min</t>
        </is>
      </c>
      <c r="N25" s="21" t="inlineStr">
        <is>
          <t xml:space="preserve">         56K            30K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Trina</t>
        </is>
      </c>
      <c r="B26" s="17" t="n">
        <v>11384893</v>
      </c>
      <c r="C26" s="17" t="n">
        <v>11384893</v>
      </c>
      <c r="D26" s="17" t="inlineStr">
        <is>
          <t>0.480190</t>
        </is>
      </c>
      <c r="E26" s="17" t="inlineStr">
        <is>
          <t>0.454 SOL</t>
        </is>
      </c>
      <c r="F26" s="17" t="inlineStr">
        <is>
          <t>2.380 SOL</t>
        </is>
      </c>
      <c r="G26" s="24" t="inlineStr">
        <is>
          <t>1.445 SOL</t>
        </is>
      </c>
      <c r="H26" s="24" t="inlineStr">
        <is>
          <t>154.64%</t>
        </is>
      </c>
      <c r="I26" s="17" t="inlineStr">
        <is>
          <t>N/A</t>
        </is>
      </c>
      <c r="J26" s="17" t="n">
        <v>1</v>
      </c>
      <c r="K26" s="17" t="n">
        <v>38</v>
      </c>
      <c r="L26" s="17" t="inlineStr">
        <is>
          <t>29.10.2024 13:33:34</t>
        </is>
      </c>
      <c r="M26" s="17" t="inlineStr">
        <is>
          <t>9 min</t>
        </is>
      </c>
      <c r="N26" s="17" t="inlineStr">
        <is>
          <t xml:space="preserve">          7K            14K             4K</t>
        </is>
      </c>
      <c r="O26" s="17" t="inlineStr">
        <is>
          <t>DirQ7FDi1C5SZCy8ai1GTSvnm9o8MDf9s4C4cExzpump</t>
        </is>
      </c>
      <c r="P26" s="17">
        <f>HYPERLINK("https://photon-sol.tinyastro.io/en/lp/DirQ7FDi1C5SZCy8ai1GTSvnm9o8MDf9s4C4cExzpump?handle=676050794bc1b1657a56b", "View")</f>
        <v/>
      </c>
    </row>
    <row r="27">
      <c r="A27" s="20" t="inlineStr">
        <is>
          <t>Trina</t>
        </is>
      </c>
      <c r="B27" s="21" t="n">
        <v>585788</v>
      </c>
      <c r="C27" s="21" t="n">
        <v>585788</v>
      </c>
      <c r="D27" s="21" t="inlineStr">
        <is>
          <t>0.110010</t>
        </is>
      </c>
      <c r="E27" s="21" t="inlineStr">
        <is>
          <t>0.131 SOL</t>
        </is>
      </c>
      <c r="F27" s="21" t="inlineStr">
        <is>
          <t>0.120 SOL</t>
        </is>
      </c>
      <c r="G27" s="23" t="inlineStr">
        <is>
          <t>-0.122 SOL</t>
        </is>
      </c>
      <c r="H27" s="23" t="inlineStr">
        <is>
          <t>-50.37%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13:22:12</t>
        </is>
      </c>
      <c r="M27" s="21" t="inlineStr">
        <is>
          <t>8 min</t>
        </is>
      </c>
      <c r="N27" s="21" t="inlineStr">
        <is>
          <t xml:space="preserve">         39K            35K             5K</t>
        </is>
      </c>
      <c r="O27" s="21" t="inlineStr">
        <is>
          <t>CsT44i2W2MWp23WQ2EqjorxZVVzuN4niw1cj1Qr5pump</t>
        </is>
      </c>
      <c r="P27" s="21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HYPERLINK("https://gmgn.ai/sol/address/BcViwxDP94ZDX9zLbrzmwRyPD7Ygo8GCc589nxMpcR9C", "GMGN")</f>
        <v/>
      </c>
    </row>
    <row r="2">
      <c r="A2" s="3" t="inlineStr">
        <is>
          <t>BcViwxDP94ZDX9zLbrzmwRyPD7Ygo8GCc589nxMpcR9C</t>
        </is>
      </c>
      <c r="B2" s="3" t="inlineStr">
        <is>
          <t>0.00 SOL</t>
        </is>
      </c>
      <c r="C2" s="3" t="inlineStr">
        <is>
          <t>60%</t>
        </is>
      </c>
      <c r="D2" s="3" t="inlineStr">
        <is>
          <t>272%</t>
        </is>
      </c>
      <c r="E2" s="3" t="inlineStr">
        <is>
          <t>214.48 SOL</t>
        </is>
      </c>
      <c r="F2" s="3" t="inlineStr">
        <is>
          <t>0 (0%)</t>
        </is>
      </c>
      <c r="G2" s="3" t="inlineStr">
        <is>
          <t>6 (40%)</t>
        </is>
      </c>
      <c r="H2" s="3" t="n">
        <v>15</v>
      </c>
      <c r="I2" s="3" t="n">
        <v>0</v>
      </c>
      <c r="J2" s="3" t="inlineStr">
        <is>
          <t>29 days</t>
        </is>
      </c>
      <c r="K2" s="3" t="inlineStr">
        <is>
          <t>1 h</t>
        </is>
      </c>
      <c r="L2" s="3" t="n">
        <v>13</v>
      </c>
      <c r="M2" s="3" t="n">
        <v>16</v>
      </c>
      <c r="N2" s="3">
        <f>HYPERLINK("https://solscan.io/account/BcViwxDP94ZDX9zLbrzmwRyPD7Ygo8GCc589nxMpcR9C", "Solscan")</f>
        <v/>
      </c>
    </row>
    <row r="3">
      <c r="A3" s="7" t="inlineStr">
        <is>
          <t>Median ROI</t>
        </is>
      </c>
      <c r="B3" s="4" t="inlineStr">
        <is>
          <t>2.11%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HYPERLINK("https://birdeye.so/profile/BcViwxDP94ZDX9zLbrzmwRyPD7Ygo8GCc589nxMpcR9C", "Birdeye")</f>
        <v/>
      </c>
    </row>
    <row r="4">
      <c r="A4" s="7" t="inlineStr">
        <is>
          <t>Rockets percent</t>
        </is>
      </c>
      <c r="B4" s="4" t="inlineStr">
        <is>
          <t>40%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237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1.7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4</v>
      </c>
      <c r="C10" s="7" t="n">
        <v>2</v>
      </c>
      <c r="D10" s="7" t="n">
        <v>0</v>
      </c>
      <c r="E10" s="7" t="n">
        <v>3</v>
      </c>
      <c r="F10" s="7" t="n">
        <v>5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26.7%</t>
        </is>
      </c>
      <c r="C11" s="7" t="inlineStr">
        <is>
          <t>13.3%</t>
        </is>
      </c>
      <c r="D11" s="7" t="inlineStr">
        <is>
          <t>0.0%</t>
        </is>
      </c>
      <c r="E11" s="7" t="inlineStr">
        <is>
          <t>20.0%</t>
        </is>
      </c>
      <c r="F11" s="7" t="inlineStr">
        <is>
          <t>33.3%</t>
        </is>
      </c>
      <c r="G11" s="7" t="inlineStr">
        <is>
          <t>6.7%</t>
        </is>
      </c>
      <c r="H11" s="3" t="n"/>
      <c r="I11" s="3" t="inlineStr">
        <is>
          <t>5k-30k</t>
        </is>
      </c>
      <c r="J11" s="3" t="inlineStr">
        <is>
          <t>2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173.2 SOL</t>
        </is>
      </c>
      <c r="C12" s="7" t="inlineStr">
        <is>
          <t>47.0 SOL</t>
        </is>
      </c>
      <c r="D12" s="7" t="inlineStr">
        <is>
          <t>0.0 SOL</t>
        </is>
      </c>
      <c r="E12" s="7" t="inlineStr">
        <is>
          <t>0.9 SOL</t>
        </is>
      </c>
      <c r="F12" s="7" t="inlineStr">
        <is>
          <t>-3.6 SOL</t>
        </is>
      </c>
      <c r="G12" s="7" t="inlineStr">
        <is>
          <t>-3.1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30.0K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TRUMP</t>
        </is>
      </c>
      <c r="B20" s="17" t="n">
        <v>24948090</v>
      </c>
      <c r="C20" s="17" t="n">
        <v>24948090</v>
      </c>
      <c r="D20" s="17" t="inlineStr">
        <is>
          <t>0.003840</t>
        </is>
      </c>
      <c r="E20" s="17" t="inlineStr">
        <is>
          <t>4.275 SOL</t>
        </is>
      </c>
      <c r="F20" s="17" t="inlineStr">
        <is>
          <t>4.316 SOL</t>
        </is>
      </c>
      <c r="G20" s="22" t="inlineStr">
        <is>
          <t>0.037 SOL</t>
        </is>
      </c>
      <c r="H20" s="22" t="inlineStr">
        <is>
          <t>0.86%</t>
        </is>
      </c>
      <c r="I20" s="17" t="inlineStr">
        <is>
          <t>N/A</t>
        </is>
      </c>
      <c r="J20" s="17" t="n">
        <v>1</v>
      </c>
      <c r="K20" s="17" t="n">
        <v>2</v>
      </c>
      <c r="L20" s="17" t="inlineStr">
        <is>
          <t>30.10.2024 13:56:32</t>
        </is>
      </c>
      <c r="M20" s="17" t="inlineStr">
        <is>
          <t>1 hours</t>
        </is>
      </c>
      <c r="N20" s="17" t="inlineStr">
        <is>
          <t xml:space="preserve">         30K            32K            11K</t>
        </is>
      </c>
      <c r="O20" s="17" t="inlineStr">
        <is>
          <t>BNqefzuRXjFQZdgn8zFsM1svNprTAeQJ1SKkMh7Qpump</t>
        </is>
      </c>
      <c r="P20" s="17">
        <f>HYPERLINK("https://photon-sol.tinyastro.io/en/lp/BNqefzuRXjFQZdgn8zFsM1svNprTAeQJ1SKkMh7Qpump?handle=676050794bc1b1657a56b", "View")</f>
        <v/>
      </c>
    </row>
    <row r="21">
      <c r="A21" s="20" t="inlineStr">
        <is>
          <t>CAT</t>
        </is>
      </c>
      <c r="B21" s="21" t="n">
        <v>45342373</v>
      </c>
      <c r="C21" s="21" t="n">
        <v>238248127</v>
      </c>
      <c r="D21" s="21" t="inlineStr">
        <is>
          <t>0.001060</t>
        </is>
      </c>
      <c r="E21" s="21" t="inlineStr">
        <is>
          <t>5.769 SOL</t>
        </is>
      </c>
      <c r="F21" s="21" t="inlineStr">
        <is>
          <t>29.924 SOL</t>
        </is>
      </c>
      <c r="G21" s="24" t="inlineStr">
        <is>
          <t>24.154 SOL</t>
        </is>
      </c>
      <c r="H21" s="24" t="inlineStr">
        <is>
          <t>418.64%</t>
        </is>
      </c>
      <c r="I21" s="21" t="inlineStr">
        <is>
          <t>N/A</t>
        </is>
      </c>
      <c r="J21" s="21" t="n">
        <v>3</v>
      </c>
      <c r="K21" s="21" t="n">
        <v>2</v>
      </c>
      <c r="L21" s="21" t="inlineStr">
        <is>
          <t>16.10.2024 17:03:05</t>
        </is>
      </c>
      <c r="M21" s="21" t="inlineStr">
        <is>
          <t>59 min</t>
        </is>
      </c>
      <c r="N21" s="21" t="inlineStr">
        <is>
          <t xml:space="preserve">        N/A           N/A           N/A</t>
        </is>
      </c>
      <c r="O21" s="21" t="inlineStr">
        <is>
          <t>DCa8emumq3cnkozq4sf4JGmp28dLuT9LVPKHk4cypump</t>
        </is>
      </c>
      <c r="P21" s="21">
        <f>HYPERLINK("https://photon-sol.tinyastro.io/en/lp/DCa8emumq3cnkozq4sf4JGmp28dLuT9LVPKHk4cypump?handle=676050794bc1b1657a56b", "View")</f>
        <v/>
      </c>
    </row>
    <row r="22">
      <c r="A22" s="16" t="inlineStr">
        <is>
          <t>FROG</t>
        </is>
      </c>
      <c r="B22" s="17" t="n">
        <v>177802853</v>
      </c>
      <c r="C22" s="17" t="n">
        <v>177802852</v>
      </c>
      <c r="D22" s="17" t="inlineStr">
        <is>
          <t>0.000420</t>
        </is>
      </c>
      <c r="E22" s="17" t="inlineStr">
        <is>
          <t>6.065 SOL</t>
        </is>
      </c>
      <c r="F22" s="17" t="inlineStr">
        <is>
          <t>5.926 SOL</t>
        </is>
      </c>
      <c r="G22" s="25" t="inlineStr">
        <is>
          <t>-0.139 SOL</t>
        </is>
      </c>
      <c r="H22" s="25" t="inlineStr">
        <is>
          <t>-2.30%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16.10.2024 15:43:38</t>
        </is>
      </c>
      <c r="M22" s="17" t="inlineStr">
        <is>
          <t>1 min</t>
        </is>
      </c>
      <c r="N22" s="17" t="inlineStr">
        <is>
          <t xml:space="preserve">        N/A           N/A           N/A</t>
        </is>
      </c>
      <c r="O22" s="17" t="inlineStr">
        <is>
          <t>2xcBVhTLNmx7HVxNNjYCR9DbvFhwXESV5kjZHct7pump</t>
        </is>
      </c>
      <c r="P22" s="17">
        <f>HYPERLINK("https://photon-sol.tinyastro.io/en/lp/2xcBVhTLNmx7HVxNNjYCR9DbvFhwXESV5kjZHct7pump?handle=676050794bc1b1657a56b", "View")</f>
        <v/>
      </c>
    </row>
    <row r="23">
      <c r="A23" s="20" t="inlineStr">
        <is>
          <t>CAT</t>
        </is>
      </c>
      <c r="B23" s="21" t="n">
        <v>65468234</v>
      </c>
      <c r="C23" s="21" t="n">
        <v>65468234</v>
      </c>
      <c r="D23" s="21" t="inlineStr">
        <is>
          <t>0.000850</t>
        </is>
      </c>
      <c r="E23" s="21" t="inlineStr">
        <is>
          <t>2.028 SOL</t>
        </is>
      </c>
      <c r="F23" s="21" t="inlineStr">
        <is>
          <t>2.072 SOL</t>
        </is>
      </c>
      <c r="G23" s="22" t="inlineStr">
        <is>
          <t>0.043 SOL</t>
        </is>
      </c>
      <c r="H23" s="22" t="inlineStr">
        <is>
          <t>2.11%</t>
        </is>
      </c>
      <c r="I23" s="21" t="inlineStr">
        <is>
          <t>N/A</t>
        </is>
      </c>
      <c r="J23" s="21" t="n">
        <v>2</v>
      </c>
      <c r="K23" s="21" t="n">
        <v>2</v>
      </c>
      <c r="L23" s="21" t="inlineStr">
        <is>
          <t>16.10.2024 14:57:16</t>
        </is>
      </c>
      <c r="M23" s="21" t="inlineStr">
        <is>
          <t>2 min</t>
        </is>
      </c>
      <c r="N23" s="21" t="inlineStr">
        <is>
          <t xml:space="preserve">        N/A           N/A           N/A</t>
        </is>
      </c>
      <c r="O23" s="21" t="inlineStr">
        <is>
          <t>61rpxDaPX7YhGHoGLJVLUNwX6U2Mqv2t75LHyzUxpump</t>
        </is>
      </c>
      <c r="P23" s="21">
        <f>HYPERLINK("https://photon-sol.tinyastro.io/en/lp/61rpxDaPX7YhGHoGLJVLUNwX6U2Mqv2t75LHyzUxpump?handle=676050794bc1b1657a56b", "View")</f>
        <v/>
      </c>
    </row>
    <row r="24">
      <c r="A24" s="16" t="inlineStr">
        <is>
          <t>PEPE</t>
        </is>
      </c>
      <c r="B24" s="17" t="n">
        <v>129829977</v>
      </c>
      <c r="C24" s="17" t="n">
        <v>737216523</v>
      </c>
      <c r="D24" s="17" t="inlineStr">
        <is>
          <t>0.001710</t>
        </is>
      </c>
      <c r="E24" s="17" t="inlineStr">
        <is>
          <t>5.404 SOL</t>
        </is>
      </c>
      <c r="F24" s="17" t="inlineStr">
        <is>
          <t>58.798 SOL</t>
        </is>
      </c>
      <c r="G24" s="24" t="inlineStr">
        <is>
          <t>53.392 SOL</t>
        </is>
      </c>
      <c r="H24" s="24" t="inlineStr">
        <is>
          <t>987.74%</t>
        </is>
      </c>
      <c r="I24" s="17" t="inlineStr">
        <is>
          <t>N/A</t>
        </is>
      </c>
      <c r="J24" s="17" t="n">
        <v>4</v>
      </c>
      <c r="K24" s="17" t="n">
        <v>5</v>
      </c>
      <c r="L24" s="17" t="inlineStr">
        <is>
          <t>16.10.2024 13:42:12</t>
        </is>
      </c>
      <c r="M24" s="17" t="inlineStr">
        <is>
          <t>1 hours</t>
        </is>
      </c>
      <c r="N24" s="17" t="inlineStr">
        <is>
          <t xml:space="preserve">        N/A           N/A           N/A</t>
        </is>
      </c>
      <c r="O24" s="17" t="inlineStr">
        <is>
          <t>6RmKWy38xWrU38xQcM17hwCrYKkkLjVWCdckyq7Xpump</t>
        </is>
      </c>
      <c r="P24" s="17">
        <f>HYPERLINK("https://photon-sol.tinyastro.io/en/lp/6RmKWy38xWrU38xQcM17hwCrYKkkLjVWCdckyq7Xpump?handle=676050794bc1b1657a56b", "View")</f>
        <v/>
      </c>
    </row>
    <row r="25">
      <c r="A25" s="20" t="inlineStr">
        <is>
          <t>JOE</t>
        </is>
      </c>
      <c r="B25" s="21" t="n">
        <v>154357642</v>
      </c>
      <c r="C25" s="21" t="n">
        <v>808531768</v>
      </c>
      <c r="D25" s="21" t="inlineStr">
        <is>
          <t>0.001480</t>
        </is>
      </c>
      <c r="E25" s="21" t="inlineStr">
        <is>
          <t>6.065 SOL</t>
        </is>
      </c>
      <c r="F25" s="21" t="inlineStr">
        <is>
          <t>59.774 SOL</t>
        </is>
      </c>
      <c r="G25" s="24" t="inlineStr">
        <is>
          <t>53.708 SOL</t>
        </is>
      </c>
      <c r="H25" s="24" t="inlineStr">
        <is>
          <t>885.28%</t>
        </is>
      </c>
      <c r="I25" s="21" t="inlineStr">
        <is>
          <t>N/A</t>
        </is>
      </c>
      <c r="J25" s="21" t="n">
        <v>1</v>
      </c>
      <c r="K25" s="21" t="n">
        <v>6</v>
      </c>
      <c r="L25" s="21" t="inlineStr">
        <is>
          <t>15.10.2024 18:39:08</t>
        </is>
      </c>
      <c r="M25" s="21" t="inlineStr">
        <is>
          <t>1 hours</t>
        </is>
      </c>
      <c r="N25" s="21" t="inlineStr">
        <is>
          <t xml:space="preserve">        N/A           N/A           N/A</t>
        </is>
      </c>
      <c r="O25" s="21" t="inlineStr">
        <is>
          <t>GpyWtEutywYPMJFnZmT1LWiZQaiE1aPDQojcYdsdpump</t>
        </is>
      </c>
      <c r="P25" s="21">
        <f>HYPERLINK("https://photon-sol.tinyastro.io/en/lp/GpyWtEutywYPMJFnZmT1LWiZQaiE1aPDQojcYdsdpump?handle=676050794bc1b1657a56b", "View")</f>
        <v/>
      </c>
    </row>
    <row r="26">
      <c r="A26" s="16" t="inlineStr">
        <is>
          <t>BTURBO</t>
        </is>
      </c>
      <c r="B26" s="17" t="n">
        <v>125138958</v>
      </c>
      <c r="C26" s="17" t="n">
        <v>538985152</v>
      </c>
      <c r="D26" s="17" t="inlineStr">
        <is>
          <t>0.000850</t>
        </is>
      </c>
      <c r="E26" s="17" t="inlineStr">
        <is>
          <t>4.752 SOL</t>
        </is>
      </c>
      <c r="F26" s="17" t="inlineStr">
        <is>
          <t>56.132 SOL</t>
        </is>
      </c>
      <c r="G26" s="24" t="inlineStr">
        <is>
          <t>51.379 SOL</t>
        </is>
      </c>
      <c r="H26" s="24" t="inlineStr">
        <is>
          <t>1080.96%</t>
        </is>
      </c>
      <c r="I26" s="17" t="inlineStr">
        <is>
          <t>N/A</t>
        </is>
      </c>
      <c r="J26" s="17" t="n">
        <v>1</v>
      </c>
      <c r="K26" s="17" t="n">
        <v>3</v>
      </c>
      <c r="L26" s="17" t="inlineStr">
        <is>
          <t>15.10.2024 16:23:47</t>
        </is>
      </c>
      <c r="M26" s="17" t="inlineStr">
        <is>
          <t>1 hours</t>
        </is>
      </c>
      <c r="N26" s="17" t="inlineStr">
        <is>
          <t xml:space="preserve">        N/A           N/A           N/A</t>
        </is>
      </c>
      <c r="O26" s="17" t="inlineStr">
        <is>
          <t>6VT39pSEyGSBW7prUe4U1d96PVVfVLfbRMKK3kcipump</t>
        </is>
      </c>
      <c r="P26" s="17">
        <f>HYPERLINK("https://photon-sol.tinyastro.io/en/lp/6VT39pSEyGSBW7prUe4U1d96PVVfVLfbRMKK3kcipump?handle=676050794bc1b1657a56b", "View")</f>
        <v/>
      </c>
    </row>
    <row r="27">
      <c r="A27" s="20" t="inlineStr">
        <is>
          <t>NEIRO</t>
        </is>
      </c>
      <c r="B27" s="21" t="n">
        <v>36507192</v>
      </c>
      <c r="C27" s="21" t="n">
        <v>21283448</v>
      </c>
      <c r="D27" s="21" t="inlineStr">
        <is>
          <t>0.000650</t>
        </is>
      </c>
      <c r="E27" s="21" t="inlineStr">
        <is>
          <t>4.769 SOL</t>
        </is>
      </c>
      <c r="F27" s="21" t="inlineStr">
        <is>
          <t>2.836 SOL</t>
        </is>
      </c>
      <c r="G27" s="25" t="inlineStr">
        <is>
          <t>-1.934 SOL</t>
        </is>
      </c>
      <c r="H27" s="25" t="inlineStr">
        <is>
          <t>-40.55%</t>
        </is>
      </c>
      <c r="I27" s="21" t="inlineStr">
        <is>
          <t>N/A</t>
        </is>
      </c>
      <c r="J27" s="21" t="n">
        <v>3</v>
      </c>
      <c r="K27" s="21" t="n">
        <v>1</v>
      </c>
      <c r="L27" s="21" t="inlineStr">
        <is>
          <t>09.10.2024 06:11:42</t>
        </is>
      </c>
      <c r="M27" s="21" t="inlineStr">
        <is>
          <t>2 hours</t>
        </is>
      </c>
      <c r="N27" s="21" t="inlineStr">
        <is>
          <t xml:space="preserve">        N/A           N/A           N/A</t>
        </is>
      </c>
      <c r="O27" s="21" t="inlineStr">
        <is>
          <t>GgdVTmUow4LqvCYhtBngRDRDmF8zeWrjEFo4fa5Spump</t>
        </is>
      </c>
      <c r="P27" s="21">
        <f>HYPERLINK("https://photon-sol.tinyastro.io/en/lp/GgdVTmUow4LqvCYhtBngRDRDmF8zeWrjEFo4fa5Spump?handle=676050794bc1b1657a56b", "View")</f>
        <v/>
      </c>
    </row>
    <row r="28">
      <c r="A28" s="16" t="inlineStr">
        <is>
          <t>NEIRO</t>
        </is>
      </c>
      <c r="B28" s="17" t="n">
        <v>89636724</v>
      </c>
      <c r="C28" s="17" t="n">
        <v>89636724</v>
      </c>
      <c r="D28" s="17" t="inlineStr">
        <is>
          <t>0.000840</t>
        </is>
      </c>
      <c r="E28" s="17" t="inlineStr">
        <is>
          <t>3.926 SOL</t>
        </is>
      </c>
      <c r="F28" s="17" t="inlineStr">
        <is>
          <t>3.911 SOL</t>
        </is>
      </c>
      <c r="G28" s="25" t="inlineStr">
        <is>
          <t>-0.016 SOL</t>
        </is>
      </c>
      <c r="H28" s="25" t="inlineStr">
        <is>
          <t>-0.41%</t>
        </is>
      </c>
      <c r="I28" s="17" t="inlineStr">
        <is>
          <t>N/A</t>
        </is>
      </c>
      <c r="J28" s="17" t="n">
        <v>2</v>
      </c>
      <c r="K28" s="17" t="n">
        <v>2</v>
      </c>
      <c r="L28" s="17" t="inlineStr">
        <is>
          <t>09.10.2024 03:20:02</t>
        </is>
      </c>
      <c r="M28" s="17" t="inlineStr">
        <is>
          <t>3 min</t>
        </is>
      </c>
      <c r="N28" s="17" t="inlineStr">
        <is>
          <t xml:space="preserve">        N/A           N/A           N/A</t>
        </is>
      </c>
      <c r="O28" s="17" t="inlineStr">
        <is>
          <t>2WXmgwG4pHAu9tswVciXRpq6QbnQWVdtiPCp4Crcpump</t>
        </is>
      </c>
      <c r="P28" s="17">
        <f>HYPERLINK("https://photon-sol.tinyastro.io/en/lp/2WXmgwG4pHAu9tswVciXRpq6QbnQWVdtiPCp4Crcpump?handle=676050794bc1b1657a56b", "View")</f>
        <v/>
      </c>
    </row>
    <row r="29">
      <c r="A29" s="20" t="inlineStr">
        <is>
          <t>NEIRO</t>
        </is>
      </c>
      <c r="B29" s="21" t="n">
        <v>51730292</v>
      </c>
      <c r="C29" s="21" t="n">
        <v>51730292</v>
      </c>
      <c r="D29" s="21" t="inlineStr">
        <is>
          <t>0.000530</t>
        </is>
      </c>
      <c r="E29" s="21" t="inlineStr">
        <is>
          <t>3.035 SOL</t>
        </is>
      </c>
      <c r="F29" s="21" t="inlineStr">
        <is>
          <t>1.983 SOL</t>
        </is>
      </c>
      <c r="G29" s="25" t="inlineStr">
        <is>
          <t>-1.053 SOL</t>
        </is>
      </c>
      <c r="H29" s="25" t="inlineStr">
        <is>
          <t>-34.68%</t>
        </is>
      </c>
      <c r="I29" s="21" t="inlineStr">
        <is>
          <t>N/A</t>
        </is>
      </c>
      <c r="J29" s="21" t="n">
        <v>1</v>
      </c>
      <c r="K29" s="21" t="n">
        <v>2</v>
      </c>
      <c r="L29" s="21" t="inlineStr">
        <is>
          <t>09.10.2024 03:07:12</t>
        </is>
      </c>
      <c r="M29" s="21" t="inlineStr">
        <is>
          <t>3 min</t>
        </is>
      </c>
      <c r="N29" s="21" t="inlineStr">
        <is>
          <t xml:space="preserve">        N/A           N/A           N/A</t>
        </is>
      </c>
      <c r="O29" s="21" t="inlineStr">
        <is>
          <t>EzWht1gYUAzKoqbtHZVeM8Ney5wGCAfArE5UmYwcpump</t>
        </is>
      </c>
      <c r="P29" s="21">
        <f>HYPERLINK("https://photon-sol.tinyastro.io/en/lp/EzWht1gYUAzKoqbtHZVeM8Ney5wGCAfArE5UmYwcpump?handle=676050794bc1b1657a56b", "View")</f>
        <v/>
      </c>
    </row>
    <row r="30">
      <c r="A30" s="16" t="inlineStr">
        <is>
          <t>NEIRO</t>
        </is>
      </c>
      <c r="B30" s="17" t="n">
        <v>86836582</v>
      </c>
      <c r="C30" s="17" t="n">
        <v>86836581</v>
      </c>
      <c r="D30" s="17" t="inlineStr">
        <is>
          <t>0.000270</t>
        </is>
      </c>
      <c r="E30" s="17" t="inlineStr">
        <is>
          <t>4.553 SOL</t>
        </is>
      </c>
      <c r="F30" s="17" t="inlineStr">
        <is>
          <t>5.401 SOL</t>
        </is>
      </c>
      <c r="G30" s="22" t="inlineStr">
        <is>
          <t>0.848 SOL</t>
        </is>
      </c>
      <c r="H30" s="22" t="inlineStr">
        <is>
          <t>18.62%</t>
        </is>
      </c>
      <c r="I30" s="17" t="inlineStr">
        <is>
          <t>N/A</t>
        </is>
      </c>
      <c r="J30" s="17" t="n">
        <v>2</v>
      </c>
      <c r="K30" s="17" t="n">
        <v>3</v>
      </c>
      <c r="L30" s="17" t="inlineStr">
        <is>
          <t>09.10.2024 02:52:46</t>
        </is>
      </c>
      <c r="M30" s="17" t="inlineStr">
        <is>
          <t>12 min</t>
        </is>
      </c>
      <c r="N30" s="17" t="inlineStr">
        <is>
          <t xml:space="preserve">        N/A           N/A           N/A</t>
        </is>
      </c>
      <c r="O30" s="17" t="inlineStr">
        <is>
          <t>D8F2DuWB2cNVDVyjAVocX1smidCtmgtJE8Nznnqnpump</t>
        </is>
      </c>
      <c r="P30" s="17">
        <f>HYPERLINK("https://photon-sol.tinyastro.io/en/lp/D8F2DuWB2cNVDVyjAVocX1smidCtmgtJE8Nznnqnpump?handle=676050794bc1b1657a56b", "View")</f>
        <v/>
      </c>
    </row>
    <row r="31">
      <c r="A31" s="20" t="inlineStr">
        <is>
          <t>BABYNEIRO</t>
        </is>
      </c>
      <c r="B31" s="21" t="n">
        <v>32983538</v>
      </c>
      <c r="C31" s="21" t="n">
        <v>78402727</v>
      </c>
      <c r="D31" s="21" t="inlineStr">
        <is>
          <t>0.000460</t>
        </is>
      </c>
      <c r="E31" s="21" t="inlineStr">
        <is>
          <t>1.470 SOL</t>
        </is>
      </c>
      <c r="F31" s="21" t="inlineStr">
        <is>
          <t>16.196 SOL</t>
        </is>
      </c>
      <c r="G31" s="24" t="inlineStr">
        <is>
          <t>14.726 SOL</t>
        </is>
      </c>
      <c r="H31" s="24" t="inlineStr">
        <is>
          <t>1001.64%</t>
        </is>
      </c>
      <c r="I31" s="21" t="inlineStr">
        <is>
          <t>N/A</t>
        </is>
      </c>
      <c r="J31" s="21" t="n">
        <v>1</v>
      </c>
      <c r="K31" s="21" t="n">
        <v>3</v>
      </c>
      <c r="L31" s="21" t="inlineStr">
        <is>
          <t>08.10.2024 23:25:04</t>
        </is>
      </c>
      <c r="M31" s="21" t="inlineStr">
        <is>
          <t>2 hours</t>
        </is>
      </c>
      <c r="N31" s="21" t="inlineStr">
        <is>
          <t xml:space="preserve">          7K            37K             4K</t>
        </is>
      </c>
      <c r="O31" s="21" t="inlineStr">
        <is>
          <t>CLzvow1g6NQseSZfe9Ejo97HMemWYQYHSaDW6RhMpump</t>
        </is>
      </c>
      <c r="P31" s="21">
        <f>HYPERLINK("https://photon-sol.tinyastro.io/en/lp/CLzvow1g6NQseSZfe9Ejo97HMemWYQYHSaDW6RhMpump?handle=676050794bc1b1657a56b", "View")</f>
        <v/>
      </c>
    </row>
    <row r="32">
      <c r="A32" s="16" t="inlineStr">
        <is>
          <t>BABYNEIRO</t>
        </is>
      </c>
      <c r="B32" s="17" t="n">
        <v>46619348</v>
      </c>
      <c r="C32" s="17" t="n">
        <v>46619348</v>
      </c>
      <c r="D32" s="17" t="inlineStr">
        <is>
          <t>0.000230</t>
        </is>
      </c>
      <c r="E32" s="17" t="inlineStr">
        <is>
          <t>1.924 SOL</t>
        </is>
      </c>
      <c r="F32" s="17" t="inlineStr">
        <is>
          <t>1.481 SOL</t>
        </is>
      </c>
      <c r="G32" s="25" t="inlineStr">
        <is>
          <t>-0.444 SOL</t>
        </is>
      </c>
      <c r="H32" s="25" t="inlineStr">
        <is>
          <t>-23.06%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08.10.2024 20:21:32</t>
        </is>
      </c>
      <c r="M32" s="17" t="inlineStr">
        <is>
          <t>2 min</t>
        </is>
      </c>
      <c r="N32" s="17" t="inlineStr">
        <is>
          <t xml:space="preserve">        N/A           N/A           N/A</t>
        </is>
      </c>
      <c r="O32" s="17" t="inlineStr">
        <is>
          <t>F75vXecBWwAbET1DJrK7yRRyGSJzVrJY8mEU898Npump</t>
        </is>
      </c>
      <c r="P32" s="17">
        <f>HYPERLINK("https://photon-sol.tinyastro.io/en/lp/F75vXecBWwAbET1DJrK7yRRyGSJzVrJY8mEU898Npump?handle=676050794bc1b1657a56b", "View")</f>
        <v/>
      </c>
    </row>
    <row r="33">
      <c r="A33" s="20" t="inlineStr">
        <is>
          <t>GCAT</t>
        </is>
      </c>
      <c r="B33" s="21" t="n">
        <v>16525937</v>
      </c>
      <c r="C33" s="21" t="n">
        <v>16525937</v>
      </c>
      <c r="D33" s="21" t="inlineStr">
        <is>
          <t>0.000050</t>
        </is>
      </c>
      <c r="E33" s="21" t="inlineStr">
        <is>
          <t>4.972 SOL</t>
        </is>
      </c>
      <c r="F33" s="21" t="inlineStr">
        <is>
          <t>1.916 SOL</t>
        </is>
      </c>
      <c r="G33" s="23" t="inlineStr">
        <is>
          <t>-3.057 SOL</t>
        </is>
      </c>
      <c r="H33" s="23" t="inlineStr">
        <is>
          <t>-61.47%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08.10.2024 09:17:21</t>
        </is>
      </c>
      <c r="M33" s="21" t="inlineStr">
        <is>
          <t>12 hours</t>
        </is>
      </c>
      <c r="N33" s="21" t="inlineStr">
        <is>
          <t xml:space="preserve">         53K            21K             4K</t>
        </is>
      </c>
      <c r="O33" s="21" t="inlineStr">
        <is>
          <t>6RVMpYRVtQdsGHZgRSq7kp2CWRWA62NfXEa8Drm9pump</t>
        </is>
      </c>
      <c r="P33" s="21">
        <f>HYPERLINK("https://dexscreener.com/solana/6RVMpYRVtQdsGHZgRSq7kp2CWRWA62NfXEa8Drm9pump", "View")</f>
        <v/>
      </c>
    </row>
    <row r="34">
      <c r="A34" s="16" t="inlineStr">
        <is>
          <t>HANA</t>
        </is>
      </c>
      <c r="B34" s="17" t="n">
        <v>69331268</v>
      </c>
      <c r="C34" s="17" t="n">
        <v>96985114</v>
      </c>
      <c r="D34" s="17" t="inlineStr">
        <is>
          <t>0.000140</t>
        </is>
      </c>
      <c r="E34" s="17" t="inlineStr">
        <is>
          <t>19.850 SOL</t>
        </is>
      </c>
      <c r="F34" s="17" t="inlineStr">
        <is>
          <t>42.688 SOL</t>
        </is>
      </c>
      <c r="G34" s="24" t="inlineStr">
        <is>
          <t>22.838 SOL</t>
        </is>
      </c>
      <c r="H34" s="24" t="inlineStr">
        <is>
          <t>115.05%</t>
        </is>
      </c>
      <c r="I34" s="17" t="inlineStr">
        <is>
          <t>N/A</t>
        </is>
      </c>
      <c r="J34" s="17" t="n">
        <v>2</v>
      </c>
      <c r="K34" s="17" t="n">
        <v>4</v>
      </c>
      <c r="L34" s="17" t="inlineStr">
        <is>
          <t>03.10.2024 13:15:11</t>
        </is>
      </c>
      <c r="M34" s="17" t="inlineStr">
        <is>
          <t>2 days</t>
        </is>
      </c>
      <c r="N34" s="17" t="inlineStr">
        <is>
          <t xml:space="preserve">        N/A           N/A           N/A</t>
        </is>
      </c>
      <c r="O34" s="17" t="inlineStr">
        <is>
          <t>5Z67JE3WvDXNpwGca8o8q8hJc8obN5vPLHpHoYXKEbG1</t>
        </is>
      </c>
      <c r="P34" s="17">
        <f>HYPERLINK("https://dexscreener.com/solana/5Z67JE3WvDXNpwGca8o8q8hJc8obN5vPLHpHoYXKEbG1", "View")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1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HYPERLINK("https://gmgn.ai/sol/address/CtKi39VFQRf2m8j8fkLzmJR6csxPVnWApLEGHmuAQWYb", "GMGN")</f>
        <v/>
      </c>
    </row>
    <row r="2">
      <c r="A2" s="3" t="inlineStr">
        <is>
          <t>CtKi39VFQRf2m8j8fkLzmJR6csxPVnWApLEGHmuAQWYb</t>
        </is>
      </c>
      <c r="B2" s="3" t="inlineStr">
        <is>
          <t>220.17 SOL</t>
        </is>
      </c>
      <c r="C2" s="3" t="inlineStr">
        <is>
          <t>58%</t>
        </is>
      </c>
      <c r="D2" s="3" t="inlineStr">
        <is>
          <t>76%</t>
        </is>
      </c>
      <c r="E2" s="3" t="inlineStr">
        <is>
          <t>379.17 SOL</t>
        </is>
      </c>
      <c r="F2" s="3" t="inlineStr">
        <is>
          <t>115 (39%)</t>
        </is>
      </c>
      <c r="G2" s="3" t="inlineStr">
        <is>
          <t>3 (1%)</t>
        </is>
      </c>
      <c r="H2" s="3" t="n">
        <v>298</v>
      </c>
      <c r="I2" s="3" t="n">
        <v>1</v>
      </c>
      <c r="J2" s="3" t="inlineStr">
        <is>
          <t>11 days</t>
        </is>
      </c>
      <c r="K2" s="3" t="inlineStr">
        <is>
          <t>1 min</t>
        </is>
      </c>
      <c r="L2" s="3" t="n">
        <v>241</v>
      </c>
      <c r="M2" s="3" t="n">
        <v>66</v>
      </c>
      <c r="N2" s="3">
        <f>HYPERLINK("https://solscan.io/account/CtKi39VFQRf2m8j8fkLzmJR6csxPVnWApLEGHmuAQWYb", "Solscan")</f>
        <v/>
      </c>
    </row>
    <row r="3">
      <c r="A3" s="7" t="inlineStr">
        <is>
          <t>Median ROI</t>
        </is>
      </c>
      <c r="B3" s="4" t="inlineStr">
        <is>
          <t>6.57%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HYPERLINK("https://birdeye.so/profile/CtKi39VFQRf2m8j8fkLzmJR6csxPVnWApLEGHmuAQWYb", "Birdeye")</f>
        <v/>
      </c>
    </row>
    <row r="4">
      <c r="A4" s="7" t="inlineStr">
        <is>
          <t>Rockets percent</t>
        </is>
      </c>
      <c r="B4" s="3" t="inlineStr">
        <is>
          <t>9%</t>
        </is>
      </c>
      <c r="C4" s="3" t="inlineStr"/>
      <c r="D4" s="3" t="inlineStr">
        <is>
          <t>2%</t>
        </is>
      </c>
      <c r="E4" s="3" t="inlineStr">
        <is>
          <t>7.42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15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1.3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8</v>
      </c>
      <c r="C10" s="7" t="n">
        <v>19</v>
      </c>
      <c r="D10" s="7" t="n">
        <v>21</v>
      </c>
      <c r="E10" s="7" t="n">
        <v>125</v>
      </c>
      <c r="F10" s="7" t="n">
        <v>101</v>
      </c>
      <c r="G10" s="7" t="n">
        <v>24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2.7%</t>
        </is>
      </c>
      <c r="C11" s="7" t="inlineStr">
        <is>
          <t>6.4%</t>
        </is>
      </c>
      <c r="D11" s="7" t="inlineStr">
        <is>
          <t>7.0%</t>
        </is>
      </c>
      <c r="E11" s="7" t="inlineStr">
        <is>
          <t>41.9%</t>
        </is>
      </c>
      <c r="F11" s="7" t="inlineStr">
        <is>
          <t>33.9%</t>
        </is>
      </c>
      <c r="G11" s="7" t="inlineStr">
        <is>
          <t>8.1%</t>
        </is>
      </c>
      <c r="H11" s="3" t="n"/>
      <c r="I11" s="3" t="inlineStr">
        <is>
          <t>5k-30k</t>
        </is>
      </c>
      <c r="J11" s="3" t="inlineStr">
        <is>
          <t>194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263.6 SOL</t>
        </is>
      </c>
      <c r="C12" s="7" t="inlineStr">
        <is>
          <t>70.3 SOL</t>
        </is>
      </c>
      <c r="D12" s="7" t="inlineStr">
        <is>
          <t>26.2 SOL</t>
        </is>
      </c>
      <c r="E12" s="7" t="inlineStr">
        <is>
          <t>53.5 SOL</t>
        </is>
      </c>
      <c r="F12" s="7" t="inlineStr">
        <is>
          <t>-18.6 SOL</t>
        </is>
      </c>
      <c r="G12" s="7" t="inlineStr">
        <is>
          <t>-15.9 SOL</t>
        </is>
      </c>
      <c r="H12" s="3" t="n"/>
      <c r="I12" s="3" t="inlineStr">
        <is>
          <t>30k-100k</t>
        </is>
      </c>
      <c r="J12" s="3" t="inlineStr">
        <is>
          <t>61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18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16.0K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AW</t>
        </is>
      </c>
      <c r="B20" s="17" t="n">
        <v>95397217</v>
      </c>
      <c r="C20" s="17" t="n">
        <v>95397217</v>
      </c>
      <c r="D20" s="17" t="inlineStr">
        <is>
          <t>0.020030</t>
        </is>
      </c>
      <c r="E20" s="17" t="inlineStr">
        <is>
          <t>4.163 SOL</t>
        </is>
      </c>
      <c r="F20" s="17" t="inlineStr">
        <is>
          <t>4.479 SOL</t>
        </is>
      </c>
      <c r="G20" s="22" t="inlineStr">
        <is>
          <t>0.296 SOL</t>
        </is>
      </c>
      <c r="H20" s="22" t="inlineStr">
        <is>
          <t>7.08%</t>
        </is>
      </c>
      <c r="I20" s="17" t="inlineStr">
        <is>
          <t>N/A</t>
        </is>
      </c>
      <c r="J20" s="17" t="n">
        <v>3</v>
      </c>
      <c r="K20" s="17" t="n">
        <v>2</v>
      </c>
      <c r="L20" s="17" t="inlineStr">
        <is>
          <t>30.10.2024 21:26:10</t>
        </is>
      </c>
      <c r="M20" s="17" t="inlineStr">
        <is>
          <t>2 min</t>
        </is>
      </c>
      <c r="N20" s="17" t="inlineStr">
        <is>
          <t xml:space="preserve">          5K            14K             7K</t>
        </is>
      </c>
      <c r="O20" s="17" t="inlineStr">
        <is>
          <t>CHXhKTxZRMmfKSonCiGrQ9hKAm4agGzjtKrqTmFxpump</t>
        </is>
      </c>
      <c r="P20" s="17">
        <f>HYPERLINK("https://photon-sol.tinyastro.io/en/lp/CHXhKTxZRMmfKSonCiGrQ9hKAm4agGzjtKrqTmFxpump?handle=676050794bc1b1657a56b", "View")</f>
        <v/>
      </c>
    </row>
    <row r="21">
      <c r="A21" s="20" t="inlineStr">
        <is>
          <t>RIZZAI</t>
        </is>
      </c>
      <c r="B21" s="21" t="n">
        <v>43220511</v>
      </c>
      <c r="C21" s="21" t="n">
        <v>23739909</v>
      </c>
      <c r="D21" s="21" t="inlineStr">
        <is>
          <t>0.028040</t>
        </is>
      </c>
      <c r="E21" s="21" t="inlineStr">
        <is>
          <t>3.080 SOL</t>
        </is>
      </c>
      <c r="F21" s="21" t="inlineStr">
        <is>
          <t>4.510 SOL</t>
        </is>
      </c>
      <c r="G21" s="22" t="inlineStr">
        <is>
          <t>1.402 SOL</t>
        </is>
      </c>
      <c r="H21" s="22" t="inlineStr">
        <is>
          <t>45.09%</t>
        </is>
      </c>
      <c r="I21" s="21" t="inlineStr">
        <is>
          <t>N/A</t>
        </is>
      </c>
      <c r="J21" s="21" t="n">
        <v>2</v>
      </c>
      <c r="K21" s="21" t="n">
        <v>5</v>
      </c>
      <c r="L21" s="21" t="inlineStr">
        <is>
          <t>30.10.2024 21:20:17</t>
        </is>
      </c>
      <c r="M21" s="21" t="inlineStr">
        <is>
          <t>4 hours</t>
        </is>
      </c>
      <c r="N21" s="21" t="inlineStr">
        <is>
          <t xml:space="preserve">         47K             9K            28K</t>
        </is>
      </c>
      <c r="O21" s="21" t="inlineStr">
        <is>
          <t>ExEPSp9Byx14EueDyYDPwTrGEEX751NQaqEjHmVspump</t>
        </is>
      </c>
      <c r="P21" s="21">
        <f>HYPERLINK("https://photon-sol.tinyastro.io/en/lp/ExEPSp9Byx14EueDyYDPwTrGEEX751NQaqEjHmVspump?handle=676050794bc1b1657a56b", "View")</f>
        <v/>
      </c>
    </row>
    <row r="22">
      <c r="A22" s="16" t="inlineStr">
        <is>
          <t>SOLETF</t>
        </is>
      </c>
      <c r="B22" s="17" t="n">
        <v>61061371</v>
      </c>
      <c r="C22" s="17" t="n">
        <v>61061371</v>
      </c>
      <c r="D22" s="17" t="inlineStr">
        <is>
          <t>0.008010</t>
        </is>
      </c>
      <c r="E22" s="17" t="inlineStr">
        <is>
          <t>2.076 SOL</t>
        </is>
      </c>
      <c r="F22" s="17" t="inlineStr">
        <is>
          <t>2.460 SOL</t>
        </is>
      </c>
      <c r="G22" s="22" t="inlineStr">
        <is>
          <t>0.376 SOL</t>
        </is>
      </c>
      <c r="H22" s="22" t="inlineStr">
        <is>
          <t>18.04%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21:14:32</t>
        </is>
      </c>
      <c r="M22" s="17" t="inlineStr">
        <is>
          <t>8 min</t>
        </is>
      </c>
      <c r="N22" s="17" t="inlineStr">
        <is>
          <t xml:space="preserve">        N/A           N/A           N/A</t>
        </is>
      </c>
      <c r="O22" s="17" t="inlineStr">
        <is>
          <t>AfKQvCedjJKMA2zVWEph1oEF4N1h9zxMdjvJbpadifFv</t>
        </is>
      </c>
      <c r="P22" s="17">
        <f>HYPERLINK("https://photon-sol.tinyastro.io/en/lp/AfKQvCedjJKMA2zVWEph1oEF4N1h9zxMdjvJbpadifFv?handle=676050794bc1b1657a56b", "View")</f>
        <v/>
      </c>
    </row>
    <row r="23">
      <c r="A23" s="20" t="inlineStr">
        <is>
          <t>GYATT</t>
        </is>
      </c>
      <c r="B23" s="21" t="n">
        <v>1111727</v>
      </c>
      <c r="C23" s="21" t="n">
        <v>0</v>
      </c>
      <c r="D23" s="21" t="inlineStr">
        <is>
          <t>0.004000</t>
        </is>
      </c>
      <c r="E23" s="21" t="inlineStr">
        <is>
          <t>1.000 SOL</t>
        </is>
      </c>
      <c r="F23" s="21" t="inlineStr">
        <is>
          <t>0.000 SOL</t>
        </is>
      </c>
      <c r="G23" s="18" t="inlineStr">
        <is>
          <t>-1.004 SOL</t>
        </is>
      </c>
      <c r="H23" s="18" t="inlineStr">
        <is>
          <t>0.00%</t>
        </is>
      </c>
      <c r="I23" s="21" t="inlineStr">
        <is>
          <t>1,111,727</t>
        </is>
      </c>
      <c r="J23" s="21" t="n">
        <v>1</v>
      </c>
      <c r="K23" s="21" t="n">
        <v>0</v>
      </c>
      <c r="L23" s="21" t="inlineStr">
        <is>
          <t>30.10.2024 21:03:02</t>
        </is>
      </c>
      <c r="M23" s="19" t="inlineStr">
        <is>
          <t>0 sec</t>
        </is>
      </c>
      <c r="N23" s="21" t="inlineStr">
        <is>
          <t xml:space="preserve">        150K           150K           171K</t>
        </is>
      </c>
      <c r="O23" s="21" t="inlineStr">
        <is>
          <t>9Nn6G3UrKf46GjYJERZdBNRa6oiZBvcQzWfkV2aHTwUe</t>
        </is>
      </c>
      <c r="P23" s="21">
        <f>HYPERLINK("https://dexscreener.com/solana/9Nn6G3UrKf46GjYJERZdBNRa6oiZBvcQzWfkV2aHTwUe", "View")</f>
        <v/>
      </c>
    </row>
    <row r="24">
      <c r="A24" s="16" t="inlineStr">
        <is>
          <t>pillstume</t>
        </is>
      </c>
      <c r="B24" s="17" t="n">
        <v>15417206</v>
      </c>
      <c r="C24" s="17" t="n">
        <v>15417206</v>
      </c>
      <c r="D24" s="17" t="inlineStr">
        <is>
          <t>0.008010</t>
        </is>
      </c>
      <c r="E24" s="17" t="inlineStr">
        <is>
          <t>1.081 SOL</t>
        </is>
      </c>
      <c r="F24" s="17" t="inlineStr">
        <is>
          <t>1.067 SOL</t>
        </is>
      </c>
      <c r="G24" s="25" t="inlineStr">
        <is>
          <t>-0.022 SOL</t>
        </is>
      </c>
      <c r="H24" s="25" t="inlineStr">
        <is>
          <t>-2.01%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30.10.2024 20:53:20</t>
        </is>
      </c>
      <c r="M24" s="19" t="inlineStr">
        <is>
          <t>29 sec</t>
        </is>
      </c>
      <c r="N24" s="17" t="inlineStr">
        <is>
          <t xml:space="preserve">         12K            12K             5K</t>
        </is>
      </c>
      <c r="O24" s="17" t="inlineStr">
        <is>
          <t>mAkyfBzPXEGSHxfJpmF1oeFrDYVzrsjkaLi4xxzpump</t>
        </is>
      </c>
      <c r="P24" s="17">
        <f>HYPERLINK("https://photon-sol.tinyastro.io/en/lp/mAkyfBzPXEGSHxfJpmF1oeFrDYVzrsjkaLi4xxzpump?handle=676050794bc1b1657a56b", "View")</f>
        <v/>
      </c>
    </row>
    <row r="25">
      <c r="A25" s="20" t="inlineStr">
        <is>
          <t>PUMPKIN</t>
        </is>
      </c>
      <c r="B25" s="21" t="n">
        <v>95334060</v>
      </c>
      <c r="C25" s="21" t="n">
        <v>95334060</v>
      </c>
      <c r="D25" s="21" t="inlineStr">
        <is>
          <t>0.016020</t>
        </is>
      </c>
      <c r="E25" s="21" t="inlineStr">
        <is>
          <t>4.225 SOL</t>
        </is>
      </c>
      <c r="F25" s="21" t="inlineStr">
        <is>
          <t>4.074 SOL</t>
        </is>
      </c>
      <c r="G25" s="25" t="inlineStr">
        <is>
          <t>-0.167 SOL</t>
        </is>
      </c>
      <c r="H25" s="25" t="inlineStr">
        <is>
          <t>-3.94%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30.10.2024 20:51:01</t>
        </is>
      </c>
      <c r="M25" s="21" t="inlineStr">
        <is>
          <t>2 min</t>
        </is>
      </c>
      <c r="N25" s="21" t="inlineStr">
        <is>
          <t xml:space="preserve">         12K             5K             5K</t>
        </is>
      </c>
      <c r="O25" s="21" t="inlineStr">
        <is>
          <t>5odNR5HTa6EA2q9g6DTZM55JS7TDx2Wkz8m4o9eypump</t>
        </is>
      </c>
      <c r="P25" s="21">
        <f>HYPERLINK("https://photon-sol.tinyastro.io/en/lp/5odNR5HTa6EA2q9g6DTZM55JS7TDx2Wkz8m4o9eypump?handle=676050794bc1b1657a56b", "View")</f>
        <v/>
      </c>
    </row>
    <row r="26">
      <c r="A26" s="16" t="inlineStr">
        <is>
          <t>EAGLE</t>
        </is>
      </c>
      <c r="B26" s="17" t="n">
        <v>67055571</v>
      </c>
      <c r="C26" s="17" t="n">
        <v>67055571</v>
      </c>
      <c r="D26" s="17" t="inlineStr">
        <is>
          <t>0.008010</t>
        </is>
      </c>
      <c r="E26" s="17" t="inlineStr">
        <is>
          <t>2.076 SOL</t>
        </is>
      </c>
      <c r="F26" s="17" t="inlineStr">
        <is>
          <t>2.807 SOL</t>
        </is>
      </c>
      <c r="G26" s="22" t="inlineStr">
        <is>
          <t>0.723 SOL</t>
        </is>
      </c>
      <c r="H26" s="22" t="inlineStr">
        <is>
          <t>34.69%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20:39:38</t>
        </is>
      </c>
      <c r="M26" s="19" t="inlineStr">
        <is>
          <t>16 sec</t>
        </is>
      </c>
      <c r="N26" s="17" t="inlineStr">
        <is>
          <t xml:space="preserve">          5K             7K             5K</t>
        </is>
      </c>
      <c r="O26" s="17" t="inlineStr">
        <is>
          <t>6jLbZEyyZC5EHkZQyw2ptcCqciQeYx3a3GMjbBYhpump</t>
        </is>
      </c>
      <c r="P26" s="17">
        <f>HYPERLINK("https://photon-sol.tinyastro.io/en/lp/6jLbZEyyZC5EHkZQyw2ptcCqciQeYx3a3GMjbBYhpump?handle=676050794bc1b1657a56b", "View")</f>
        <v/>
      </c>
    </row>
    <row r="27">
      <c r="A27" s="20" t="inlineStr">
        <is>
          <t>CHICK</t>
        </is>
      </c>
      <c r="B27" s="21" t="n">
        <v>853472</v>
      </c>
      <c r="C27" s="21" t="n">
        <v>853472</v>
      </c>
      <c r="D27" s="21" t="inlineStr">
        <is>
          <t>0.008010</t>
        </is>
      </c>
      <c r="E27" s="21" t="inlineStr">
        <is>
          <t>1.000 SOL</t>
        </is>
      </c>
      <c r="F27" s="21" t="inlineStr">
        <is>
          <t>0.394 SOL</t>
        </is>
      </c>
      <c r="G27" s="23" t="inlineStr">
        <is>
          <t>-0.614 SOL</t>
        </is>
      </c>
      <c r="H27" s="23" t="inlineStr">
        <is>
          <t>-60.89%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30.10.2024 20:29:27</t>
        </is>
      </c>
      <c r="M27" s="21" t="inlineStr">
        <is>
          <t>6 min</t>
        </is>
      </c>
      <c r="N27" s="21" t="inlineStr">
        <is>
          <t xml:space="preserve">        205K            81K            12K</t>
        </is>
      </c>
      <c r="O27" s="21" t="inlineStr">
        <is>
          <t>ANHe57KsB5za8w42cNNKHv65A9ghbqkJ3hYsJSRa14vX</t>
        </is>
      </c>
      <c r="P27" s="21">
        <f>HYPERLINK("https://dexscreener.com/solana/ANHe57KsB5za8w42cNNKHv65A9ghbqkJ3hYsJSRa14vX", "View")</f>
        <v/>
      </c>
    </row>
    <row r="28">
      <c r="A28" s="16" t="inlineStr">
        <is>
          <t>FuckPump</t>
        </is>
      </c>
      <c r="B28" s="17" t="n">
        <v>9586892</v>
      </c>
      <c r="C28" s="17" t="n">
        <v>9586892</v>
      </c>
      <c r="D28" s="17" t="inlineStr">
        <is>
          <t>0.012020</t>
        </is>
      </c>
      <c r="E28" s="17" t="inlineStr">
        <is>
          <t>1.000 SOL</t>
        </is>
      </c>
      <c r="F28" s="17" t="inlineStr">
        <is>
          <t>1.480 SOL</t>
        </is>
      </c>
      <c r="G28" s="22" t="inlineStr">
        <is>
          <t>0.468 SOL</t>
        </is>
      </c>
      <c r="H28" s="22" t="inlineStr">
        <is>
          <t>46.23%</t>
        </is>
      </c>
      <c r="I28" s="17" t="inlineStr">
        <is>
          <t>N/A</t>
        </is>
      </c>
      <c r="J28" s="17" t="n">
        <v>1</v>
      </c>
      <c r="K28" s="17" t="n">
        <v>2</v>
      </c>
      <c r="L28" s="17" t="inlineStr">
        <is>
          <t>30.10.2024 20:19:53</t>
        </is>
      </c>
      <c r="M28" s="17" t="inlineStr">
        <is>
          <t>2 min</t>
        </is>
      </c>
      <c r="N28" s="17" t="inlineStr">
        <is>
          <t xml:space="preserve">         18K            12K            989</t>
        </is>
      </c>
      <c r="O28" s="17" t="inlineStr">
        <is>
          <t>CZo7gdj8TxA1D8CW2e6opzEgAzParfVyRVKH8WAd5qAe</t>
        </is>
      </c>
      <c r="P28" s="17">
        <f>HYPERLINK("https://dexscreener.com/solana/CZo7gdj8TxA1D8CW2e6opzEgAzParfVyRVKH8WAd5qAe", "View")</f>
        <v/>
      </c>
    </row>
    <row r="29">
      <c r="A29" s="20" t="inlineStr">
        <is>
          <t>RPG</t>
        </is>
      </c>
      <c r="B29" s="21" t="n">
        <v>3998156</v>
      </c>
      <c r="C29" s="21" t="n">
        <v>3998156</v>
      </c>
      <c r="D29" s="21" t="inlineStr">
        <is>
          <t>0.020030</t>
        </is>
      </c>
      <c r="E29" s="21" t="inlineStr">
        <is>
          <t>1.170 SOL</t>
        </is>
      </c>
      <c r="F29" s="21" t="inlineStr">
        <is>
          <t>1.827 SOL</t>
        </is>
      </c>
      <c r="G29" s="24" t="inlineStr">
        <is>
          <t>0.637 SOL</t>
        </is>
      </c>
      <c r="H29" s="24" t="inlineStr">
        <is>
          <t>53.56%</t>
        </is>
      </c>
      <c r="I29" s="21" t="inlineStr">
        <is>
          <t>N/A</t>
        </is>
      </c>
      <c r="J29" s="21" t="n">
        <v>1</v>
      </c>
      <c r="K29" s="21" t="n">
        <v>4</v>
      </c>
      <c r="L29" s="21" t="inlineStr">
        <is>
          <t>30.10.2024 19:48:37</t>
        </is>
      </c>
      <c r="M29" s="21" t="inlineStr">
        <is>
          <t>4 min</t>
        </is>
      </c>
      <c r="N29" s="21" t="inlineStr">
        <is>
          <t xml:space="preserve">         51K            42K             7K</t>
        </is>
      </c>
      <c r="O29" s="21" t="inlineStr">
        <is>
          <t>FP8KVrhyWKTAZwiKRPqZyUrErh96qyyeqxjgdyMUpump</t>
        </is>
      </c>
      <c r="P29" s="21">
        <f>HYPERLINK("https://photon-sol.tinyastro.io/en/lp/FP8KVrhyWKTAZwiKRPqZyUrErh96qyyeqxjgdyMUpump?handle=676050794bc1b1657a56b", "View")</f>
        <v/>
      </c>
    </row>
    <row r="30">
      <c r="A30" s="16" t="inlineStr">
        <is>
          <t>maow</t>
        </is>
      </c>
      <c r="B30" s="17" t="n">
        <v>10726710</v>
      </c>
      <c r="C30" s="17" t="n">
        <v>10726710</v>
      </c>
      <c r="D30" s="17" t="inlineStr">
        <is>
          <t>0.012010</t>
        </is>
      </c>
      <c r="E30" s="17" t="inlineStr">
        <is>
          <t>2.245 SOL</t>
        </is>
      </c>
      <c r="F30" s="17" t="inlineStr">
        <is>
          <t>2.071 SOL</t>
        </is>
      </c>
      <c r="G30" s="25" t="inlineStr">
        <is>
          <t>-0.186 SOL</t>
        </is>
      </c>
      <c r="H30" s="25" t="inlineStr">
        <is>
          <t>-8.23%</t>
        </is>
      </c>
      <c r="I30" s="17" t="inlineStr">
        <is>
          <t>N/A</t>
        </is>
      </c>
      <c r="J30" s="17" t="n">
        <v>2</v>
      </c>
      <c r="K30" s="17" t="n">
        <v>1</v>
      </c>
      <c r="L30" s="17" t="inlineStr">
        <is>
          <t>30.10.2024 19:14:33</t>
        </is>
      </c>
      <c r="M30" s="19" t="inlineStr">
        <is>
          <t>51 sec</t>
        </is>
      </c>
      <c r="N30" s="17" t="inlineStr">
        <is>
          <t xml:space="preserve">         51K            33K             6K</t>
        </is>
      </c>
      <c r="O30" s="17" t="inlineStr">
        <is>
          <t>CUrwywg97BTWCrb3BYQH11ArbTyoENEe4kFpA2dcDS2F</t>
        </is>
      </c>
      <c r="P30" s="17">
        <f>HYPERLINK("https://photon-sol.tinyastro.io/en/lp/CUrwywg97BTWCrb3BYQH11ArbTyoENEe4kFpA2dcDS2F?handle=676050794bc1b1657a56b", "View")</f>
        <v/>
      </c>
    </row>
    <row r="31">
      <c r="A31" s="20" t="inlineStr">
        <is>
          <t>BOOM</t>
        </is>
      </c>
      <c r="B31" s="21" t="n">
        <v>15290119</v>
      </c>
      <c r="C31" s="21" t="n">
        <v>15290119</v>
      </c>
      <c r="D31" s="21" t="inlineStr">
        <is>
          <t>0.024030</t>
        </is>
      </c>
      <c r="E31" s="21" t="inlineStr">
        <is>
          <t>1.056 SOL</t>
        </is>
      </c>
      <c r="F31" s="21" t="inlineStr">
        <is>
          <t>4.731 SOL</t>
        </is>
      </c>
      <c r="G31" s="24" t="inlineStr">
        <is>
          <t>3.651 SOL</t>
        </is>
      </c>
      <c r="H31" s="24" t="inlineStr">
        <is>
          <t>338.01%</t>
        </is>
      </c>
      <c r="I31" s="21" t="inlineStr">
        <is>
          <t>N/A</t>
        </is>
      </c>
      <c r="J31" s="21" t="n">
        <v>1</v>
      </c>
      <c r="K31" s="21" t="n">
        <v>5</v>
      </c>
      <c r="L31" s="21" t="inlineStr">
        <is>
          <t>30.10.2024 19:11:36</t>
        </is>
      </c>
      <c r="M31" s="21" t="inlineStr">
        <is>
          <t>40 min</t>
        </is>
      </c>
      <c r="N31" s="21" t="inlineStr">
        <is>
          <t xml:space="preserve">         12K            23K            17K</t>
        </is>
      </c>
      <c r="O31" s="21" t="inlineStr">
        <is>
          <t>FjqmRY2wjdBCJ4MdhtZctKGYWG5q9k9zNHa7kguQpump</t>
        </is>
      </c>
      <c r="P31" s="21">
        <f>HYPERLINK("https://photon-sol.tinyastro.io/en/lp/FjqmRY2wjdBCJ4MdhtZctKGYWG5q9k9zNHa7kguQpump?handle=676050794bc1b1657a56b", "View")</f>
        <v/>
      </c>
    </row>
    <row r="32">
      <c r="A32" s="16" t="inlineStr">
        <is>
          <t>PM</t>
        </is>
      </c>
      <c r="B32" s="17" t="n">
        <v>12490949</v>
      </c>
      <c r="C32" s="17" t="n">
        <v>12490949</v>
      </c>
      <c r="D32" s="17" t="inlineStr">
        <is>
          <t>0.008010</t>
        </is>
      </c>
      <c r="E32" s="17" t="inlineStr">
        <is>
          <t>2.078 SOL</t>
        </is>
      </c>
      <c r="F32" s="17" t="inlineStr">
        <is>
          <t>0.542 SOL</t>
        </is>
      </c>
      <c r="G32" s="23" t="inlineStr">
        <is>
          <t>-1.544 SOL</t>
        </is>
      </c>
      <c r="H32" s="23" t="inlineStr">
        <is>
          <t>-74.03%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30.10.2024 19:00:06</t>
        </is>
      </c>
      <c r="M32" s="19" t="inlineStr">
        <is>
          <t>22 sec</t>
        </is>
      </c>
      <c r="N32" s="17" t="inlineStr">
        <is>
          <t xml:space="preserve">         30K             7K             5K</t>
        </is>
      </c>
      <c r="O32" s="17" t="inlineStr">
        <is>
          <t>FD1GoQJ6TiQbr1nL1drPQxV3WSLdhCuDz7METwoApump</t>
        </is>
      </c>
      <c r="P32" s="17">
        <f>HYPERLINK("https://photon-sol.tinyastro.io/en/lp/FD1GoQJ6TiQbr1nL1drPQxV3WSLdhCuDz7METwoApump?handle=676050794bc1b1657a56b", "View")</f>
        <v/>
      </c>
    </row>
    <row r="33">
      <c r="A33" s="20" t="inlineStr">
        <is>
          <t>WTC</t>
        </is>
      </c>
      <c r="B33" s="21" t="n">
        <v>16941662</v>
      </c>
      <c r="C33" s="21" t="n">
        <v>16941662</v>
      </c>
      <c r="D33" s="21" t="inlineStr">
        <is>
          <t>0.012020</t>
        </is>
      </c>
      <c r="E33" s="21" t="inlineStr">
        <is>
          <t>1.056 SOL</t>
        </is>
      </c>
      <c r="F33" s="21" t="inlineStr">
        <is>
          <t>1.578 SOL</t>
        </is>
      </c>
      <c r="G33" s="22" t="inlineStr">
        <is>
          <t>0.509 SOL</t>
        </is>
      </c>
      <c r="H33" s="22" t="inlineStr">
        <is>
          <t>47.70%</t>
        </is>
      </c>
      <c r="I33" s="21" t="inlineStr">
        <is>
          <t>N/A</t>
        </is>
      </c>
      <c r="J33" s="21" t="n">
        <v>1</v>
      </c>
      <c r="K33" s="21" t="n">
        <v>2</v>
      </c>
      <c r="L33" s="21" t="inlineStr">
        <is>
          <t>30.10.2024 18:45:59</t>
        </is>
      </c>
      <c r="M33" s="21" t="inlineStr">
        <is>
          <t>5 min</t>
        </is>
      </c>
      <c r="N33" s="21" t="inlineStr">
        <is>
          <t xml:space="preserve">         11K            11K             6K</t>
        </is>
      </c>
      <c r="O33" s="21" t="inlineStr">
        <is>
          <t>J9dY9eaaJsAhLu4RSSt9GAxswSvVD7ADCz2bGuEopump</t>
        </is>
      </c>
      <c r="P33" s="21">
        <f>HYPERLINK("https://photon-sol.tinyastro.io/en/lp/J9dY9eaaJsAhLu4RSSt9GAxswSvVD7ADCz2bGuEopump?handle=676050794bc1b1657a56b", "View")</f>
        <v/>
      </c>
    </row>
    <row r="34">
      <c r="A34" s="16" t="inlineStr">
        <is>
          <t>lit</t>
        </is>
      </c>
      <c r="B34" s="17" t="n">
        <v>14143624</v>
      </c>
      <c r="C34" s="17" t="n">
        <v>14143624</v>
      </c>
      <c r="D34" s="17" t="inlineStr">
        <is>
          <t>0.020030</t>
        </is>
      </c>
      <c r="E34" s="17" t="inlineStr">
        <is>
          <t>4.128 SOL</t>
        </is>
      </c>
      <c r="F34" s="17" t="inlineStr">
        <is>
          <t>4.045 SOL</t>
        </is>
      </c>
      <c r="G34" s="25" t="inlineStr">
        <is>
          <t>-0.102 SOL</t>
        </is>
      </c>
      <c r="H34" s="25" t="inlineStr">
        <is>
          <t>-2.47%</t>
        </is>
      </c>
      <c r="I34" s="17" t="inlineStr">
        <is>
          <t>N/A</t>
        </is>
      </c>
      <c r="J34" s="17" t="n">
        <v>3</v>
      </c>
      <c r="K34" s="17" t="n">
        <v>2</v>
      </c>
      <c r="L34" s="17" t="inlineStr">
        <is>
          <t>30.10.2024 18:07:08</t>
        </is>
      </c>
      <c r="M34" s="17" t="inlineStr">
        <is>
          <t>9 min</t>
        </is>
      </c>
      <c r="N34" s="17" t="inlineStr">
        <is>
          <t xml:space="preserve">         76K            39K             4K</t>
        </is>
      </c>
      <c r="O34" s="17" t="inlineStr">
        <is>
          <t>BZ4xhW34TAzt6oAkpYSNtfGpQG1C1BpvmwfUNxyypump</t>
        </is>
      </c>
      <c r="P34" s="17">
        <f>HYPERLINK("https://photon-sol.tinyastro.io/en/lp/BZ4xhW34TAzt6oAkpYSNtfGpQG1C1BpvmwfUNxyypump?handle=676050794bc1b1657a56b", "View")</f>
        <v/>
      </c>
    </row>
    <row r="35">
      <c r="A35" s="20" t="inlineStr">
        <is>
          <t>KLING</t>
        </is>
      </c>
      <c r="B35" s="21" t="n">
        <v>52295614</v>
      </c>
      <c r="C35" s="21" t="n">
        <v>64086477</v>
      </c>
      <c r="D35" s="21" t="inlineStr">
        <is>
          <t>0.012020</t>
        </is>
      </c>
      <c r="E35" s="21" t="inlineStr">
        <is>
          <t>2.000 SOL</t>
        </is>
      </c>
      <c r="F35" s="21" t="inlineStr">
        <is>
          <t>3.142 SOL</t>
        </is>
      </c>
      <c r="G35" s="24" t="inlineStr">
        <is>
          <t>1.130 SOL</t>
        </is>
      </c>
      <c r="H35" s="24" t="inlineStr">
        <is>
          <t>56.16%</t>
        </is>
      </c>
      <c r="I35" s="21" t="inlineStr">
        <is>
          <t>N/A</t>
        </is>
      </c>
      <c r="J35" s="21" t="n">
        <v>1</v>
      </c>
      <c r="K35" s="21" t="n">
        <v>2</v>
      </c>
      <c r="L35" s="21" t="inlineStr">
        <is>
          <t>30.10.2024 17:45:39</t>
        </is>
      </c>
      <c r="M35" s="21" t="inlineStr">
        <is>
          <t>6 days</t>
        </is>
      </c>
      <c r="N35" s="21" t="inlineStr">
        <is>
          <t xml:space="preserve">          6K             8K             6K</t>
        </is>
      </c>
      <c r="O35" s="21" t="inlineStr">
        <is>
          <t>CxSsfTSBDER6opB1uTCu7s4Z3QcTorhYJvk9nPqCpump</t>
        </is>
      </c>
      <c r="P35" s="21">
        <f>HYPERLINK("https://dexscreener.com/solana/CxSsfTSBDER6opB1uTCu7s4Z3QcTorhYJvk9nPqCpump", "View")</f>
        <v/>
      </c>
    </row>
    <row r="36">
      <c r="A36" s="16" t="inlineStr">
        <is>
          <t>Mr Bitcoin</t>
        </is>
      </c>
      <c r="B36" s="17" t="n">
        <v>7124494</v>
      </c>
      <c r="C36" s="17" t="n">
        <v>7124494</v>
      </c>
      <c r="D36" s="17" t="inlineStr">
        <is>
          <t>0.012020</t>
        </is>
      </c>
      <c r="E36" s="17" t="inlineStr">
        <is>
          <t>2.110 SOL</t>
        </is>
      </c>
      <c r="F36" s="17" t="inlineStr">
        <is>
          <t>1.631 SOL</t>
        </is>
      </c>
      <c r="G36" s="25" t="inlineStr">
        <is>
          <t>-0.491 SOL</t>
        </is>
      </c>
      <c r="H36" s="25" t="inlineStr">
        <is>
          <t>-23.14%</t>
        </is>
      </c>
      <c r="I36" s="17" t="inlineStr">
        <is>
          <t>N/A</t>
        </is>
      </c>
      <c r="J36" s="17" t="n">
        <v>2</v>
      </c>
      <c r="K36" s="17" t="n">
        <v>1</v>
      </c>
      <c r="L36" s="17" t="inlineStr">
        <is>
          <t>30.10.2024 17:19:52</t>
        </is>
      </c>
      <c r="M36" s="17" t="inlineStr">
        <is>
          <t>11 min</t>
        </is>
      </c>
      <c r="N36" s="17" t="inlineStr">
        <is>
          <t xml:space="preserve">         44K            65K            37K</t>
        </is>
      </c>
      <c r="O36" s="17" t="inlineStr">
        <is>
          <t>6JocA9yXWP3nsVN7XYTXmf6gm69nMzUSj8Rbnt9rpump</t>
        </is>
      </c>
      <c r="P36" s="17">
        <f>HYPERLINK("https://photon-sol.tinyastro.io/en/lp/6JocA9yXWP3nsVN7XYTXmf6gm69nMzUSj8Rbnt9rpump?handle=676050794bc1b1657a56b", "View")</f>
        <v/>
      </c>
    </row>
    <row r="37">
      <c r="A37" s="20" t="inlineStr">
        <is>
          <t>MOMO</t>
        </is>
      </c>
      <c r="B37" s="21" t="n">
        <v>55338736</v>
      </c>
      <c r="C37" s="21" t="n">
        <v>30000000</v>
      </c>
      <c r="D37" s="21" t="inlineStr">
        <is>
          <t>0.096120</t>
        </is>
      </c>
      <c r="E37" s="21" t="inlineStr">
        <is>
          <t>2.076 SOL</t>
        </is>
      </c>
      <c r="F37" s="21" t="inlineStr">
        <is>
          <t>18.064 SOL</t>
        </is>
      </c>
      <c r="G37" s="24" t="inlineStr">
        <is>
          <t>15.891 SOL</t>
        </is>
      </c>
      <c r="H37" s="24" t="inlineStr">
        <is>
          <t>731.59%</t>
        </is>
      </c>
      <c r="I37" s="21" t="inlineStr">
        <is>
          <t>N/A</t>
        </is>
      </c>
      <c r="J37" s="21" t="n">
        <v>1</v>
      </c>
      <c r="K37" s="21" t="n">
        <v>23</v>
      </c>
      <c r="L37" s="21" t="inlineStr">
        <is>
          <t>30.10.2024 16:43:46</t>
        </is>
      </c>
      <c r="M37" s="21" t="inlineStr">
        <is>
          <t>40 min</t>
        </is>
      </c>
      <c r="N37" s="21" t="inlineStr">
        <is>
          <t xml:space="preserve">          7K             7K             9K</t>
        </is>
      </c>
      <c r="O37" s="21" t="inlineStr">
        <is>
          <t>4FieKJu1twj631v1NbDdpocqWS72Up36N3Lf3C1dpump</t>
        </is>
      </c>
      <c r="P37" s="21">
        <f>HYPERLINK("https://photon-sol.tinyastro.io/en/lp/4FieKJu1twj631v1NbDdpocqWS72Up36N3Lf3C1dpump?handle=676050794bc1b1657a56b", "View")</f>
        <v/>
      </c>
    </row>
    <row r="38">
      <c r="A38" s="16" t="inlineStr">
        <is>
          <t>PUMPSHIE</t>
        </is>
      </c>
      <c r="B38" s="17" t="n">
        <v>29784950</v>
      </c>
      <c r="C38" s="17" t="n">
        <v>29784950</v>
      </c>
      <c r="D38" s="17" t="inlineStr">
        <is>
          <t>0.008010</t>
        </is>
      </c>
      <c r="E38" s="17" t="inlineStr">
        <is>
          <t>2.000 SOL</t>
        </is>
      </c>
      <c r="F38" s="17" t="inlineStr">
        <is>
          <t>2.155 SOL</t>
        </is>
      </c>
      <c r="G38" s="22" t="inlineStr">
        <is>
          <t>0.147 SOL</t>
        </is>
      </c>
      <c r="H38" s="22" t="inlineStr">
        <is>
          <t>7.30%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30.10.2024 15:56:56</t>
        </is>
      </c>
      <c r="M38" s="19" t="inlineStr">
        <is>
          <t>50 sec</t>
        </is>
      </c>
      <c r="N38" s="17" t="inlineStr">
        <is>
          <t xml:space="preserve">         12K            12K            11K</t>
        </is>
      </c>
      <c r="O38" s="17" t="inlineStr">
        <is>
          <t>83J65ePJ84RYX8RWfbVmnwcD7RkFh2dTLfV2cgHnpump</t>
        </is>
      </c>
      <c r="P38" s="17">
        <f>HYPERLINK("https://dexscreener.com/solana/83J65ePJ84RYX8RWfbVmnwcD7RkFh2dTLfV2cgHnpump", "View")</f>
        <v/>
      </c>
    </row>
    <row r="39">
      <c r="A39" s="20" t="inlineStr">
        <is>
          <t>FUN</t>
        </is>
      </c>
      <c r="B39" s="21" t="n">
        <v>73873156</v>
      </c>
      <c r="C39" s="21" t="n">
        <v>73873156</v>
      </c>
      <c r="D39" s="21" t="inlineStr">
        <is>
          <t>0.008010</t>
        </is>
      </c>
      <c r="E39" s="21" t="inlineStr">
        <is>
          <t>3.096 SOL</t>
        </is>
      </c>
      <c r="F39" s="21" t="inlineStr">
        <is>
          <t>3.029 SOL</t>
        </is>
      </c>
      <c r="G39" s="25" t="inlineStr">
        <is>
          <t>-0.075 SOL</t>
        </is>
      </c>
      <c r="H39" s="25" t="inlineStr">
        <is>
          <t>-2.42%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30.10.2024 15:56:17</t>
        </is>
      </c>
      <c r="M39" s="21" t="inlineStr">
        <is>
          <t>2 min</t>
        </is>
      </c>
      <c r="N39" s="21" t="inlineStr">
        <is>
          <t xml:space="preserve">          7K             7K             6K</t>
        </is>
      </c>
      <c r="O39" s="21" t="inlineStr">
        <is>
          <t>D28gP2rmTJKiycXkLt8Xgspe3N7LzxFjyTquqSo6pump</t>
        </is>
      </c>
      <c r="P39" s="21">
        <f>HYPERLINK("https://photon-sol.tinyastro.io/en/lp/D28gP2rmTJKiycXkLt8Xgspe3N7LzxFjyTquqSo6pump?handle=676050794bc1b1657a56b", "View")</f>
        <v/>
      </c>
    </row>
    <row r="40">
      <c r="A40" s="16" t="inlineStr">
        <is>
          <t>Donkey</t>
        </is>
      </c>
      <c r="B40" s="17" t="n">
        <v>17900172</v>
      </c>
      <c r="C40" s="17" t="n">
        <v>17900172</v>
      </c>
      <c r="D40" s="17" t="inlineStr">
        <is>
          <t>0.012020</t>
        </is>
      </c>
      <c r="E40" s="17" t="inlineStr">
        <is>
          <t>1.978 SOL</t>
        </is>
      </c>
      <c r="F40" s="17" t="inlineStr">
        <is>
          <t>1.017 SOL</t>
        </is>
      </c>
      <c r="G40" s="25" t="inlineStr">
        <is>
          <t>-0.973 SOL</t>
        </is>
      </c>
      <c r="H40" s="25" t="inlineStr">
        <is>
          <t>-48.89%</t>
        </is>
      </c>
      <c r="I40" s="17" t="inlineStr">
        <is>
          <t>N/A</t>
        </is>
      </c>
      <c r="J40" s="17" t="n">
        <v>2</v>
      </c>
      <c r="K40" s="17" t="n">
        <v>1</v>
      </c>
      <c r="L40" s="17" t="inlineStr">
        <is>
          <t>30.10.2024 15:51:53</t>
        </is>
      </c>
      <c r="M40" s="17" t="inlineStr">
        <is>
          <t>2 min</t>
        </is>
      </c>
      <c r="N40" s="17" t="inlineStr">
        <is>
          <t xml:space="preserve">         14K            30K             5K</t>
        </is>
      </c>
      <c r="O40" s="17" t="inlineStr">
        <is>
          <t>F3MXXH6Ua3iyvjpcCYPqdriEon4NrdfDN9cFDYVJpump</t>
        </is>
      </c>
      <c r="P40" s="17">
        <f>HYPERLINK("https://photon-sol.tinyastro.io/en/lp/F3MXXH6Ua3iyvjpcCYPqdriEon4NrdfDN9cFDYVJpump?handle=676050794bc1b1657a56b", "View")</f>
        <v/>
      </c>
    </row>
    <row r="41">
      <c r="A41" s="20" t="inlineStr">
        <is>
          <t>PUNPFUN</t>
        </is>
      </c>
      <c r="B41" s="21" t="n">
        <v>56051311</v>
      </c>
      <c r="C41" s="21" t="n">
        <v>56051311</v>
      </c>
      <c r="D41" s="21" t="inlineStr">
        <is>
          <t>0.008010</t>
        </is>
      </c>
      <c r="E41" s="21" t="inlineStr">
        <is>
          <t>3.096 SOL</t>
        </is>
      </c>
      <c r="F41" s="21" t="inlineStr">
        <is>
          <t>3.485 SOL</t>
        </is>
      </c>
      <c r="G41" s="22" t="inlineStr">
        <is>
          <t>0.381 SOL</t>
        </is>
      </c>
      <c r="H41" s="22" t="inlineStr">
        <is>
          <t>12.26%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30.10.2024 15:34:11</t>
        </is>
      </c>
      <c r="M41" s="19" t="inlineStr">
        <is>
          <t>14 sec</t>
        </is>
      </c>
      <c r="N41" s="21" t="inlineStr">
        <is>
          <t xml:space="preserve">        N/A           N/A           N/A</t>
        </is>
      </c>
      <c r="O41" s="21" t="inlineStr">
        <is>
          <t>BUn5ZhmY5ZvkZR4ntWp1GJudYCj2W7JAYgt2TmXdEg6r</t>
        </is>
      </c>
      <c r="P41" s="21">
        <f>HYPERLINK("https://photon-sol.tinyastro.io/en/lp/BUn5ZhmY5ZvkZR4ntWp1GJudYCj2W7JAYgt2TmXdEg6r?handle=676050794bc1b1657a56b", "View")</f>
        <v/>
      </c>
    </row>
    <row r="42">
      <c r="A42" s="16" t="inlineStr">
        <is>
          <t>PUMP</t>
        </is>
      </c>
      <c r="B42" s="17" t="n">
        <v>14974927</v>
      </c>
      <c r="C42" s="17" t="n">
        <v>14974927</v>
      </c>
      <c r="D42" s="17" t="inlineStr">
        <is>
          <t>0.020030</t>
        </is>
      </c>
      <c r="E42" s="17" t="inlineStr">
        <is>
          <t>5.024 SOL</t>
        </is>
      </c>
      <c r="F42" s="17" t="inlineStr">
        <is>
          <t>2.060 SOL</t>
        </is>
      </c>
      <c r="G42" s="23" t="inlineStr">
        <is>
          <t>-2.984 SOL</t>
        </is>
      </c>
      <c r="H42" s="23" t="inlineStr">
        <is>
          <t>-59.16%</t>
        </is>
      </c>
      <c r="I42" s="17" t="inlineStr">
        <is>
          <t>N/A</t>
        </is>
      </c>
      <c r="J42" s="17" t="n">
        <v>3</v>
      </c>
      <c r="K42" s="17" t="n">
        <v>2</v>
      </c>
      <c r="L42" s="17" t="inlineStr">
        <is>
          <t>30.10.2024 15:31:56</t>
        </is>
      </c>
      <c r="M42" s="17" t="inlineStr">
        <is>
          <t>13 min</t>
        </is>
      </c>
      <c r="N42" s="17" t="inlineStr">
        <is>
          <t xml:space="preserve">         51K            84K             7K</t>
        </is>
      </c>
      <c r="O42" s="17" t="inlineStr">
        <is>
          <t>8suXssFRAAF7UMcxhRkG3n6mzkxuAJRCgkaY3Vy6G3Uu</t>
        </is>
      </c>
      <c r="P42" s="17">
        <f>HYPERLINK("https://photon-sol.tinyastro.io/en/lp/8suXssFRAAF7UMcxhRkG3n6mzkxuAJRCgkaY3Vy6G3Uu?handle=676050794bc1b1657a56b", "View")</f>
        <v/>
      </c>
    </row>
    <row r="43">
      <c r="A43" s="20" t="inlineStr">
        <is>
          <t>DORAE</t>
        </is>
      </c>
      <c r="B43" s="21" t="n">
        <v>141637</v>
      </c>
      <c r="C43" s="21" t="n">
        <v>0</v>
      </c>
      <c r="D43" s="21" t="inlineStr">
        <is>
          <t>0.004010</t>
        </is>
      </c>
      <c r="E43" s="21" t="inlineStr">
        <is>
          <t>0.500 SOL</t>
        </is>
      </c>
      <c r="F43" s="21" t="inlineStr">
        <is>
          <t>0.000 SOL</t>
        </is>
      </c>
      <c r="G43" s="18" t="inlineStr">
        <is>
          <t>-0.504 SOL</t>
        </is>
      </c>
      <c r="H43" s="18" t="inlineStr">
        <is>
          <t>0.00%</t>
        </is>
      </c>
      <c r="I43" s="21" t="inlineStr">
        <is>
          <t>141,637</t>
        </is>
      </c>
      <c r="J43" s="21" t="n">
        <v>1</v>
      </c>
      <c r="K43" s="21" t="n">
        <v>0</v>
      </c>
      <c r="L43" s="21" t="inlineStr">
        <is>
          <t>30.10.2024 14:54:11</t>
        </is>
      </c>
      <c r="M43" s="19" t="inlineStr">
        <is>
          <t>0 sec</t>
        </is>
      </c>
      <c r="N43" s="21" t="inlineStr">
        <is>
          <t xml:space="preserve">        620K           620K             8K</t>
        </is>
      </c>
      <c r="O43" s="21" t="inlineStr">
        <is>
          <t>4YGovsKxDuuXAKjvbDtwq7x1TCcTPYsgKLK4NpMppump</t>
        </is>
      </c>
      <c r="P43" s="21">
        <f>HYPERLINK("https://dexscreener.com/solana/4YGovsKxDuuXAKjvbDtwq7x1TCcTPYsgKLK4NpMppump", "View")</f>
        <v/>
      </c>
    </row>
    <row r="44">
      <c r="A44" s="16" t="inlineStr">
        <is>
          <t>iSong</t>
        </is>
      </c>
      <c r="B44" s="17" t="n">
        <v>43855029</v>
      </c>
      <c r="C44" s="17" t="n">
        <v>43855029</v>
      </c>
      <c r="D44" s="17" t="inlineStr">
        <is>
          <t>0.008010</t>
        </is>
      </c>
      <c r="E44" s="17" t="inlineStr">
        <is>
          <t>2.076 SOL</t>
        </is>
      </c>
      <c r="F44" s="17" t="inlineStr">
        <is>
          <t>2.942 SOL</t>
        </is>
      </c>
      <c r="G44" s="22" t="inlineStr">
        <is>
          <t>0.858 SOL</t>
        </is>
      </c>
      <c r="H44" s="22" t="inlineStr">
        <is>
          <t>41.17%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30.10.2024 14:51:55</t>
        </is>
      </c>
      <c r="M44" s="17" t="inlineStr">
        <is>
          <t>9 min</t>
        </is>
      </c>
      <c r="N44" s="17" t="inlineStr">
        <is>
          <t xml:space="preserve">          9K             9K             7K</t>
        </is>
      </c>
      <c r="O44" s="17" t="inlineStr">
        <is>
          <t>PN9VFZeyu77UKuyXZHvR3x69dYZxcjwstKFmzmepump</t>
        </is>
      </c>
      <c r="P44" s="17">
        <f>HYPERLINK("https://photon-sol.tinyastro.io/en/lp/PN9VFZeyu77UKuyXZHvR3x69dYZxcjwstKFmzmepump?handle=676050794bc1b1657a56b", "View")</f>
        <v/>
      </c>
    </row>
    <row r="45">
      <c r="A45" s="20" t="inlineStr">
        <is>
          <t>iSong</t>
        </is>
      </c>
      <c r="B45" s="21" t="n">
        <v>42085701</v>
      </c>
      <c r="C45" s="21" t="n">
        <v>42085701</v>
      </c>
      <c r="D45" s="21" t="inlineStr">
        <is>
          <t>0.028040</t>
        </is>
      </c>
      <c r="E45" s="21" t="inlineStr">
        <is>
          <t>7.932 SOL</t>
        </is>
      </c>
      <c r="F45" s="21" t="inlineStr">
        <is>
          <t>7.604 SOL</t>
        </is>
      </c>
      <c r="G45" s="25" t="inlineStr">
        <is>
          <t>-0.356 SOL</t>
        </is>
      </c>
      <c r="H45" s="25" t="inlineStr">
        <is>
          <t>-4.48%</t>
        </is>
      </c>
      <c r="I45" s="21" t="inlineStr">
        <is>
          <t>N/A</t>
        </is>
      </c>
      <c r="J45" s="21" t="n">
        <v>5</v>
      </c>
      <c r="K45" s="21" t="n">
        <v>2</v>
      </c>
      <c r="L45" s="21" t="inlineStr">
        <is>
          <t>30.10.2024 14:39:28</t>
        </is>
      </c>
      <c r="M45" s="21" t="inlineStr">
        <is>
          <t>4 min</t>
        </is>
      </c>
      <c r="N45" s="21" t="inlineStr">
        <is>
          <t xml:space="preserve">         33K            30K             5K</t>
        </is>
      </c>
      <c r="O45" s="21" t="inlineStr">
        <is>
          <t>34YCAD1RkatyHRtT6T4CyAYzFfyHgKLpEYJUMSMjpump</t>
        </is>
      </c>
      <c r="P45" s="21">
        <f>HYPERLINK("https://photon-sol.tinyastro.io/en/lp/34YCAD1RkatyHRtT6T4CyAYzFfyHgKLpEYJUMSMjpump?handle=676050794bc1b1657a56b", "View")</f>
        <v/>
      </c>
    </row>
    <row r="46">
      <c r="A46" s="16" t="inlineStr">
        <is>
          <t>dumberdue</t>
        </is>
      </c>
      <c r="B46" s="17" t="n">
        <v>67058169</v>
      </c>
      <c r="C46" s="17" t="n">
        <v>67058169</v>
      </c>
      <c r="D46" s="17" t="inlineStr">
        <is>
          <t>0.008010</t>
        </is>
      </c>
      <c r="E46" s="17" t="inlineStr">
        <is>
          <t>2.076 SOL</t>
        </is>
      </c>
      <c r="F46" s="17" t="inlineStr">
        <is>
          <t>2.510 SOL</t>
        </is>
      </c>
      <c r="G46" s="22" t="inlineStr">
        <is>
          <t>0.426 SOL</t>
        </is>
      </c>
      <c r="H46" s="22" t="inlineStr">
        <is>
          <t>20.42%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30.10.2024 14:07:57</t>
        </is>
      </c>
      <c r="M46" s="19" t="inlineStr">
        <is>
          <t>20 sec</t>
        </is>
      </c>
      <c r="N46" s="17" t="inlineStr">
        <is>
          <t xml:space="preserve">          5K             7K             5K</t>
        </is>
      </c>
      <c r="O46" s="17" t="inlineStr">
        <is>
          <t>ATTQ3eLvJuGZ7BcSD9T3Csyhrzs71YXYe6BPfbusNYhZ</t>
        </is>
      </c>
      <c r="P46" s="17">
        <f>HYPERLINK("https://photon-sol.tinyastro.io/en/lp/ATTQ3eLvJuGZ7BcSD9T3Csyhrzs71YXYe6BPfbusNYhZ?handle=676050794bc1b1657a56b", "View")</f>
        <v/>
      </c>
    </row>
    <row r="47">
      <c r="A47" s="20" t="inlineStr">
        <is>
          <t>POOKIE</t>
        </is>
      </c>
      <c r="B47" s="21" t="n">
        <v>11400737</v>
      </c>
      <c r="C47" s="21" t="n">
        <v>11400737</v>
      </c>
      <c r="D47" s="21" t="inlineStr">
        <is>
          <t>0.016020</t>
        </is>
      </c>
      <c r="E47" s="21" t="inlineStr">
        <is>
          <t>2.154 SOL</t>
        </is>
      </c>
      <c r="F47" s="21" t="inlineStr">
        <is>
          <t>1.473 SOL</t>
        </is>
      </c>
      <c r="G47" s="25" t="inlineStr">
        <is>
          <t>-0.697 SOL</t>
        </is>
      </c>
      <c r="H47" s="25" t="inlineStr">
        <is>
          <t>-32.14%</t>
        </is>
      </c>
      <c r="I47" s="21" t="inlineStr">
        <is>
          <t>N/A</t>
        </is>
      </c>
      <c r="J47" s="21" t="n">
        <v>2</v>
      </c>
      <c r="K47" s="21" t="n">
        <v>2</v>
      </c>
      <c r="L47" s="21" t="inlineStr">
        <is>
          <t>30.10.2024 14:06:07</t>
        </is>
      </c>
      <c r="M47" s="21" t="inlineStr">
        <is>
          <t>2 min</t>
        </is>
      </c>
      <c r="N47" s="21" t="inlineStr">
        <is>
          <t xml:space="preserve">         30K            37K             5K</t>
        </is>
      </c>
      <c r="O47" s="21" t="inlineStr">
        <is>
          <t>gh2xVbvsXa4i3GRSqsyvUzcejT4BgawLzERTRnupump</t>
        </is>
      </c>
      <c r="P47" s="21">
        <f>HYPERLINK("https://photon-sol.tinyastro.io/en/lp/gh2xVbvsXa4i3GRSqsyvUzcejT4BgawLzERTRnupump?handle=676050794bc1b1657a56b", "View")</f>
        <v/>
      </c>
    </row>
    <row r="48">
      <c r="A48" s="16" t="inlineStr">
        <is>
          <t>MrJeet</t>
        </is>
      </c>
      <c r="B48" s="17" t="n">
        <v>5609386</v>
      </c>
      <c r="C48" s="17" t="n">
        <v>5609386</v>
      </c>
      <c r="D48" s="17" t="inlineStr">
        <is>
          <t>0.008010</t>
        </is>
      </c>
      <c r="E48" s="17" t="inlineStr">
        <is>
          <t>1.046 SOL</t>
        </is>
      </c>
      <c r="F48" s="17" t="inlineStr">
        <is>
          <t>1.080 SOL</t>
        </is>
      </c>
      <c r="G48" s="22" t="inlineStr">
        <is>
          <t>0.026 SOL</t>
        </is>
      </c>
      <c r="H48" s="22" t="inlineStr">
        <is>
          <t>2.49%</t>
        </is>
      </c>
      <c r="I48" s="17" t="inlineStr">
        <is>
          <t>N/A</t>
        </is>
      </c>
      <c r="J48" s="17" t="n">
        <v>1</v>
      </c>
      <c r="K48" s="17" t="n">
        <v>1</v>
      </c>
      <c r="L48" s="17" t="inlineStr">
        <is>
          <t>30.10.2024 14:01:36</t>
        </is>
      </c>
      <c r="M48" s="19" t="inlineStr">
        <is>
          <t>18 sec</t>
        </is>
      </c>
      <c r="N48" s="17" t="inlineStr">
        <is>
          <t xml:space="preserve">         33K            33K             8K</t>
        </is>
      </c>
      <c r="O48" s="17" t="inlineStr">
        <is>
          <t>Hmv2Gc27DdQWGdxCkRgVPUSgA8kzjzZ9RCNHQem8pump</t>
        </is>
      </c>
      <c r="P48" s="17">
        <f>HYPERLINK("https://photon-sol.tinyastro.io/en/lp/Hmv2Gc27DdQWGdxCkRgVPUSgA8kzjzZ9RCNHQem8pump?handle=676050794bc1b1657a56b", "View")</f>
        <v/>
      </c>
    </row>
    <row r="49">
      <c r="A49" s="20" t="inlineStr">
        <is>
          <t>CULT6900</t>
        </is>
      </c>
      <c r="B49" s="21" t="n">
        <v>18013869</v>
      </c>
      <c r="C49" s="21" t="n">
        <v>18013869</v>
      </c>
      <c r="D49" s="21" t="inlineStr">
        <is>
          <t>0.008010</t>
        </is>
      </c>
      <c r="E49" s="21" t="inlineStr">
        <is>
          <t>1.061 SOL</t>
        </is>
      </c>
      <c r="F49" s="21" t="inlineStr">
        <is>
          <t>0.776 SOL</t>
        </is>
      </c>
      <c r="G49" s="25" t="inlineStr">
        <is>
          <t>-0.293 SOL</t>
        </is>
      </c>
      <c r="H49" s="25" t="inlineStr">
        <is>
          <t>-27.38%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30.10.2024 14:00:47</t>
        </is>
      </c>
      <c r="M49" s="19" t="inlineStr">
        <is>
          <t>36 sec</t>
        </is>
      </c>
      <c r="N49" s="21" t="inlineStr">
        <is>
          <t xml:space="preserve">         11K             7K             5K</t>
        </is>
      </c>
      <c r="O49" s="21" t="inlineStr">
        <is>
          <t>cRJXzNaPRiumhX3RDDBZcjiC1XWJLPrxzxJkiAqpump</t>
        </is>
      </c>
      <c r="P49" s="21">
        <f>HYPERLINK("https://photon-sol.tinyastro.io/en/lp/cRJXzNaPRiumhX3RDDBZcjiC1XWJLPrxzxJkiAqpump?handle=676050794bc1b1657a56b", "View")</f>
        <v/>
      </c>
    </row>
    <row r="50">
      <c r="A50" s="16" t="inlineStr">
        <is>
          <t>Dem</t>
        </is>
      </c>
      <c r="B50" s="17" t="n">
        <v>3077664</v>
      </c>
      <c r="C50" s="17" t="n">
        <v>3077664</v>
      </c>
      <c r="D50" s="17" t="inlineStr">
        <is>
          <t>0.020030</t>
        </is>
      </c>
      <c r="E50" s="17" t="inlineStr">
        <is>
          <t>1.085 SOL</t>
        </is>
      </c>
      <c r="F50" s="17" t="inlineStr">
        <is>
          <t>1.932 SOL</t>
        </is>
      </c>
      <c r="G50" s="24" t="inlineStr">
        <is>
          <t>0.827 SOL</t>
        </is>
      </c>
      <c r="H50" s="24" t="inlineStr">
        <is>
          <t>74.85%</t>
        </is>
      </c>
      <c r="I50" s="17" t="inlineStr">
        <is>
          <t>N/A</t>
        </is>
      </c>
      <c r="J50" s="17" t="n">
        <v>1</v>
      </c>
      <c r="K50" s="17" t="n">
        <v>4</v>
      </c>
      <c r="L50" s="17" t="inlineStr">
        <is>
          <t>30.10.2024 13:55:02</t>
        </is>
      </c>
      <c r="M50" s="17" t="inlineStr">
        <is>
          <t>9 min</t>
        </is>
      </c>
      <c r="N50" s="17" t="inlineStr">
        <is>
          <t xml:space="preserve">         61K            61K             8K</t>
        </is>
      </c>
      <c r="O50" s="17" t="inlineStr">
        <is>
          <t>5q9YGGeyJ6ZLmXvX9QuQVyg3qYry93CMJqubCz1Npump</t>
        </is>
      </c>
      <c r="P50" s="17">
        <f>HYPERLINK("https://photon-sol.tinyastro.io/en/lp/5q9YGGeyJ6ZLmXvX9QuQVyg3qYry93CMJqubCz1Npump?handle=676050794bc1b1657a56b", "View")</f>
        <v/>
      </c>
    </row>
    <row r="51">
      <c r="A51" s="20" t="inlineStr">
        <is>
          <t>TUZKI</t>
        </is>
      </c>
      <c r="B51" s="21" t="n">
        <v>97099455</v>
      </c>
      <c r="C51" s="21" t="n">
        <v>97099455</v>
      </c>
      <c r="D51" s="21" t="inlineStr">
        <is>
          <t>0.008010</t>
        </is>
      </c>
      <c r="E51" s="21" t="inlineStr">
        <is>
          <t>3.166 SOL</t>
        </is>
      </c>
      <c r="F51" s="21" t="inlineStr">
        <is>
          <t>4.440 SOL</t>
        </is>
      </c>
      <c r="G51" s="22" t="inlineStr">
        <is>
          <t>1.266 SOL</t>
        </is>
      </c>
      <c r="H51" s="22" t="inlineStr">
        <is>
          <t>39.89%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30.10.2024 13:44:57</t>
        </is>
      </c>
      <c r="M51" s="19" t="inlineStr">
        <is>
          <t>18 sec</t>
        </is>
      </c>
      <c r="N51" s="21" t="inlineStr">
        <is>
          <t xml:space="preserve">          5K             9K             5K</t>
        </is>
      </c>
      <c r="O51" s="21" t="inlineStr">
        <is>
          <t>4nbH8A9jppKncSAn3UZZW7xDE11ZXcuRnCTVaNrpBLvg</t>
        </is>
      </c>
      <c r="P51" s="21">
        <f>HYPERLINK("https://photon-sol.tinyastro.io/en/lp/4nbH8A9jppKncSAn3UZZW7xDE11ZXcuRnCTVaNrpBLvg?handle=676050794bc1b1657a56b", "View")</f>
        <v/>
      </c>
    </row>
    <row r="52">
      <c r="A52" s="16" t="inlineStr">
        <is>
          <t>Larry</t>
        </is>
      </c>
      <c r="B52" s="17" t="n">
        <v>7670012</v>
      </c>
      <c r="C52" s="17" t="n">
        <v>7670012</v>
      </c>
      <c r="D52" s="17" t="inlineStr">
        <is>
          <t>0.012020</t>
        </is>
      </c>
      <c r="E52" s="17" t="inlineStr">
        <is>
          <t>2.124 SOL</t>
        </is>
      </c>
      <c r="F52" s="17" t="inlineStr">
        <is>
          <t>0.577 SOL</t>
        </is>
      </c>
      <c r="G52" s="23" t="inlineStr">
        <is>
          <t>-1.558 SOL</t>
        </is>
      </c>
      <c r="H52" s="23" t="inlineStr">
        <is>
          <t>-72.97%</t>
        </is>
      </c>
      <c r="I52" s="17" t="inlineStr">
        <is>
          <t>N/A</t>
        </is>
      </c>
      <c r="J52" s="17" t="n">
        <v>2</v>
      </c>
      <c r="K52" s="17" t="n">
        <v>1</v>
      </c>
      <c r="L52" s="17" t="inlineStr">
        <is>
          <t>30.10.2024 13:36:30</t>
        </is>
      </c>
      <c r="M52" s="17" t="inlineStr">
        <is>
          <t>1 hours</t>
        </is>
      </c>
      <c r="N52" s="17" t="inlineStr">
        <is>
          <t xml:space="preserve">         49K            49K             6K</t>
        </is>
      </c>
      <c r="O52" s="17" t="inlineStr">
        <is>
          <t>6tC3oAa5qnBE3GqxGYej5n1d1EQE8Tzj4r2tnKjBpump</t>
        </is>
      </c>
      <c r="P52" s="17">
        <f>HYPERLINK("https://photon-sol.tinyastro.io/en/lp/6tC3oAa5qnBE3GqxGYej5n1d1EQE8Tzj4r2tnKjBpump?handle=676050794bc1b1657a56b", "View")</f>
        <v/>
      </c>
    </row>
    <row r="53">
      <c r="A53" s="20" t="inlineStr">
        <is>
          <t>AK47</t>
        </is>
      </c>
      <c r="B53" s="21" t="n">
        <v>16413629</v>
      </c>
      <c r="C53" s="21" t="n">
        <v>16413629</v>
      </c>
      <c r="D53" s="21" t="inlineStr">
        <is>
          <t>0.008010</t>
        </is>
      </c>
      <c r="E53" s="21" t="inlineStr">
        <is>
          <t>1.046 SOL</t>
        </is>
      </c>
      <c r="F53" s="21" t="inlineStr">
        <is>
          <t>1.195 SOL</t>
        </is>
      </c>
      <c r="G53" s="22" t="inlineStr">
        <is>
          <t>0.141 SOL</t>
        </is>
      </c>
      <c r="H53" s="22" t="inlineStr">
        <is>
          <t>13.34%</t>
        </is>
      </c>
      <c r="I53" s="21" t="inlineStr">
        <is>
          <t>N/A</t>
        </is>
      </c>
      <c r="J53" s="21" t="n">
        <v>1</v>
      </c>
      <c r="K53" s="21" t="n">
        <v>1</v>
      </c>
      <c r="L53" s="21" t="inlineStr">
        <is>
          <t>30.10.2024 11:55:30</t>
        </is>
      </c>
      <c r="M53" s="19" t="inlineStr">
        <is>
          <t>30 sec</t>
        </is>
      </c>
      <c r="N53" s="21" t="inlineStr">
        <is>
          <t xml:space="preserve">         11K            12K             5K</t>
        </is>
      </c>
      <c r="O53" s="21" t="inlineStr">
        <is>
          <t>4W4sWg4ozqkcaehadjsLCwQX3ZdYx8TSaVLNfHuHpump</t>
        </is>
      </c>
      <c r="P53" s="21">
        <f>HYPERLINK("https://photon-sol.tinyastro.io/en/lp/4W4sWg4ozqkcaehadjsLCwQX3ZdYx8TSaVLNfHuHpump?handle=676050794bc1b1657a56b", "View")</f>
        <v/>
      </c>
    </row>
    <row r="54">
      <c r="A54" s="16" t="inlineStr">
        <is>
          <t>GSLG</t>
        </is>
      </c>
      <c r="B54" s="17" t="n">
        <v>66395758</v>
      </c>
      <c r="C54" s="17" t="n">
        <v>66395758</v>
      </c>
      <c r="D54" s="17" t="inlineStr">
        <is>
          <t>0.008010</t>
        </is>
      </c>
      <c r="E54" s="17" t="inlineStr">
        <is>
          <t>2.067 SOL</t>
        </is>
      </c>
      <c r="F54" s="17" t="inlineStr">
        <is>
          <t>2.673 SOL</t>
        </is>
      </c>
      <c r="G54" s="22" t="inlineStr">
        <is>
          <t>0.598 SOL</t>
        </is>
      </c>
      <c r="H54" s="22" t="inlineStr">
        <is>
          <t>28.80%</t>
        </is>
      </c>
      <c r="I54" s="17" t="inlineStr">
        <is>
          <t>N/A</t>
        </is>
      </c>
      <c r="J54" s="17" t="n">
        <v>1</v>
      </c>
      <c r="K54" s="17" t="n">
        <v>1</v>
      </c>
      <c r="L54" s="17" t="inlineStr">
        <is>
          <t>30.10.2024 10:57:45</t>
        </is>
      </c>
      <c r="M54" s="19" t="inlineStr">
        <is>
          <t>20 sec</t>
        </is>
      </c>
      <c r="N54" s="17" t="inlineStr">
        <is>
          <t xml:space="preserve">          5K             7K             5K</t>
        </is>
      </c>
      <c r="O54" s="17" t="inlineStr">
        <is>
          <t>6kSwkjACzocgZc7QyAKhgcG5i1nhnre1Zi3BFuFApump</t>
        </is>
      </c>
      <c r="P54" s="17">
        <f>HYPERLINK("https://photon-sol.tinyastro.io/en/lp/6kSwkjACzocgZc7QyAKhgcG5i1nhnre1Zi3BFuFApump?handle=676050794bc1b1657a56b", "View")</f>
        <v/>
      </c>
    </row>
    <row r="55">
      <c r="A55" s="20" t="inlineStr">
        <is>
          <t>ULUCE</t>
        </is>
      </c>
      <c r="B55" s="21" t="n">
        <v>3481103</v>
      </c>
      <c r="C55" s="21" t="n">
        <v>3481103</v>
      </c>
      <c r="D55" s="21" t="inlineStr">
        <is>
          <t>0.008010</t>
        </is>
      </c>
      <c r="E55" s="21" t="inlineStr">
        <is>
          <t>1.046 SOL</t>
        </is>
      </c>
      <c r="F55" s="21" t="inlineStr">
        <is>
          <t>0.964 SOL</t>
        </is>
      </c>
      <c r="G55" s="25" t="inlineStr">
        <is>
          <t>-0.090 SOL</t>
        </is>
      </c>
      <c r="H55" s="25" t="inlineStr">
        <is>
          <t>-8.55%</t>
        </is>
      </c>
      <c r="I55" s="21" t="inlineStr">
        <is>
          <t>N/A</t>
        </is>
      </c>
      <c r="J55" s="21" t="n">
        <v>1</v>
      </c>
      <c r="K55" s="21" t="n">
        <v>1</v>
      </c>
      <c r="L55" s="21" t="inlineStr">
        <is>
          <t>30.10.2024 10:50:33</t>
        </is>
      </c>
      <c r="M55" s="19" t="inlineStr">
        <is>
          <t>52 sec</t>
        </is>
      </c>
      <c r="N55" s="21" t="inlineStr">
        <is>
          <t xml:space="preserve">         51K            47K             5K</t>
        </is>
      </c>
      <c r="O55" s="21" t="inlineStr">
        <is>
          <t>CL31mStw7szLWrXiPquHuGP3AhN7dAyFKnDcPjxFpump</t>
        </is>
      </c>
      <c r="P55" s="21">
        <f>HYPERLINK("https://photon-sol.tinyastro.io/en/lp/CL31mStw7szLWrXiPquHuGP3AhN7dAyFKnDcPjxFpump?handle=676050794bc1b1657a56b", "View")</f>
        <v/>
      </c>
    </row>
    <row r="56">
      <c r="A56" s="16" t="inlineStr">
        <is>
          <t>IMNG</t>
        </is>
      </c>
      <c r="B56" s="17" t="n">
        <v>45677527</v>
      </c>
      <c r="C56" s="17" t="n">
        <v>45677527</v>
      </c>
      <c r="D56" s="17" t="inlineStr">
        <is>
          <t>0.008010</t>
        </is>
      </c>
      <c r="E56" s="17" t="inlineStr">
        <is>
          <t>2.066 SOL</t>
        </is>
      </c>
      <c r="F56" s="17" t="inlineStr">
        <is>
          <t>2.720 SOL</t>
        </is>
      </c>
      <c r="G56" s="22" t="inlineStr">
        <is>
          <t>0.646 SOL</t>
        </is>
      </c>
      <c r="H56" s="22" t="inlineStr">
        <is>
          <t>31.14%</t>
        </is>
      </c>
      <c r="I56" s="17" t="inlineStr">
        <is>
          <t>N/A</t>
        </is>
      </c>
      <c r="J56" s="17" t="n">
        <v>1</v>
      </c>
      <c r="K56" s="17" t="n">
        <v>1</v>
      </c>
      <c r="L56" s="17" t="inlineStr">
        <is>
          <t>30.10.2024 10:45:24</t>
        </is>
      </c>
      <c r="M56" s="19" t="inlineStr">
        <is>
          <t>16 sec</t>
        </is>
      </c>
      <c r="N56" s="17" t="inlineStr">
        <is>
          <t xml:space="preserve">          9K             9K             5K</t>
        </is>
      </c>
      <c r="O56" s="17" t="inlineStr">
        <is>
          <t>8bjqEZtGNSesoMb9CxdaT8hNGkq6ZRRz5XDss417pump</t>
        </is>
      </c>
      <c r="P56" s="17">
        <f>HYPERLINK("https://photon-sol.tinyastro.io/en/lp/8bjqEZtGNSesoMb9CxdaT8hNGkq6ZRRz5XDss417pump?handle=676050794bc1b1657a56b", "View")</f>
        <v/>
      </c>
    </row>
    <row r="57">
      <c r="A57" s="20" t="inlineStr">
        <is>
          <t>NARUTO</t>
        </is>
      </c>
      <c r="B57" s="21" t="n">
        <v>67014067</v>
      </c>
      <c r="C57" s="21" t="n">
        <v>67014067</v>
      </c>
      <c r="D57" s="21" t="inlineStr">
        <is>
          <t>0.008010</t>
        </is>
      </c>
      <c r="E57" s="21" t="inlineStr">
        <is>
          <t>2.205 SOL</t>
        </is>
      </c>
      <c r="F57" s="21" t="inlineStr">
        <is>
          <t>2.272 SOL</t>
        </is>
      </c>
      <c r="G57" s="22" t="inlineStr">
        <is>
          <t>0.059 SOL</t>
        </is>
      </c>
      <c r="H57" s="22" t="inlineStr">
        <is>
          <t>2.67%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30.10.2024 10:39:35</t>
        </is>
      </c>
      <c r="M57" s="19" t="inlineStr">
        <is>
          <t>25 sec</t>
        </is>
      </c>
      <c r="N57" s="21" t="inlineStr">
        <is>
          <t xml:space="preserve">          5K             5K             5K</t>
        </is>
      </c>
      <c r="O57" s="21" t="inlineStr">
        <is>
          <t>GizgrxYzzEarTrnRdKHVe5DZFgjfXcSF3MpsiJtYpump</t>
        </is>
      </c>
      <c r="P57" s="21">
        <f>HYPERLINK("https://photon-sol.tinyastro.io/en/lp/GizgrxYzzEarTrnRdKHVe5DZFgjfXcSF3MpsiJtYpump?handle=676050794bc1b1657a56b", "View")</f>
        <v/>
      </c>
    </row>
    <row r="58">
      <c r="A58" s="16" t="inlineStr">
        <is>
          <t>JACK</t>
        </is>
      </c>
      <c r="B58" s="17" t="n">
        <v>86168162</v>
      </c>
      <c r="C58" s="17" t="n">
        <v>86168162</v>
      </c>
      <c r="D58" s="17" t="inlineStr">
        <is>
          <t>0.008010</t>
        </is>
      </c>
      <c r="E58" s="17" t="inlineStr">
        <is>
          <t>3.086 SOL</t>
        </is>
      </c>
      <c r="F58" s="17" t="inlineStr">
        <is>
          <t>4.323 SOL</t>
        </is>
      </c>
      <c r="G58" s="22" t="inlineStr">
        <is>
          <t>1.229 SOL</t>
        </is>
      </c>
      <c r="H58" s="22" t="inlineStr">
        <is>
          <t>39.73%</t>
        </is>
      </c>
      <c r="I58" s="17" t="inlineStr">
        <is>
          <t>N/A</t>
        </is>
      </c>
      <c r="J58" s="17" t="n">
        <v>1</v>
      </c>
      <c r="K58" s="17" t="n">
        <v>1</v>
      </c>
      <c r="L58" s="17" t="inlineStr">
        <is>
          <t>30.10.2024 10:28:41</t>
        </is>
      </c>
      <c r="M58" s="19" t="inlineStr">
        <is>
          <t>17 sec</t>
        </is>
      </c>
      <c r="N58" s="17" t="inlineStr">
        <is>
          <t xml:space="preserve">          7K             9K             5K</t>
        </is>
      </c>
      <c r="O58" s="17" t="inlineStr">
        <is>
          <t>ALgdbzwkNgURbjMTDPv6HcmuoBv26ZTUZwHqPMNMpump</t>
        </is>
      </c>
      <c r="P58" s="17">
        <f>HYPERLINK("https://photon-sol.tinyastro.io/en/lp/ALgdbzwkNgURbjMTDPv6HcmuoBv26ZTUZwHqPMNMpump?handle=676050794bc1b1657a56b", "View")</f>
        <v/>
      </c>
    </row>
    <row r="59">
      <c r="A59" s="20" t="inlineStr">
        <is>
          <t>CLUCE</t>
        </is>
      </c>
      <c r="B59" s="21" t="n">
        <v>91617871</v>
      </c>
      <c r="C59" s="21" t="n">
        <v>91617871</v>
      </c>
      <c r="D59" s="21" t="inlineStr">
        <is>
          <t>0.008010</t>
        </is>
      </c>
      <c r="E59" s="21" t="inlineStr">
        <is>
          <t>3.086 SOL</t>
        </is>
      </c>
      <c r="F59" s="21" t="inlineStr">
        <is>
          <t>3.999 SOL</t>
        </is>
      </c>
      <c r="G59" s="22" t="inlineStr">
        <is>
          <t>0.905 SOL</t>
        </is>
      </c>
      <c r="H59" s="22" t="inlineStr">
        <is>
          <t>29.24%</t>
        </is>
      </c>
      <c r="I59" s="21" t="inlineStr">
        <is>
          <t>N/A</t>
        </is>
      </c>
      <c r="J59" s="21" t="n">
        <v>1</v>
      </c>
      <c r="K59" s="21" t="n">
        <v>1</v>
      </c>
      <c r="L59" s="21" t="inlineStr">
        <is>
          <t>30.10.2024 10:24:27</t>
        </is>
      </c>
      <c r="M59" s="19" t="inlineStr">
        <is>
          <t>21 sec</t>
        </is>
      </c>
      <c r="N59" s="21" t="inlineStr">
        <is>
          <t xml:space="preserve">          5K             7K             5K</t>
        </is>
      </c>
      <c r="O59" s="21" t="inlineStr">
        <is>
          <t>5sT29bCYLic9m9MHFfDE2ZXgigNoXejLYzvNVa5pump</t>
        </is>
      </c>
      <c r="P59" s="21">
        <f>HYPERLINK("https://photon-sol.tinyastro.io/en/lp/5sT29bCYLic9m9MHFfDE2ZXgigNoXejLYzvNVa5pump?handle=676050794bc1b1657a56b", "View")</f>
        <v/>
      </c>
    </row>
    <row r="60">
      <c r="A60" s="16" t="inlineStr">
        <is>
          <t>New AURA</t>
        </is>
      </c>
      <c r="B60" s="17" t="n">
        <v>96856413</v>
      </c>
      <c r="C60" s="17" t="n">
        <v>96856413</v>
      </c>
      <c r="D60" s="17" t="inlineStr">
        <is>
          <t>0.008010</t>
        </is>
      </c>
      <c r="E60" s="17" t="inlineStr">
        <is>
          <t>3.086 SOL</t>
        </is>
      </c>
      <c r="F60" s="17" t="inlineStr">
        <is>
          <t>3.788 SOL</t>
        </is>
      </c>
      <c r="G60" s="22" t="inlineStr">
        <is>
          <t>0.694 SOL</t>
        </is>
      </c>
      <c r="H60" s="22" t="inlineStr">
        <is>
          <t>22.44%</t>
        </is>
      </c>
      <c r="I60" s="17" t="inlineStr">
        <is>
          <t>N/A</t>
        </is>
      </c>
      <c r="J60" s="17" t="n">
        <v>1</v>
      </c>
      <c r="K60" s="17" t="n">
        <v>1</v>
      </c>
      <c r="L60" s="17" t="inlineStr">
        <is>
          <t>30.10.2024 08:59:42</t>
        </is>
      </c>
      <c r="M60" s="17" t="inlineStr">
        <is>
          <t>2 min</t>
        </is>
      </c>
      <c r="N60" s="17" t="inlineStr">
        <is>
          <t xml:space="preserve">          5K             7K             5K</t>
        </is>
      </c>
      <c r="O60" s="17" t="inlineStr">
        <is>
          <t>mcdVHuHpbJ4dAqRv5ao9RL6R1U2CSkPo5mHrvDKpump</t>
        </is>
      </c>
      <c r="P60" s="17">
        <f>HYPERLINK("https://photon-sol.tinyastro.io/en/lp/mcdVHuHpbJ4dAqRv5ao9RL6R1U2CSkPo5mHrvDKpump?handle=676050794bc1b1657a56b", "View")</f>
        <v/>
      </c>
    </row>
    <row r="61">
      <c r="A61" s="20" t="inlineStr">
        <is>
          <t>FORCE</t>
        </is>
      </c>
      <c r="B61" s="21" t="n">
        <v>7462422</v>
      </c>
      <c r="C61" s="21" t="n">
        <v>7462422</v>
      </c>
      <c r="D61" s="21" t="inlineStr">
        <is>
          <t>0.012020</t>
        </is>
      </c>
      <c r="E61" s="21" t="inlineStr">
        <is>
          <t>2.204 SOL</t>
        </is>
      </c>
      <c r="F61" s="21" t="inlineStr">
        <is>
          <t>2.062 SOL</t>
        </is>
      </c>
      <c r="G61" s="25" t="inlineStr">
        <is>
          <t>-0.154 SOL</t>
        </is>
      </c>
      <c r="H61" s="25" t="inlineStr">
        <is>
          <t>-6.96%</t>
        </is>
      </c>
      <c r="I61" s="21" t="inlineStr">
        <is>
          <t>N/A</t>
        </is>
      </c>
      <c r="J61" s="21" t="n">
        <v>2</v>
      </c>
      <c r="K61" s="21" t="n">
        <v>1</v>
      </c>
      <c r="L61" s="21" t="inlineStr">
        <is>
          <t>30.10.2024 08:41:51</t>
        </is>
      </c>
      <c r="M61" s="21" t="inlineStr">
        <is>
          <t>1 min</t>
        </is>
      </c>
      <c r="N61" s="21" t="inlineStr">
        <is>
          <t xml:space="preserve">         53K            49K             5K</t>
        </is>
      </c>
      <c r="O61" s="21" t="inlineStr">
        <is>
          <t>557g69R27hqQ3TfBZ1VajUzmY9jpkj8SK2xZJzMHpump</t>
        </is>
      </c>
      <c r="P61" s="21">
        <f>HYPERLINK("https://photon-sol.tinyastro.io/en/lp/557g69R27hqQ3TfBZ1VajUzmY9jpkj8SK2xZJzMHpump?handle=676050794bc1b1657a56b", "View")</f>
        <v/>
      </c>
    </row>
    <row r="62">
      <c r="A62" s="16" t="inlineStr">
        <is>
          <t>Force</t>
        </is>
      </c>
      <c r="B62" s="17" t="n">
        <v>44126722</v>
      </c>
      <c r="C62" s="17" t="n">
        <v>44126722</v>
      </c>
      <c r="D62" s="17" t="inlineStr">
        <is>
          <t>0.008010</t>
        </is>
      </c>
      <c r="E62" s="17" t="inlineStr">
        <is>
          <t>2.066 SOL</t>
        </is>
      </c>
      <c r="F62" s="17" t="inlineStr">
        <is>
          <t>2.232 SOL</t>
        </is>
      </c>
      <c r="G62" s="22" t="inlineStr">
        <is>
          <t>0.158 SOL</t>
        </is>
      </c>
      <c r="H62" s="22" t="inlineStr">
        <is>
          <t>7.61%</t>
        </is>
      </c>
      <c r="I62" s="17" t="inlineStr">
        <is>
          <t>N/A</t>
        </is>
      </c>
      <c r="J62" s="17" t="n">
        <v>1</v>
      </c>
      <c r="K62" s="17" t="n">
        <v>1</v>
      </c>
      <c r="L62" s="17" t="inlineStr">
        <is>
          <t>30.10.2024 08:39:48</t>
        </is>
      </c>
      <c r="M62" s="17" t="inlineStr">
        <is>
          <t>4 min</t>
        </is>
      </c>
      <c r="N62" s="17" t="inlineStr">
        <is>
          <t xml:space="preserve">          9K             9K             6K</t>
        </is>
      </c>
      <c r="O62" s="17" t="inlineStr">
        <is>
          <t>3M33YhYtZykNs4otLcjjpTZUgAch9Vt6ZKFFhcqFpump</t>
        </is>
      </c>
      <c r="P62" s="17">
        <f>HYPERLINK("https://photon-sol.tinyastro.io/en/lp/3M33YhYtZykNs4otLcjjpTZUgAch9Vt6ZKFFhcqFpump?handle=676050794bc1b1657a56b", "View")</f>
        <v/>
      </c>
    </row>
    <row r="63">
      <c r="A63" s="20" t="inlineStr">
        <is>
          <t>HWD</t>
        </is>
      </c>
      <c r="B63" s="21" t="n">
        <v>56693552</v>
      </c>
      <c r="C63" s="21" t="n">
        <v>56693552</v>
      </c>
      <c r="D63" s="21" t="inlineStr">
        <is>
          <t>0.008010</t>
        </is>
      </c>
      <c r="E63" s="21" t="inlineStr">
        <is>
          <t>2.066 SOL</t>
        </is>
      </c>
      <c r="F63" s="21" t="inlineStr">
        <is>
          <t>2.147 SOL</t>
        </is>
      </c>
      <c r="G63" s="22" t="inlineStr">
        <is>
          <t>0.073 SOL</t>
        </is>
      </c>
      <c r="H63" s="22" t="inlineStr">
        <is>
          <t>3.52%</t>
        </is>
      </c>
      <c r="I63" s="21" t="inlineStr">
        <is>
          <t>N/A</t>
        </is>
      </c>
      <c r="J63" s="21" t="n">
        <v>1</v>
      </c>
      <c r="K63" s="21" t="n">
        <v>1</v>
      </c>
      <c r="L63" s="21" t="inlineStr">
        <is>
          <t>30.10.2024 08:29:52</t>
        </is>
      </c>
      <c r="M63" s="19" t="inlineStr">
        <is>
          <t>58 sec</t>
        </is>
      </c>
      <c r="N63" s="21" t="inlineStr">
        <is>
          <t xml:space="preserve">          7K             7K             5K</t>
        </is>
      </c>
      <c r="O63" s="21" t="inlineStr">
        <is>
          <t>58GEzVJb7mtpJMZikQ1QaGfpVbENy4bWf4Cc78LRXpCK</t>
        </is>
      </c>
      <c r="P63" s="21">
        <f>HYPERLINK("https://photon-sol.tinyastro.io/en/lp/58GEzVJb7mtpJMZikQ1QaGfpVbENy4bWf4Cc78LRXpCK?handle=676050794bc1b1657a56b", "View")</f>
        <v/>
      </c>
    </row>
    <row r="64">
      <c r="A64" s="16" t="inlineStr">
        <is>
          <t>2001Camry</t>
        </is>
      </c>
      <c r="B64" s="17" t="n">
        <v>11952755</v>
      </c>
      <c r="C64" s="17" t="n">
        <v>11952755</v>
      </c>
      <c r="D64" s="17" t="inlineStr">
        <is>
          <t>0.012020</t>
        </is>
      </c>
      <c r="E64" s="17" t="inlineStr">
        <is>
          <t>1.050 SOL</t>
        </is>
      </c>
      <c r="F64" s="17" t="inlineStr">
        <is>
          <t>1.961 SOL</t>
        </is>
      </c>
      <c r="G64" s="24" t="inlineStr">
        <is>
          <t>0.899 SOL</t>
        </is>
      </c>
      <c r="H64" s="24" t="inlineStr">
        <is>
          <t>84.61%</t>
        </is>
      </c>
      <c r="I64" s="17" t="inlineStr">
        <is>
          <t>N/A</t>
        </is>
      </c>
      <c r="J64" s="17" t="n">
        <v>1</v>
      </c>
      <c r="K64" s="17" t="n">
        <v>2</v>
      </c>
      <c r="L64" s="17" t="inlineStr">
        <is>
          <t>30.10.2024 08:23:07</t>
        </is>
      </c>
      <c r="M64" s="17" t="inlineStr">
        <is>
          <t>3 min</t>
        </is>
      </c>
      <c r="N64" s="17" t="inlineStr">
        <is>
          <t xml:space="preserve">         16K            25K             6K</t>
        </is>
      </c>
      <c r="O64" s="17" t="inlineStr">
        <is>
          <t>4SPEFk6Hehk3i5uUL9Zu4LRYFcnHbc1HbaKoEdmTpump</t>
        </is>
      </c>
      <c r="P64" s="17">
        <f>HYPERLINK("https://photon-sol.tinyastro.io/en/lp/4SPEFk6Hehk3i5uUL9Zu4LRYFcnHbc1HbaKoEdmTpump?handle=676050794bc1b1657a56b", "View")</f>
        <v/>
      </c>
    </row>
    <row r="65">
      <c r="A65" s="20" t="inlineStr">
        <is>
          <t>🎃BOO</t>
        </is>
      </c>
      <c r="B65" s="21" t="n">
        <v>64580228</v>
      </c>
      <c r="C65" s="21" t="n">
        <v>64580228</v>
      </c>
      <c r="D65" s="21" t="inlineStr">
        <is>
          <t>0.008010</t>
        </is>
      </c>
      <c r="E65" s="21" t="inlineStr">
        <is>
          <t>2.066 SOL</t>
        </is>
      </c>
      <c r="F65" s="21" t="inlineStr">
        <is>
          <t>3.287 SOL</t>
        </is>
      </c>
      <c r="G65" s="24" t="inlineStr">
        <is>
          <t>1.212 SOL</t>
        </is>
      </c>
      <c r="H65" s="24" t="inlineStr">
        <is>
          <t>58.46%</t>
        </is>
      </c>
      <c r="I65" s="21" t="inlineStr">
        <is>
          <t>N/A</t>
        </is>
      </c>
      <c r="J65" s="21" t="n">
        <v>1</v>
      </c>
      <c r="K65" s="21" t="n">
        <v>1</v>
      </c>
      <c r="L65" s="21" t="inlineStr">
        <is>
          <t>30.10.2024 07:59:48</t>
        </is>
      </c>
      <c r="M65" s="19" t="inlineStr">
        <is>
          <t>53 sec</t>
        </is>
      </c>
      <c r="N65" s="21" t="inlineStr">
        <is>
          <t xml:space="preserve">          5K             9K             5K</t>
        </is>
      </c>
      <c r="O65" s="21" t="inlineStr">
        <is>
          <t>AkGHVHRRrY1jhDy4CmQA9gZdpDqnPEDST6DazWS8pump</t>
        </is>
      </c>
      <c r="P65" s="21">
        <f>HYPERLINK("https://photon-sol.tinyastro.io/en/lp/AkGHVHRRrY1jhDy4CmQA9gZdpDqnPEDST6DazWS8pump?handle=676050794bc1b1657a56b", "View")</f>
        <v/>
      </c>
    </row>
    <row r="66">
      <c r="A66" s="16" t="inlineStr">
        <is>
          <t>ELIZA</t>
        </is>
      </c>
      <c r="B66" s="17" t="n">
        <v>18468163</v>
      </c>
      <c r="C66" s="17" t="n">
        <v>18468163</v>
      </c>
      <c r="D66" s="17" t="inlineStr">
        <is>
          <t>0.012020</t>
        </is>
      </c>
      <c r="E66" s="17" t="inlineStr">
        <is>
          <t>1.959 SOL</t>
        </is>
      </c>
      <c r="F66" s="17" t="inlineStr">
        <is>
          <t>2.118 SOL</t>
        </is>
      </c>
      <c r="G66" s="22" t="inlineStr">
        <is>
          <t>0.148 SOL</t>
        </is>
      </c>
      <c r="H66" s="22" t="inlineStr">
        <is>
          <t>7.50%</t>
        </is>
      </c>
      <c r="I66" s="17" t="inlineStr">
        <is>
          <t>N/A</t>
        </is>
      </c>
      <c r="J66" s="17" t="n">
        <v>2</v>
      </c>
      <c r="K66" s="17" t="n">
        <v>1</v>
      </c>
      <c r="L66" s="17" t="inlineStr">
        <is>
          <t>30.10.2024 07:54:45</t>
        </is>
      </c>
      <c r="M66" s="17" t="inlineStr">
        <is>
          <t>6 min</t>
        </is>
      </c>
      <c r="N66" s="17" t="inlineStr">
        <is>
          <t xml:space="preserve">         28K            14K             6K</t>
        </is>
      </c>
      <c r="O66" s="17" t="inlineStr">
        <is>
          <t>9XXsu7iRqofjTkbBTbuiiwy3uxgPR3WTZnMZSiuupump</t>
        </is>
      </c>
      <c r="P66" s="17">
        <f>HYPERLINK("https://photon-sol.tinyastro.io/en/lp/9XXsu7iRqofjTkbBTbuiiwy3uxgPR3WTZnMZSiuupump?handle=676050794bc1b1657a56b", "View")</f>
        <v/>
      </c>
    </row>
    <row r="67">
      <c r="A67" s="20" t="inlineStr">
        <is>
          <t>🌀</t>
        </is>
      </c>
      <c r="B67" s="21" t="n">
        <v>59034342</v>
      </c>
      <c r="C67" s="21" t="n">
        <v>59034342</v>
      </c>
      <c r="D67" s="21" t="inlineStr">
        <is>
          <t>0.008010</t>
        </is>
      </c>
      <c r="E67" s="21" t="inlineStr">
        <is>
          <t>2.066 SOL</t>
        </is>
      </c>
      <c r="F67" s="21" t="inlineStr">
        <is>
          <t>2.700 SOL</t>
        </is>
      </c>
      <c r="G67" s="22" t="inlineStr">
        <is>
          <t>0.626 SOL</t>
        </is>
      </c>
      <c r="H67" s="22" t="inlineStr">
        <is>
          <t>30.20%</t>
        </is>
      </c>
      <c r="I67" s="21" t="inlineStr">
        <is>
          <t>N/A</t>
        </is>
      </c>
      <c r="J67" s="21" t="n">
        <v>1</v>
      </c>
      <c r="K67" s="21" t="n">
        <v>1</v>
      </c>
      <c r="L67" s="21" t="inlineStr">
        <is>
          <t>30.10.2024 07:37:32</t>
        </is>
      </c>
      <c r="M67" s="19" t="inlineStr">
        <is>
          <t>13 sec</t>
        </is>
      </c>
      <c r="N67" s="21" t="inlineStr">
        <is>
          <t xml:space="preserve">          5K             9K             4K</t>
        </is>
      </c>
      <c r="O67" s="21" t="inlineStr">
        <is>
          <t>F5KgUWUkQSMyrcoqrP53MFvuyjU8ovhkdojs4LyFpump</t>
        </is>
      </c>
      <c r="P67" s="21">
        <f>HYPERLINK("https://photon-sol.tinyastro.io/en/lp/F5KgUWUkQSMyrcoqrP53MFvuyjU8ovhkdojs4LyFpump?handle=676050794bc1b1657a56b", "View")</f>
        <v/>
      </c>
    </row>
    <row r="68">
      <c r="A68" s="16" t="inlineStr">
        <is>
          <t>DUCKU</t>
        </is>
      </c>
      <c r="B68" s="17" t="n">
        <v>48635807</v>
      </c>
      <c r="C68" s="17" t="n">
        <v>48635807</v>
      </c>
      <c r="D68" s="17" t="inlineStr">
        <is>
          <t>0.012020</t>
        </is>
      </c>
      <c r="E68" s="17" t="inlineStr">
        <is>
          <t>2.118 SOL</t>
        </is>
      </c>
      <c r="F68" s="17" t="inlineStr">
        <is>
          <t>2.216 SOL</t>
        </is>
      </c>
      <c r="G68" s="22" t="inlineStr">
        <is>
          <t>0.086 SOL</t>
        </is>
      </c>
      <c r="H68" s="22" t="inlineStr">
        <is>
          <t>4.04%</t>
        </is>
      </c>
      <c r="I68" s="17" t="inlineStr">
        <is>
          <t>N/A</t>
        </is>
      </c>
      <c r="J68" s="17" t="n">
        <v>2</v>
      </c>
      <c r="K68" s="17" t="n">
        <v>1</v>
      </c>
      <c r="L68" s="17" t="inlineStr">
        <is>
          <t>30.10.2024 05:38:02</t>
        </is>
      </c>
      <c r="M68" s="19" t="inlineStr">
        <is>
          <t>42 sec</t>
        </is>
      </c>
      <c r="N68" s="17" t="inlineStr">
        <is>
          <t xml:space="preserve">          7K             9K             5K</t>
        </is>
      </c>
      <c r="O68" s="17" t="inlineStr">
        <is>
          <t>9Z8PN5vPWhuBybVVYXNQc1NqEJPnRPMW5FKGe2fYpump</t>
        </is>
      </c>
      <c r="P68" s="17">
        <f>HYPERLINK("https://photon-sol.tinyastro.io/en/lp/9Z8PN5vPWhuBybVVYXNQc1NqEJPnRPMW5FKGe2fYpump?handle=676050794bc1b1657a56b", "View")</f>
        <v/>
      </c>
    </row>
    <row r="69">
      <c r="A69" s="20" t="inlineStr">
        <is>
          <t>FINN</t>
        </is>
      </c>
      <c r="B69" s="21" t="n">
        <v>6156822</v>
      </c>
      <c r="C69" s="21" t="n">
        <v>6156822</v>
      </c>
      <c r="D69" s="21" t="inlineStr">
        <is>
          <t>0.016020</t>
        </is>
      </c>
      <c r="E69" s="21" t="inlineStr">
        <is>
          <t>4.000 SOL</t>
        </is>
      </c>
      <c r="F69" s="21" t="inlineStr">
        <is>
          <t>2.917 SOL</t>
        </is>
      </c>
      <c r="G69" s="25" t="inlineStr">
        <is>
          <t>-1.099 SOL</t>
        </is>
      </c>
      <c r="H69" s="25" t="inlineStr">
        <is>
          <t>-27.37%</t>
        </is>
      </c>
      <c r="I69" s="21" t="inlineStr">
        <is>
          <t>N/A</t>
        </is>
      </c>
      <c r="J69" s="21" t="n">
        <v>3</v>
      </c>
      <c r="K69" s="21" t="n">
        <v>1</v>
      </c>
      <c r="L69" s="21" t="inlineStr">
        <is>
          <t>30.10.2024 05:34:19</t>
        </is>
      </c>
      <c r="M69" s="21" t="inlineStr">
        <is>
          <t>6 min</t>
        </is>
      </c>
      <c r="N69" s="21" t="inlineStr">
        <is>
          <t xml:space="preserve">        160K            83K             6K</t>
        </is>
      </c>
      <c r="O69" s="21" t="inlineStr">
        <is>
          <t>GTKYRw79jMCdnyHQjeFJHZChbRSKHwUZfYY8E5acpump</t>
        </is>
      </c>
      <c r="P69" s="21">
        <f>HYPERLINK("https://dexscreener.com/solana/GTKYRw79jMCdnyHQjeFJHZChbRSKHwUZfYY8E5acpump", "View")</f>
        <v/>
      </c>
    </row>
    <row r="70">
      <c r="A70" s="16" t="inlineStr">
        <is>
          <t>RALPH</t>
        </is>
      </c>
      <c r="B70" s="17" t="n">
        <v>21916887</v>
      </c>
      <c r="C70" s="17" t="n">
        <v>21916887</v>
      </c>
      <c r="D70" s="17" t="inlineStr">
        <is>
          <t>0.016020</t>
        </is>
      </c>
      <c r="E70" s="17" t="inlineStr">
        <is>
          <t>2.090 SOL</t>
        </is>
      </c>
      <c r="F70" s="17" t="inlineStr">
        <is>
          <t>1.768 SOL</t>
        </is>
      </c>
      <c r="G70" s="25" t="inlineStr">
        <is>
          <t>-0.338 SOL</t>
        </is>
      </c>
      <c r="H70" s="25" t="inlineStr">
        <is>
          <t>-16.04%</t>
        </is>
      </c>
      <c r="I70" s="17" t="inlineStr">
        <is>
          <t>N/A</t>
        </is>
      </c>
      <c r="J70" s="17" t="n">
        <v>2</v>
      </c>
      <c r="K70" s="17" t="n">
        <v>2</v>
      </c>
      <c r="L70" s="17" t="inlineStr">
        <is>
          <t>30.10.2024 05:24:16</t>
        </is>
      </c>
      <c r="M70" s="17" t="inlineStr">
        <is>
          <t>21 min</t>
        </is>
      </c>
      <c r="N70" s="17" t="inlineStr">
        <is>
          <t xml:space="preserve">         28K            14K             4K</t>
        </is>
      </c>
      <c r="O70" s="17" t="inlineStr">
        <is>
          <t>AVhBDeE4YxbPBjUm7JNvJGqziwZZxDZTpd8P8ouZpump</t>
        </is>
      </c>
      <c r="P70" s="17">
        <f>HYPERLINK("https://photon-sol.tinyastro.io/en/lp/AVhBDeE4YxbPBjUm7JNvJGqziwZZxDZTpd8P8ouZpump?handle=676050794bc1b1657a56b", "View")</f>
        <v/>
      </c>
    </row>
    <row r="71">
      <c r="A71" s="20" t="inlineStr">
        <is>
          <t>CICADA</t>
        </is>
      </c>
      <c r="B71" s="21" t="n">
        <v>9119013</v>
      </c>
      <c r="C71" s="21" t="n">
        <v>9119013</v>
      </c>
      <c r="D71" s="21" t="inlineStr">
        <is>
          <t>0.008010</t>
        </is>
      </c>
      <c r="E71" s="21" t="inlineStr">
        <is>
          <t>1.037 SOL</t>
        </is>
      </c>
      <c r="F71" s="21" t="inlineStr">
        <is>
          <t>1.008 SOL</t>
        </is>
      </c>
      <c r="G71" s="25" t="inlineStr">
        <is>
          <t>-0.037 SOL</t>
        </is>
      </c>
      <c r="H71" s="25" t="inlineStr">
        <is>
          <t>-3.50%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30.10.2024 05:20:48</t>
        </is>
      </c>
      <c r="M71" s="21" t="inlineStr">
        <is>
          <t>1 min</t>
        </is>
      </c>
      <c r="N71" s="21" t="inlineStr">
        <is>
          <t xml:space="preserve">         19K            19K             5K</t>
        </is>
      </c>
      <c r="O71" s="21" t="inlineStr">
        <is>
          <t>5rnrdS2o7hyGq3GGXWK7aZwEqo46kiAHbEB6rDyypump</t>
        </is>
      </c>
      <c r="P71" s="21">
        <f>HYPERLINK("https://photon-sol.tinyastro.io/en/lp/5rnrdS2o7hyGq3GGXWK7aZwEqo46kiAHbEB6rDyypump?handle=676050794bc1b1657a56b", "View")</f>
        <v/>
      </c>
    </row>
    <row r="72">
      <c r="A72" s="16" t="inlineStr">
        <is>
          <t>DogeLisa</t>
        </is>
      </c>
      <c r="B72" s="17" t="n">
        <v>66232686</v>
      </c>
      <c r="C72" s="17" t="n">
        <v>66232686</v>
      </c>
      <c r="D72" s="17" t="inlineStr">
        <is>
          <t>0.008010</t>
        </is>
      </c>
      <c r="E72" s="17" t="inlineStr">
        <is>
          <t>2.209 SOL</t>
        </is>
      </c>
      <c r="F72" s="17" t="inlineStr">
        <is>
          <t>3.235 SOL</t>
        </is>
      </c>
      <c r="G72" s="22" t="inlineStr">
        <is>
          <t>1.019 SOL</t>
        </is>
      </c>
      <c r="H72" s="22" t="inlineStr">
        <is>
          <t>45.95%</t>
        </is>
      </c>
      <c r="I72" s="17" t="inlineStr">
        <is>
          <t>N/A</t>
        </is>
      </c>
      <c r="J72" s="17" t="n">
        <v>1</v>
      </c>
      <c r="K72" s="17" t="n">
        <v>1</v>
      </c>
      <c r="L72" s="17" t="inlineStr">
        <is>
          <t>30.10.2024 05:01:06</t>
        </is>
      </c>
      <c r="M72" s="19" t="inlineStr">
        <is>
          <t>16 sec</t>
        </is>
      </c>
      <c r="N72" s="17" t="inlineStr">
        <is>
          <t xml:space="preserve">          5K             9K             5K</t>
        </is>
      </c>
      <c r="O72" s="17" t="inlineStr">
        <is>
          <t>9YzjtzTN68FyDQGisDNgZ6Wd4V1mVQi6vP3WfzkTpump</t>
        </is>
      </c>
      <c r="P72" s="17">
        <f>HYPERLINK("https://photon-sol.tinyastro.io/en/lp/9YzjtzTN68FyDQGisDNgZ6Wd4V1mVQi6vP3WfzkTpump?handle=676050794bc1b1657a56b", "View")</f>
        <v/>
      </c>
    </row>
    <row r="73">
      <c r="A73" s="20" t="inlineStr">
        <is>
          <t>DIDDOGE</t>
        </is>
      </c>
      <c r="B73" s="21" t="n">
        <v>59518621</v>
      </c>
      <c r="C73" s="21" t="n">
        <v>59518621</v>
      </c>
      <c r="D73" s="21" t="inlineStr">
        <is>
          <t>0.008010</t>
        </is>
      </c>
      <c r="E73" s="21" t="inlineStr">
        <is>
          <t>2.090 SOL</t>
        </is>
      </c>
      <c r="F73" s="21" t="inlineStr">
        <is>
          <t>2.384 SOL</t>
        </is>
      </c>
      <c r="G73" s="22" t="inlineStr">
        <is>
          <t>0.286 SOL</t>
        </is>
      </c>
      <c r="H73" s="22" t="inlineStr">
        <is>
          <t>13.61%</t>
        </is>
      </c>
      <c r="I73" s="21" t="inlineStr">
        <is>
          <t>N/A</t>
        </is>
      </c>
      <c r="J73" s="21" t="n">
        <v>1</v>
      </c>
      <c r="K73" s="21" t="n">
        <v>1</v>
      </c>
      <c r="L73" s="21" t="inlineStr">
        <is>
          <t>30.10.2024 04:59:06</t>
        </is>
      </c>
      <c r="M73" s="19" t="inlineStr">
        <is>
          <t>27 sec</t>
        </is>
      </c>
      <c r="N73" s="21" t="inlineStr">
        <is>
          <t xml:space="preserve">          7K             7K             5K</t>
        </is>
      </c>
      <c r="O73" s="21" t="inlineStr">
        <is>
          <t>4MwQ1wLvHqoMC6pZu9xpY6RSuw7yaxtL9A3s9tpgpump</t>
        </is>
      </c>
      <c r="P73" s="21">
        <f>HYPERLINK("https://photon-sol.tinyastro.io/en/lp/4MwQ1wLvHqoMC6pZu9xpY6RSuw7yaxtL9A3s9tpgpump?handle=676050794bc1b1657a56b", "View")</f>
        <v/>
      </c>
    </row>
    <row r="74">
      <c r="A74" s="16" t="inlineStr">
        <is>
          <t>moolah.io</t>
        </is>
      </c>
      <c r="B74" s="17" t="n">
        <v>36799679</v>
      </c>
      <c r="C74" s="17" t="n">
        <v>36799679</v>
      </c>
      <c r="D74" s="17" t="inlineStr">
        <is>
          <t>0.020030</t>
        </is>
      </c>
      <c r="E74" s="17" t="inlineStr">
        <is>
          <t>4.260 SOL</t>
        </is>
      </c>
      <c r="F74" s="17" t="inlineStr">
        <is>
          <t>4.320 SOL</t>
        </is>
      </c>
      <c r="G74" s="22" t="inlineStr">
        <is>
          <t>0.040 SOL</t>
        </is>
      </c>
      <c r="H74" s="22" t="inlineStr">
        <is>
          <t>0.93%</t>
        </is>
      </c>
      <c r="I74" s="17" t="inlineStr">
        <is>
          <t>N/A</t>
        </is>
      </c>
      <c r="J74" s="17" t="n">
        <v>3</v>
      </c>
      <c r="K74" s="17" t="n">
        <v>2</v>
      </c>
      <c r="L74" s="17" t="inlineStr">
        <is>
          <t>30.10.2024 04:52:39</t>
        </is>
      </c>
      <c r="M74" s="17" t="inlineStr">
        <is>
          <t>3 min</t>
        </is>
      </c>
      <c r="N74" s="17" t="inlineStr">
        <is>
          <t xml:space="preserve">         25K            16K             5K</t>
        </is>
      </c>
      <c r="O74" s="17" t="inlineStr">
        <is>
          <t>MVo1wcikn6u2txx4jdotU6QxWaXuEB56GCQLn7gpump</t>
        </is>
      </c>
      <c r="P74" s="17">
        <f>HYPERLINK("https://photon-sol.tinyastro.io/en/lp/MVo1wcikn6u2txx4jdotU6QxWaXuEB56GCQLn7gpump?handle=676050794bc1b1657a56b", "View")</f>
        <v/>
      </c>
    </row>
    <row r="75">
      <c r="A75" s="20" t="inlineStr">
        <is>
          <t>LUCE</t>
        </is>
      </c>
      <c r="B75" s="21" t="n">
        <v>99538084</v>
      </c>
      <c r="C75" s="21" t="n">
        <v>99538084</v>
      </c>
      <c r="D75" s="21" t="inlineStr">
        <is>
          <t>0.324410</t>
        </is>
      </c>
      <c r="E75" s="21" t="inlineStr">
        <is>
          <t>4.093 SOL</t>
        </is>
      </c>
      <c r="F75" s="21" t="inlineStr">
        <is>
          <t>184.958 SOL</t>
        </is>
      </c>
      <c r="G75" s="24" t="inlineStr">
        <is>
          <t>180.541 SOL</t>
        </is>
      </c>
      <c r="H75" s="24" t="inlineStr">
        <is>
          <t>4086.99%</t>
        </is>
      </c>
      <c r="I75" s="21" t="inlineStr">
        <is>
          <t>N/A</t>
        </is>
      </c>
      <c r="J75" s="21" t="n">
        <v>2</v>
      </c>
      <c r="K75" s="21" t="n">
        <v>79</v>
      </c>
      <c r="L75" s="21" t="inlineStr">
        <is>
          <t>30.10.2024 04:38:40</t>
        </is>
      </c>
      <c r="M75" s="21" t="inlineStr">
        <is>
          <t>1 days</t>
        </is>
      </c>
      <c r="N75" s="21" t="inlineStr">
        <is>
          <t xml:space="preserve">          7K            40K            57M</t>
        </is>
      </c>
      <c r="O75" s="21" t="inlineStr">
        <is>
          <t>CBdCxKo9QavR9hfShgpEBG3zekorAeD7W1jfq2o3pump</t>
        </is>
      </c>
      <c r="P75" s="21">
        <f>HYPERLINK("https://photon-sol.tinyastro.io/en/lp/CBdCxKo9QavR9hfShgpEBG3zekorAeD7W1jfq2o3pump?handle=676050794bc1b1657a56b", "View")</f>
        <v/>
      </c>
    </row>
    <row r="76">
      <c r="A76" s="16" t="inlineStr">
        <is>
          <t>ribbit</t>
        </is>
      </c>
      <c r="B76" s="17" t="n">
        <v>66675326</v>
      </c>
      <c r="C76" s="17" t="n">
        <v>66675326</v>
      </c>
      <c r="D76" s="17" t="inlineStr">
        <is>
          <t>0.008010</t>
        </is>
      </c>
      <c r="E76" s="17" t="inlineStr">
        <is>
          <t>2.066 SOL</t>
        </is>
      </c>
      <c r="F76" s="17" t="inlineStr">
        <is>
          <t>2.581 SOL</t>
        </is>
      </c>
      <c r="G76" s="22" t="inlineStr">
        <is>
          <t>0.507 SOL</t>
        </is>
      </c>
      <c r="H76" s="22" t="inlineStr">
        <is>
          <t>24.46%</t>
        </is>
      </c>
      <c r="I76" s="17" t="inlineStr">
        <is>
          <t>N/A</t>
        </is>
      </c>
      <c r="J76" s="17" t="n">
        <v>1</v>
      </c>
      <c r="K76" s="17" t="n">
        <v>1</v>
      </c>
      <c r="L76" s="17" t="inlineStr">
        <is>
          <t>29.10.2024 21:55:49</t>
        </is>
      </c>
      <c r="M76" s="19" t="inlineStr">
        <is>
          <t>26 sec</t>
        </is>
      </c>
      <c r="N76" s="17" t="inlineStr">
        <is>
          <t xml:space="preserve">          5K             7K             5K</t>
        </is>
      </c>
      <c r="O76" s="17" t="inlineStr">
        <is>
          <t>Ex46NP7pSVGkdEii7PQHYZXRMdy6zW8Jw18xCDzFpump</t>
        </is>
      </c>
      <c r="P76" s="17">
        <f>HYPERLINK("https://photon-sol.tinyastro.io/en/lp/Ex46NP7pSVGkdEii7PQHYZXRMdy6zW8Jw18xCDzFpump?handle=676050794bc1b1657a56b", "View")</f>
        <v/>
      </c>
    </row>
    <row r="77">
      <c r="A77" s="20" t="inlineStr">
        <is>
          <t>HYPERBOREA</t>
        </is>
      </c>
      <c r="B77" s="21" t="n">
        <v>6479679</v>
      </c>
      <c r="C77" s="21" t="n">
        <v>6479679</v>
      </c>
      <c r="D77" s="21" t="inlineStr">
        <is>
          <t>0.008010</t>
        </is>
      </c>
      <c r="E77" s="21" t="inlineStr">
        <is>
          <t>1.046 SOL</t>
        </is>
      </c>
      <c r="F77" s="21" t="inlineStr">
        <is>
          <t>0.921 SOL</t>
        </is>
      </c>
      <c r="G77" s="25" t="inlineStr">
        <is>
          <t>-0.134 SOL</t>
        </is>
      </c>
      <c r="H77" s="25" t="inlineStr">
        <is>
          <t>-12.67%</t>
        </is>
      </c>
      <c r="I77" s="21" t="inlineStr">
        <is>
          <t>N/A</t>
        </is>
      </c>
      <c r="J77" s="21" t="n">
        <v>1</v>
      </c>
      <c r="K77" s="21" t="n">
        <v>1</v>
      </c>
      <c r="L77" s="21" t="inlineStr">
        <is>
          <t>29.10.2024 21:46:44</t>
        </is>
      </c>
      <c r="M77" s="21" t="inlineStr">
        <is>
          <t>1 min</t>
        </is>
      </c>
      <c r="N77" s="21" t="inlineStr">
        <is>
          <t xml:space="preserve">         28K            25K             3K</t>
        </is>
      </c>
      <c r="O77" s="21" t="inlineStr">
        <is>
          <t>FmUbgXXRavAigQqb2E5bUakMtP3hNhzqptn6f6GHpump</t>
        </is>
      </c>
      <c r="P77" s="21">
        <f>HYPERLINK("https://photon-sol.tinyastro.io/en/lp/FmUbgXXRavAigQqb2E5bUakMtP3hNhzqptn6f6GHpump?handle=676050794bc1b1657a56b", "View")</f>
        <v/>
      </c>
    </row>
    <row r="78">
      <c r="A78" s="16" t="inlineStr">
        <is>
          <t>GOBLIN</t>
        </is>
      </c>
      <c r="B78" s="17" t="n">
        <v>16421331</v>
      </c>
      <c r="C78" s="17" t="n">
        <v>16421331</v>
      </c>
      <c r="D78" s="17" t="inlineStr">
        <is>
          <t>0.008010</t>
        </is>
      </c>
      <c r="E78" s="17" t="inlineStr">
        <is>
          <t>1.046 SOL</t>
        </is>
      </c>
      <c r="F78" s="17" t="inlineStr">
        <is>
          <t>1.296 SOL</t>
        </is>
      </c>
      <c r="G78" s="22" t="inlineStr">
        <is>
          <t>0.242 SOL</t>
        </is>
      </c>
      <c r="H78" s="22" t="inlineStr">
        <is>
          <t>22.96%</t>
        </is>
      </c>
      <c r="I78" s="17" t="inlineStr">
        <is>
          <t>N/A</t>
        </is>
      </c>
      <c r="J78" s="17" t="n">
        <v>1</v>
      </c>
      <c r="K78" s="17" t="n">
        <v>1</v>
      </c>
      <c r="L78" s="17" t="inlineStr">
        <is>
          <t>29.10.2024 21:32:21</t>
        </is>
      </c>
      <c r="M78" s="17" t="inlineStr">
        <is>
          <t>2 min</t>
        </is>
      </c>
      <c r="N78" s="17" t="inlineStr">
        <is>
          <t xml:space="preserve">         11K            14K             5K</t>
        </is>
      </c>
      <c r="O78" s="17" t="inlineStr">
        <is>
          <t>27u3XAb3VFQbNquHCiMB4p6wp9xJvGWjpeFzeEYXpump</t>
        </is>
      </c>
      <c r="P78" s="17">
        <f>HYPERLINK("https://photon-sol.tinyastro.io/en/lp/27u3XAb3VFQbNquHCiMB4p6wp9xJvGWjpeFzeEYXpump?handle=676050794bc1b1657a56b", "View")</f>
        <v/>
      </c>
    </row>
    <row r="79">
      <c r="A79" s="20" t="inlineStr">
        <is>
          <t>2049</t>
        </is>
      </c>
      <c r="B79" s="21" t="n">
        <v>5289528</v>
      </c>
      <c r="C79" s="21" t="n">
        <v>5289528</v>
      </c>
      <c r="D79" s="21" t="inlineStr">
        <is>
          <t>0.020430</t>
        </is>
      </c>
      <c r="E79" s="21" t="inlineStr">
        <is>
          <t>0.455 SOL</t>
        </is>
      </c>
      <c r="F79" s="21" t="inlineStr">
        <is>
          <t>1.842 SOL</t>
        </is>
      </c>
      <c r="G79" s="24" t="inlineStr">
        <is>
          <t>1.366 SOL</t>
        </is>
      </c>
      <c r="H79" s="24" t="inlineStr">
        <is>
          <t>287.45%</t>
        </is>
      </c>
      <c r="I79" s="21" t="inlineStr">
        <is>
          <t>N/A</t>
        </is>
      </c>
      <c r="J79" s="21" t="n">
        <v>1</v>
      </c>
      <c r="K79" s="21" t="n">
        <v>5</v>
      </c>
      <c r="L79" s="21" t="inlineStr">
        <is>
          <t>29.10.2024 21:21:28</t>
        </is>
      </c>
      <c r="M79" s="21" t="inlineStr">
        <is>
          <t>3 days</t>
        </is>
      </c>
      <c r="N79" s="21" t="inlineStr">
        <is>
          <t xml:space="preserve">         16K            91K             4K</t>
        </is>
      </c>
      <c r="O79" s="21" t="inlineStr">
        <is>
          <t>2y9a9YJ7CMgMQ1GkMaNiDn65ZY9UxeRuQqDBcRLDpump</t>
        </is>
      </c>
      <c r="P79" s="21">
        <f>HYPERLINK("https://photon-sol.tinyastro.io/en/lp/2y9a9YJ7CMgMQ1GkMaNiDn65ZY9UxeRuQqDBcRLDpump?handle=676050794bc1b1657a56b", "View")</f>
        <v/>
      </c>
    </row>
    <row r="80">
      <c r="A80" s="16" t="inlineStr">
        <is>
          <t>HIPPO</t>
        </is>
      </c>
      <c r="B80" s="17" t="n">
        <v>67062500</v>
      </c>
      <c r="C80" s="17" t="n">
        <v>67062500</v>
      </c>
      <c r="D80" s="17" t="inlineStr">
        <is>
          <t>0.008010</t>
        </is>
      </c>
      <c r="E80" s="17" t="inlineStr">
        <is>
          <t>2.076 SOL</t>
        </is>
      </c>
      <c r="F80" s="17" t="inlineStr">
        <is>
          <t>2.510 SOL</t>
        </is>
      </c>
      <c r="G80" s="22" t="inlineStr">
        <is>
          <t>0.426 SOL</t>
        </is>
      </c>
      <c r="H80" s="22" t="inlineStr">
        <is>
          <t>20.44%</t>
        </is>
      </c>
      <c r="I80" s="17" t="inlineStr">
        <is>
          <t>N/A</t>
        </is>
      </c>
      <c r="J80" s="17" t="n">
        <v>1</v>
      </c>
      <c r="K80" s="17" t="n">
        <v>1</v>
      </c>
      <c r="L80" s="17" t="inlineStr">
        <is>
          <t>29.10.2024 21:20:37</t>
        </is>
      </c>
      <c r="M80" s="19" t="inlineStr">
        <is>
          <t>15 sec</t>
        </is>
      </c>
      <c r="N80" s="17" t="inlineStr">
        <is>
          <t xml:space="preserve">          5K             7K             5K</t>
        </is>
      </c>
      <c r="O80" s="17" t="inlineStr">
        <is>
          <t>H7gZPWWy4ue6WHzsoYUu4dDsE1owCytgos1k3EGFpump</t>
        </is>
      </c>
      <c r="P80" s="17">
        <f>HYPERLINK("https://photon-sol.tinyastro.io/en/lp/H7gZPWWy4ue6WHzsoYUu4dDsE1owCytgos1k3EGFpump?handle=676050794bc1b1657a56b", "View")</f>
        <v/>
      </c>
    </row>
    <row r="81">
      <c r="A81" s="20" t="inlineStr">
        <is>
          <t>wcat</t>
        </is>
      </c>
      <c r="B81" s="21" t="n">
        <v>67019210</v>
      </c>
      <c r="C81" s="21" t="n">
        <v>67019210</v>
      </c>
      <c r="D81" s="21" t="inlineStr">
        <is>
          <t>0.008010</t>
        </is>
      </c>
      <c r="E81" s="21" t="inlineStr">
        <is>
          <t>2.076 SOL</t>
        </is>
      </c>
      <c r="F81" s="21" t="inlineStr">
        <is>
          <t>2.961 SOL</t>
        </is>
      </c>
      <c r="G81" s="22" t="inlineStr">
        <is>
          <t>0.877 SOL</t>
        </is>
      </c>
      <c r="H81" s="22" t="inlineStr">
        <is>
          <t>42.07%</t>
        </is>
      </c>
      <c r="I81" s="21" t="inlineStr">
        <is>
          <t>N/A</t>
        </is>
      </c>
      <c r="J81" s="21" t="n">
        <v>1</v>
      </c>
      <c r="K81" s="21" t="n">
        <v>1</v>
      </c>
      <c r="L81" s="21" t="inlineStr">
        <is>
          <t>29.10.2024 21:17:05</t>
        </is>
      </c>
      <c r="M81" s="19" t="inlineStr">
        <is>
          <t>40 sec</t>
        </is>
      </c>
      <c r="N81" s="21" t="inlineStr">
        <is>
          <t xml:space="preserve">          5K             7K             5K</t>
        </is>
      </c>
      <c r="O81" s="21" t="inlineStr">
        <is>
          <t>D68vfmGGZyxwrLTJiLrpEs3TDhpWMy2pYDbAtoQSpump</t>
        </is>
      </c>
      <c r="P81" s="21">
        <f>HYPERLINK("https://photon-sol.tinyastro.io/en/lp/D68vfmGGZyxwrLTJiLrpEs3TDhpWMy2pYDbAtoQSpump?handle=676050794bc1b1657a56b", "View")</f>
        <v/>
      </c>
    </row>
    <row r="82">
      <c r="A82" s="16" t="inlineStr">
        <is>
          <t>STW</t>
        </is>
      </c>
      <c r="B82" s="17" t="n">
        <v>97483410</v>
      </c>
      <c r="C82" s="17" t="n">
        <v>97483410</v>
      </c>
      <c r="D82" s="17" t="inlineStr">
        <is>
          <t>0.008010</t>
        </is>
      </c>
      <c r="E82" s="17" t="inlineStr">
        <is>
          <t>3.096 SOL</t>
        </is>
      </c>
      <c r="F82" s="17" t="inlineStr">
        <is>
          <t>4.606 SOL</t>
        </is>
      </c>
      <c r="G82" s="22" t="inlineStr">
        <is>
          <t>1.502 SOL</t>
        </is>
      </c>
      <c r="H82" s="22" t="inlineStr">
        <is>
          <t>48.38%</t>
        </is>
      </c>
      <c r="I82" s="17" t="inlineStr">
        <is>
          <t>N/A</t>
        </is>
      </c>
      <c r="J82" s="17" t="n">
        <v>1</v>
      </c>
      <c r="K82" s="17" t="n">
        <v>1</v>
      </c>
      <c r="L82" s="17" t="inlineStr">
        <is>
          <t>29.10.2024 20:35:46</t>
        </is>
      </c>
      <c r="M82" s="19" t="inlineStr">
        <is>
          <t>9 sec</t>
        </is>
      </c>
      <c r="N82" s="17" t="inlineStr">
        <is>
          <t xml:space="preserve">          5K             9K             5K</t>
        </is>
      </c>
      <c r="O82" s="17" t="inlineStr">
        <is>
          <t>5KWQM5qBtNzaYcrZdDzA1dD4Gcuup81VZXzJRan8pump</t>
        </is>
      </c>
      <c r="P82" s="17">
        <f>HYPERLINK("https://photon-sol.tinyastro.io/en/lp/5KWQM5qBtNzaYcrZdDzA1dD4Gcuup81VZXzJRan8pump?handle=676050794bc1b1657a56b", "View")</f>
        <v/>
      </c>
    </row>
    <row r="83">
      <c r="A83" s="20" t="inlineStr">
        <is>
          <t>ATH</t>
        </is>
      </c>
      <c r="B83" s="21" t="n">
        <v>62932551</v>
      </c>
      <c r="C83" s="21" t="n">
        <v>62932551</v>
      </c>
      <c r="D83" s="21" t="inlineStr">
        <is>
          <t>0.008010</t>
        </is>
      </c>
      <c r="E83" s="21" t="inlineStr">
        <is>
          <t>2.066 SOL</t>
        </is>
      </c>
      <c r="F83" s="21" t="inlineStr">
        <is>
          <t>2.614 SOL</t>
        </is>
      </c>
      <c r="G83" s="22" t="inlineStr">
        <is>
          <t>0.540 SOL</t>
        </is>
      </c>
      <c r="H83" s="22" t="inlineStr">
        <is>
          <t>26.03%</t>
        </is>
      </c>
      <c r="I83" s="21" t="inlineStr">
        <is>
          <t>N/A</t>
        </is>
      </c>
      <c r="J83" s="21" t="n">
        <v>1</v>
      </c>
      <c r="K83" s="21" t="n">
        <v>1</v>
      </c>
      <c r="L83" s="21" t="inlineStr">
        <is>
          <t>29.10.2024 19:26:55</t>
        </is>
      </c>
      <c r="M83" s="19" t="inlineStr">
        <is>
          <t>34 sec</t>
        </is>
      </c>
      <c r="N83" s="21" t="inlineStr">
        <is>
          <t xml:space="preserve">          5K             7K             5K</t>
        </is>
      </c>
      <c r="O83" s="21" t="inlineStr">
        <is>
          <t>GueHcunms6EaJPesJQ3NcHpPuLz4jMeFnFay5nawpump</t>
        </is>
      </c>
      <c r="P83" s="21">
        <f>HYPERLINK("https://photon-sol.tinyastro.io/en/lp/GueHcunms6EaJPesJQ3NcHpPuLz4jMeFnFay5nawpump?handle=676050794bc1b1657a56b", "View")</f>
        <v/>
      </c>
    </row>
    <row r="84">
      <c r="A84" s="16" t="inlineStr">
        <is>
          <t>Hana</t>
        </is>
      </c>
      <c r="B84" s="17" t="n">
        <v>66059028</v>
      </c>
      <c r="C84" s="17" t="n">
        <v>35059028</v>
      </c>
      <c r="D84" s="17" t="inlineStr">
        <is>
          <t>0.056070</t>
        </is>
      </c>
      <c r="E84" s="17" t="inlineStr">
        <is>
          <t>12.491 SOL</t>
        </is>
      </c>
      <c r="F84" s="17" t="inlineStr">
        <is>
          <t>25.328 SOL</t>
        </is>
      </c>
      <c r="G84" s="24" t="inlineStr">
        <is>
          <t>12.781 SOL</t>
        </is>
      </c>
      <c r="H84" s="24" t="inlineStr">
        <is>
          <t>101.86%</t>
        </is>
      </c>
      <c r="I84" s="17" t="inlineStr">
        <is>
          <t>N/A</t>
        </is>
      </c>
      <c r="J84" s="17" t="n">
        <v>6</v>
      </c>
      <c r="K84" s="17" t="n">
        <v>8</v>
      </c>
      <c r="L84" s="17" t="inlineStr">
        <is>
          <t>29.10.2024 18:46:00</t>
        </is>
      </c>
      <c r="M84" s="17" t="inlineStr">
        <is>
          <t>4 hours</t>
        </is>
      </c>
      <c r="N84" s="17" t="inlineStr">
        <is>
          <t xml:space="preserve">         42K           299K             9K</t>
        </is>
      </c>
      <c r="O84" s="17" t="inlineStr">
        <is>
          <t>7L15Afew6rL2ujRgvfYgPTpLKqBPjrQkh7nNzyrhpump</t>
        </is>
      </c>
      <c r="P84" s="17">
        <f>HYPERLINK("https://photon-sol.tinyastro.io/en/lp/7L15Afew6rL2ujRgvfYgPTpLKqBPjrQkh7nNzyrhpump?handle=676050794bc1b1657a56b", "View")</f>
        <v/>
      </c>
    </row>
    <row r="85">
      <c r="A85" s="20" t="inlineStr">
        <is>
          <t>Woman</t>
        </is>
      </c>
      <c r="B85" s="21" t="n">
        <v>67062500</v>
      </c>
      <c r="C85" s="21" t="n">
        <v>67062500</v>
      </c>
      <c r="D85" s="21" t="inlineStr">
        <is>
          <t>0.008010</t>
        </is>
      </c>
      <c r="E85" s="21" t="inlineStr">
        <is>
          <t>2.076 SOL</t>
        </is>
      </c>
      <c r="F85" s="21" t="inlineStr">
        <is>
          <t>2.569 SOL</t>
        </is>
      </c>
      <c r="G85" s="22" t="inlineStr">
        <is>
          <t>0.485 SOL</t>
        </is>
      </c>
      <c r="H85" s="22" t="inlineStr">
        <is>
          <t>23.28%</t>
        </is>
      </c>
      <c r="I85" s="21" t="inlineStr">
        <is>
          <t>N/A</t>
        </is>
      </c>
      <c r="J85" s="21" t="n">
        <v>1</v>
      </c>
      <c r="K85" s="21" t="n">
        <v>1</v>
      </c>
      <c r="L85" s="21" t="inlineStr">
        <is>
          <t>29.10.2024 18:21:15</t>
        </is>
      </c>
      <c r="M85" s="19" t="inlineStr">
        <is>
          <t>24 sec</t>
        </is>
      </c>
      <c r="N85" s="21" t="inlineStr">
        <is>
          <t xml:space="preserve">          5K             7K             5K</t>
        </is>
      </c>
      <c r="O85" s="21" t="inlineStr">
        <is>
          <t>664kKpqzRBR5RfUHaSgrHrM55xRd3yKHmQwf9YKUpKHt</t>
        </is>
      </c>
      <c r="P85" s="21">
        <f>HYPERLINK("https://photon-sol.tinyastro.io/en/lp/664kKpqzRBR5RfUHaSgrHrM55xRd3yKHmQwf9YKUpKHt?handle=676050794bc1b1657a56b", "View")</f>
        <v/>
      </c>
    </row>
    <row r="86">
      <c r="A86" s="16" t="inlineStr">
        <is>
          <t>La’eeb</t>
        </is>
      </c>
      <c r="B86" s="17" t="n">
        <v>21138793</v>
      </c>
      <c r="C86" s="17" t="n">
        <v>21138793</v>
      </c>
      <c r="D86" s="17" t="inlineStr">
        <is>
          <t>0.008010</t>
        </is>
      </c>
      <c r="E86" s="17" t="inlineStr">
        <is>
          <t>0.947 SOL</t>
        </is>
      </c>
      <c r="F86" s="17" t="inlineStr">
        <is>
          <t>0.896 SOL</t>
        </is>
      </c>
      <c r="G86" s="25" t="inlineStr">
        <is>
          <t>-0.059 SOL</t>
        </is>
      </c>
      <c r="H86" s="25" t="inlineStr">
        <is>
          <t>-6.19%</t>
        </is>
      </c>
      <c r="I86" s="17" t="inlineStr">
        <is>
          <t>N/A</t>
        </is>
      </c>
      <c r="J86" s="17" t="n">
        <v>1</v>
      </c>
      <c r="K86" s="17" t="n">
        <v>1</v>
      </c>
      <c r="L86" s="17" t="inlineStr">
        <is>
          <t>29.10.2024 18:10:15</t>
        </is>
      </c>
      <c r="M86" s="19" t="inlineStr">
        <is>
          <t>31 sec</t>
        </is>
      </c>
      <c r="N86" s="17" t="inlineStr">
        <is>
          <t xml:space="preserve">          7K             7K             5K</t>
        </is>
      </c>
      <c r="O86" s="17" t="inlineStr">
        <is>
          <t>ByDLdExUF61QNntbBgEqG2EtUQNtvSYmGWBZQjwTNi4d</t>
        </is>
      </c>
      <c r="P86" s="17">
        <f>HYPERLINK("https://photon-sol.tinyastro.io/en/lp/ByDLdExUF61QNntbBgEqG2EtUQNtvSYmGWBZQjwTNi4d?handle=676050794bc1b1657a56b", "View")</f>
        <v/>
      </c>
    </row>
    <row r="87">
      <c r="A87" s="20" t="inlineStr">
        <is>
          <t>TRUTH</t>
        </is>
      </c>
      <c r="B87" s="21" t="n">
        <v>3239879</v>
      </c>
      <c r="C87" s="21" t="n">
        <v>3239879</v>
      </c>
      <c r="D87" s="21" t="inlineStr">
        <is>
          <t>0.008010</t>
        </is>
      </c>
      <c r="E87" s="21" t="inlineStr">
        <is>
          <t>1.263 SOL</t>
        </is>
      </c>
      <c r="F87" s="21" t="inlineStr">
        <is>
          <t>1.001 SOL</t>
        </is>
      </c>
      <c r="G87" s="25" t="inlineStr">
        <is>
          <t>-0.270 SOL</t>
        </is>
      </c>
      <c r="H87" s="25" t="inlineStr">
        <is>
          <t>-21.21%</t>
        </is>
      </c>
      <c r="I87" s="21" t="inlineStr">
        <is>
          <t>N/A</t>
        </is>
      </c>
      <c r="J87" s="21" t="n">
        <v>1</v>
      </c>
      <c r="K87" s="21" t="n">
        <v>1</v>
      </c>
      <c r="L87" s="21" t="inlineStr">
        <is>
          <t>29.10.2024 18:00:54</t>
        </is>
      </c>
      <c r="M87" s="19" t="inlineStr">
        <is>
          <t>10 sec</t>
        </is>
      </c>
      <c r="N87" s="21" t="inlineStr">
        <is>
          <t xml:space="preserve">         68K            54K             3K</t>
        </is>
      </c>
      <c r="O87" s="21" t="inlineStr">
        <is>
          <t>Dx8QoLHFUFiu4hsqScW9abhWYwfzk5FgE4145dSspump</t>
        </is>
      </c>
      <c r="P87" s="21">
        <f>HYPERLINK("https://photon-sol.tinyastro.io/en/lp/Dx8QoLHFUFiu4hsqScW9abhWYwfzk5FgE4145dSspump?handle=676050794bc1b1657a56b", "View")</f>
        <v/>
      </c>
    </row>
    <row r="88">
      <c r="A88" s="16" t="inlineStr">
        <is>
          <t>holyghost</t>
        </is>
      </c>
      <c r="B88" s="17" t="n">
        <v>22117376</v>
      </c>
      <c r="C88" s="17" t="n">
        <v>22117376</v>
      </c>
      <c r="D88" s="17" t="inlineStr">
        <is>
          <t>0.008010</t>
        </is>
      </c>
      <c r="E88" s="17" t="inlineStr">
        <is>
          <t>0.813 SOL</t>
        </is>
      </c>
      <c r="F88" s="17" t="inlineStr">
        <is>
          <t>0.917 SOL</t>
        </is>
      </c>
      <c r="G88" s="22" t="inlineStr">
        <is>
          <t>0.097 SOL</t>
        </is>
      </c>
      <c r="H88" s="22" t="inlineStr">
        <is>
          <t>11.79%</t>
        </is>
      </c>
      <c r="I88" s="17" t="inlineStr">
        <is>
          <t>N/A</t>
        </is>
      </c>
      <c r="J88" s="17" t="n">
        <v>1</v>
      </c>
      <c r="K88" s="17" t="n">
        <v>1</v>
      </c>
      <c r="L88" s="17" t="inlineStr">
        <is>
          <t>29.10.2024 18:00:12</t>
        </is>
      </c>
      <c r="M88" s="19" t="inlineStr">
        <is>
          <t>29 sec</t>
        </is>
      </c>
      <c r="N88" s="17" t="inlineStr">
        <is>
          <t xml:space="preserve">          7K             7K             5K</t>
        </is>
      </c>
      <c r="O88" s="17" t="inlineStr">
        <is>
          <t>H1w19S8a6t5EJ1LMJuydxoABqsdcT4wV2uy2rnxJpump</t>
        </is>
      </c>
      <c r="P88" s="17">
        <f>HYPERLINK("https://photon-sol.tinyastro.io/en/lp/H1w19S8a6t5EJ1LMJuydxoABqsdcT4wV2uy2rnxJpump?handle=676050794bc1b1657a56b", "View")</f>
        <v/>
      </c>
    </row>
    <row r="89">
      <c r="A89" s="20" t="inlineStr">
        <is>
          <t>TCOS</t>
        </is>
      </c>
      <c r="B89" s="21" t="n">
        <v>3705352</v>
      </c>
      <c r="C89" s="21" t="n">
        <v>3705352</v>
      </c>
      <c r="D89" s="21" t="inlineStr">
        <is>
          <t>0.008010</t>
        </is>
      </c>
      <c r="E89" s="21" t="inlineStr">
        <is>
          <t>1.094 SOL</t>
        </is>
      </c>
      <c r="F89" s="21" t="inlineStr">
        <is>
          <t>0.836 SOL</t>
        </is>
      </c>
      <c r="G89" s="25" t="inlineStr">
        <is>
          <t>-0.266 SOL</t>
        </is>
      </c>
      <c r="H89" s="25" t="inlineStr">
        <is>
          <t>-24.13%</t>
        </is>
      </c>
      <c r="I89" s="21" t="inlineStr">
        <is>
          <t>N/A</t>
        </is>
      </c>
      <c r="J89" s="21" t="n">
        <v>1</v>
      </c>
      <c r="K89" s="21" t="n">
        <v>1</v>
      </c>
      <c r="L89" s="21" t="inlineStr">
        <is>
          <t>29.10.2024 17:57:49</t>
        </is>
      </c>
      <c r="M89" s="19" t="inlineStr">
        <is>
          <t>37 sec</t>
        </is>
      </c>
      <c r="N89" s="21" t="inlineStr">
        <is>
          <t xml:space="preserve">         53K            40K             5K</t>
        </is>
      </c>
      <c r="O89" s="21" t="inlineStr">
        <is>
          <t>G9XcU7chLwW44sfrczjtUWSeSNPz5kNshmpcsCMXpump</t>
        </is>
      </c>
      <c r="P89" s="21">
        <f>HYPERLINK("https://photon-sol.tinyastro.io/en/lp/G9XcU7chLwW44sfrczjtUWSeSNPz5kNshmpcsCMXpump?handle=676050794bc1b1657a56b", "View")</f>
        <v/>
      </c>
    </row>
    <row r="90">
      <c r="A90" s="16" t="inlineStr">
        <is>
          <t>BOO</t>
        </is>
      </c>
      <c r="B90" s="17" t="n">
        <v>21571269</v>
      </c>
      <c r="C90" s="17" t="n">
        <v>21571269</v>
      </c>
      <c r="D90" s="17" t="inlineStr">
        <is>
          <t>0.008010</t>
        </is>
      </c>
      <c r="E90" s="17" t="inlineStr">
        <is>
          <t>0.957 SOL</t>
        </is>
      </c>
      <c r="F90" s="17" t="inlineStr">
        <is>
          <t>0.992 SOL</t>
        </is>
      </c>
      <c r="G90" s="22" t="inlineStr">
        <is>
          <t>0.027 SOL</t>
        </is>
      </c>
      <c r="H90" s="22" t="inlineStr">
        <is>
          <t>2.82%</t>
        </is>
      </c>
      <c r="I90" s="17" t="inlineStr">
        <is>
          <t>N/A</t>
        </is>
      </c>
      <c r="J90" s="17" t="n">
        <v>1</v>
      </c>
      <c r="K90" s="17" t="n">
        <v>1</v>
      </c>
      <c r="L90" s="17" t="inlineStr">
        <is>
          <t>29.10.2024 17:56:53</t>
        </is>
      </c>
      <c r="M90" s="19" t="inlineStr">
        <is>
          <t>25 sec</t>
        </is>
      </c>
      <c r="N90" s="17" t="inlineStr">
        <is>
          <t xml:space="preserve">          7K             9K             5K</t>
        </is>
      </c>
      <c r="O90" s="17" t="inlineStr">
        <is>
          <t>4NawAAgWKZ4S5mRNK1eQQzumzHPKAtBiWAP8FUzzpump</t>
        </is>
      </c>
      <c r="P90" s="17">
        <f>HYPERLINK("https://photon-sol.tinyastro.io/en/lp/4NawAAgWKZ4S5mRNK1eQQzumzHPKAtBiWAP8FUzzpump?handle=676050794bc1b1657a56b", "View")</f>
        <v/>
      </c>
    </row>
    <row r="91">
      <c r="A91" s="20" t="inlineStr">
        <is>
          <t>Contessina</t>
        </is>
      </c>
      <c r="B91" s="21" t="n">
        <v>14185373</v>
      </c>
      <c r="C91" s="21" t="n">
        <v>14185373</v>
      </c>
      <c r="D91" s="21" t="inlineStr">
        <is>
          <t>0.008010</t>
        </is>
      </c>
      <c r="E91" s="21" t="inlineStr">
        <is>
          <t>1.060 SOL</t>
        </is>
      </c>
      <c r="F91" s="21" t="inlineStr">
        <is>
          <t>1.078 SOL</t>
        </is>
      </c>
      <c r="G91" s="22" t="inlineStr">
        <is>
          <t>0.010 SOL</t>
        </is>
      </c>
      <c r="H91" s="22" t="inlineStr">
        <is>
          <t>0.95%</t>
        </is>
      </c>
      <c r="I91" s="21" t="inlineStr">
        <is>
          <t>N/A</t>
        </is>
      </c>
      <c r="J91" s="21" t="n">
        <v>1</v>
      </c>
      <c r="K91" s="21" t="n">
        <v>1</v>
      </c>
      <c r="L91" s="21" t="inlineStr">
        <is>
          <t>29.10.2024 17:54:28</t>
        </is>
      </c>
      <c r="M91" s="21" t="inlineStr">
        <is>
          <t>1 min</t>
        </is>
      </c>
      <c r="N91" s="21" t="inlineStr">
        <is>
          <t xml:space="preserve">         12K            14K             5K</t>
        </is>
      </c>
      <c r="O91" s="21" t="inlineStr">
        <is>
          <t>B5mDnnuiT5yu8atUQMXNJjaWH1mLJhHkagtvxw6rpump</t>
        </is>
      </c>
      <c r="P91" s="21">
        <f>HYPERLINK("https://photon-sol.tinyastro.io/en/lp/B5mDnnuiT5yu8atUQMXNJjaWH1mLJhHkagtvxw6rpump?handle=676050794bc1b1657a56b", "View")</f>
        <v/>
      </c>
    </row>
    <row r="92">
      <c r="A92" s="16" t="inlineStr">
        <is>
          <t>HG</t>
        </is>
      </c>
      <c r="B92" s="17" t="n">
        <v>87403148</v>
      </c>
      <c r="C92" s="17" t="n">
        <v>87403148</v>
      </c>
      <c r="D92" s="17" t="inlineStr">
        <is>
          <t>0.016020</t>
        </is>
      </c>
      <c r="E92" s="17" t="inlineStr">
        <is>
          <t>3.141 SOL</t>
        </is>
      </c>
      <c r="F92" s="17" t="inlineStr">
        <is>
          <t>4.601 SOL</t>
        </is>
      </c>
      <c r="G92" s="22" t="inlineStr">
        <is>
          <t>1.444 SOL</t>
        </is>
      </c>
      <c r="H92" s="22" t="inlineStr">
        <is>
          <t>45.75%</t>
        </is>
      </c>
      <c r="I92" s="17" t="inlineStr">
        <is>
          <t>N/A</t>
        </is>
      </c>
      <c r="J92" s="17" t="n">
        <v>2</v>
      </c>
      <c r="K92" s="17" t="n">
        <v>2</v>
      </c>
      <c r="L92" s="17" t="inlineStr">
        <is>
          <t>29.10.2024 17:52:31</t>
        </is>
      </c>
      <c r="M92" s="17" t="inlineStr">
        <is>
          <t>10 min</t>
        </is>
      </c>
      <c r="N92" s="17" t="inlineStr">
        <is>
          <t xml:space="preserve">          5K             9K             5K</t>
        </is>
      </c>
      <c r="O92" s="17" t="inlineStr">
        <is>
          <t>GAddc5q3JEpSzabiUbtCmNDtQnGZkjGb1eGzdXNDpump</t>
        </is>
      </c>
      <c r="P92" s="17">
        <f>HYPERLINK("https://photon-sol.tinyastro.io/en/lp/GAddc5q3JEpSzabiUbtCmNDtQnGZkjGb1eGzdXNDpump?handle=676050794bc1b1657a56b", "View")</f>
        <v/>
      </c>
    </row>
    <row r="93">
      <c r="A93" s="20" t="inlineStr">
        <is>
          <t>Hm</t>
        </is>
      </c>
      <c r="B93" s="21" t="n">
        <v>30816717</v>
      </c>
      <c r="C93" s="21" t="n">
        <v>30816717</v>
      </c>
      <c r="D93" s="21" t="inlineStr">
        <is>
          <t>0.008010</t>
        </is>
      </c>
      <c r="E93" s="21" t="inlineStr">
        <is>
          <t>1.069 SOL</t>
        </is>
      </c>
      <c r="F93" s="21" t="inlineStr">
        <is>
          <t>1.380 SOL</t>
        </is>
      </c>
      <c r="G93" s="22" t="inlineStr">
        <is>
          <t>0.304 SOL</t>
        </is>
      </c>
      <c r="H93" s="22" t="inlineStr">
        <is>
          <t>28.20%</t>
        </is>
      </c>
      <c r="I93" s="21" t="inlineStr">
        <is>
          <t>N/A</t>
        </is>
      </c>
      <c r="J93" s="21" t="n">
        <v>1</v>
      </c>
      <c r="K93" s="21" t="n">
        <v>1</v>
      </c>
      <c r="L93" s="21" t="inlineStr">
        <is>
          <t>29.10.2024 17:50:36</t>
        </is>
      </c>
      <c r="M93" s="21" t="inlineStr">
        <is>
          <t>3 min</t>
        </is>
      </c>
      <c r="N93" s="21" t="inlineStr">
        <is>
          <t xml:space="preserve">          5K             7K             5K</t>
        </is>
      </c>
      <c r="O93" s="21" t="inlineStr">
        <is>
          <t>CebktzsbbFWFDsJRpJYtwkGTxqjWmkrhpdjSTPNTpump</t>
        </is>
      </c>
      <c r="P93" s="21">
        <f>HYPERLINK("https://photon-sol.tinyastro.io/en/lp/CebktzsbbFWFDsJRpJYtwkGTxqjWmkrhpdjSTPNTpump?handle=676050794bc1b1657a56b", "View")</f>
        <v/>
      </c>
    </row>
    <row r="94">
      <c r="A94" s="16" t="inlineStr">
        <is>
          <t>McDonald's</t>
        </is>
      </c>
      <c r="B94" s="17" t="n">
        <v>67062500</v>
      </c>
      <c r="C94" s="17" t="n">
        <v>67062500</v>
      </c>
      <c r="D94" s="17" t="inlineStr">
        <is>
          <t>0.008010</t>
        </is>
      </c>
      <c r="E94" s="17" t="inlineStr">
        <is>
          <t>2.076 SOL</t>
        </is>
      </c>
      <c r="F94" s="17" t="inlineStr">
        <is>
          <t>2.541 SOL</t>
        </is>
      </c>
      <c r="G94" s="22" t="inlineStr">
        <is>
          <t>0.457 SOL</t>
        </is>
      </c>
      <c r="H94" s="22" t="inlineStr">
        <is>
          <t>21.94%</t>
        </is>
      </c>
      <c r="I94" s="17" t="inlineStr">
        <is>
          <t>N/A</t>
        </is>
      </c>
      <c r="J94" s="17" t="n">
        <v>1</v>
      </c>
      <c r="K94" s="17" t="n">
        <v>1</v>
      </c>
      <c r="L94" s="17" t="inlineStr">
        <is>
          <t>29.10.2024 17:38:24</t>
        </is>
      </c>
      <c r="M94" s="17" t="inlineStr">
        <is>
          <t>3 min</t>
        </is>
      </c>
      <c r="N94" s="17" t="inlineStr">
        <is>
          <t xml:space="preserve">          5K             7K             5K</t>
        </is>
      </c>
      <c r="O94" s="17" t="inlineStr">
        <is>
          <t>5jWaU3ejQabkAyx2gFQD5ieKgVWoXAbLyFVcSB3zpump</t>
        </is>
      </c>
      <c r="P94" s="17">
        <f>HYPERLINK("https://photon-sol.tinyastro.io/en/lp/5jWaU3ejQabkAyx2gFQD5ieKgVWoXAbLyFVcSB3zpump?handle=676050794bc1b1657a56b", "View")</f>
        <v/>
      </c>
    </row>
    <row r="95">
      <c r="A95" s="20" t="inlineStr">
        <is>
          <t>HC</t>
        </is>
      </c>
      <c r="B95" s="21" t="n">
        <v>5966014</v>
      </c>
      <c r="C95" s="21" t="n">
        <v>5966014</v>
      </c>
      <c r="D95" s="21" t="inlineStr">
        <is>
          <t>0.008010</t>
        </is>
      </c>
      <c r="E95" s="21" t="inlineStr">
        <is>
          <t>0.248 SOL</t>
        </is>
      </c>
      <c r="F95" s="21" t="inlineStr">
        <is>
          <t>0.188 SOL</t>
        </is>
      </c>
      <c r="G95" s="25" t="inlineStr">
        <is>
          <t>-0.068 SOL</t>
        </is>
      </c>
      <c r="H95" s="25" t="inlineStr">
        <is>
          <t>-26.70%</t>
        </is>
      </c>
      <c r="I95" s="21" t="inlineStr">
        <is>
          <t>N/A</t>
        </is>
      </c>
      <c r="J95" s="21" t="n">
        <v>1</v>
      </c>
      <c r="K95" s="21" t="n">
        <v>1</v>
      </c>
      <c r="L95" s="21" t="inlineStr">
        <is>
          <t>29.10.2024 17:25:41</t>
        </is>
      </c>
      <c r="M95" s="21" t="inlineStr">
        <is>
          <t>1 min</t>
        </is>
      </c>
      <c r="N95" s="21" t="inlineStr">
        <is>
          <t xml:space="preserve">          7K             5K             5K</t>
        </is>
      </c>
      <c r="O95" s="21" t="inlineStr">
        <is>
          <t>4j5WpbZ55jQF47GK9PZL4YJQUUohLopdmJFiQKNobrug</t>
        </is>
      </c>
      <c r="P95" s="21">
        <f>HYPERLINK("https://photon-sol.tinyastro.io/en/lp/4j5WpbZ55jQF47GK9PZL4YJQUUohLopdmJFiQKNobrug?handle=676050794bc1b1657a56b", "View")</f>
        <v/>
      </c>
    </row>
    <row r="96">
      <c r="A96" s="16" t="inlineStr">
        <is>
          <t>BRIZ</t>
        </is>
      </c>
      <c r="B96" s="17" t="n">
        <v>17070899</v>
      </c>
      <c r="C96" s="17" t="n">
        <v>17070899</v>
      </c>
      <c r="D96" s="17" t="inlineStr">
        <is>
          <t>0.008010</t>
        </is>
      </c>
      <c r="E96" s="17" t="inlineStr">
        <is>
          <t>0.920 SOL</t>
        </is>
      </c>
      <c r="F96" s="17" t="inlineStr">
        <is>
          <t>0.854 SOL</t>
        </is>
      </c>
      <c r="G96" s="25" t="inlineStr">
        <is>
          <t>-0.074 SOL</t>
        </is>
      </c>
      <c r="H96" s="25" t="inlineStr">
        <is>
          <t>-7.97%</t>
        </is>
      </c>
      <c r="I96" s="17" t="inlineStr">
        <is>
          <t>N/A</t>
        </is>
      </c>
      <c r="J96" s="17" t="n">
        <v>1</v>
      </c>
      <c r="K96" s="17" t="n">
        <v>1</v>
      </c>
      <c r="L96" s="17" t="inlineStr">
        <is>
          <t>29.10.2024 17:23:20</t>
        </is>
      </c>
      <c r="M96" s="19" t="inlineStr">
        <is>
          <t>38 sec</t>
        </is>
      </c>
      <c r="N96" s="17" t="inlineStr">
        <is>
          <t xml:space="preserve">          9K             9K             5K</t>
        </is>
      </c>
      <c r="O96" s="17" t="inlineStr">
        <is>
          <t>HRTmPp9bvrEFv9MoqF4rV1RPWHUmvvyV4b9nKL3jpump</t>
        </is>
      </c>
      <c r="P96" s="17">
        <f>HYPERLINK("https://photon-sol.tinyastro.io/en/lp/HRTmPp9bvrEFv9MoqF4rV1RPWHUmvvyV4b9nKL3jpump?handle=676050794bc1b1657a56b", "View")</f>
        <v/>
      </c>
    </row>
    <row r="97">
      <c r="A97" s="20" t="inlineStr">
        <is>
          <t>Pickle</t>
        </is>
      </c>
      <c r="B97" s="21" t="n">
        <v>1823583</v>
      </c>
      <c r="C97" s="21" t="n">
        <v>1823583</v>
      </c>
      <c r="D97" s="21" t="inlineStr">
        <is>
          <t>0.012020</t>
        </is>
      </c>
      <c r="E97" s="21" t="inlineStr">
        <is>
          <t>2.000 SOL</t>
        </is>
      </c>
      <c r="F97" s="21" t="inlineStr">
        <is>
          <t>2.143 SOL</t>
        </is>
      </c>
      <c r="G97" s="22" t="inlineStr">
        <is>
          <t>0.131 SOL</t>
        </is>
      </c>
      <c r="H97" s="22" t="inlineStr">
        <is>
          <t>6.53%</t>
        </is>
      </c>
      <c r="I97" s="21" t="inlineStr">
        <is>
          <t>N/A</t>
        </is>
      </c>
      <c r="J97" s="21" t="n">
        <v>1</v>
      </c>
      <c r="K97" s="21" t="n">
        <v>2</v>
      </c>
      <c r="L97" s="21" t="inlineStr">
        <is>
          <t>29.10.2024 17:21:10</t>
        </is>
      </c>
      <c r="M97" s="21" t="inlineStr">
        <is>
          <t>2 min</t>
        </is>
      </c>
      <c r="N97" s="21" t="inlineStr">
        <is>
          <t xml:space="preserve">        193K           184K             6K</t>
        </is>
      </c>
      <c r="O97" s="21" t="inlineStr">
        <is>
          <t>BCjAL2StpBFpfT4sEgmPckH7wmnJ3WD41sMZ97MMpump</t>
        </is>
      </c>
      <c r="P97" s="21">
        <f>HYPERLINK("https://dexscreener.com/solana/BCjAL2StpBFpfT4sEgmPckH7wmnJ3WD41sMZ97MMpump", "View")</f>
        <v/>
      </c>
    </row>
    <row r="98">
      <c r="A98" s="16" t="inlineStr">
        <is>
          <t>HS</t>
        </is>
      </c>
      <c r="B98" s="17" t="n">
        <v>65262858</v>
      </c>
      <c r="C98" s="17" t="n">
        <v>65262858</v>
      </c>
      <c r="D98" s="17" t="inlineStr">
        <is>
          <t>0.020030</t>
        </is>
      </c>
      <c r="E98" s="17" t="inlineStr">
        <is>
          <t>4.142 SOL</t>
        </is>
      </c>
      <c r="F98" s="17" t="inlineStr">
        <is>
          <t>4.369 SOL</t>
        </is>
      </c>
      <c r="G98" s="22" t="inlineStr">
        <is>
          <t>0.206 SOL</t>
        </is>
      </c>
      <c r="H98" s="22" t="inlineStr">
        <is>
          <t>4.96%</t>
        </is>
      </c>
      <c r="I98" s="17" t="inlineStr">
        <is>
          <t>N/A</t>
        </is>
      </c>
      <c r="J98" s="17" t="n">
        <v>2</v>
      </c>
      <c r="K98" s="17" t="n">
        <v>3</v>
      </c>
      <c r="L98" s="17" t="inlineStr">
        <is>
          <t>29.10.2024 17:09:52</t>
        </is>
      </c>
      <c r="M98" s="17" t="inlineStr">
        <is>
          <t>3 min</t>
        </is>
      </c>
      <c r="N98" s="17" t="inlineStr">
        <is>
          <t xml:space="preserve">         12K             9K             5K</t>
        </is>
      </c>
      <c r="O98" s="17" t="inlineStr">
        <is>
          <t>HGYCrTw6HUTL3HAX6tSkm3gomdRF9UtTVJ7zJ2LTpump</t>
        </is>
      </c>
      <c r="P98" s="17">
        <f>HYPERLINK("https://photon-sol.tinyastro.io/en/lp/HGYCrTw6HUTL3HAX6tSkm3gomdRF9UtTVJ7zJ2LTpump?handle=676050794bc1b1657a56b", "View")</f>
        <v/>
      </c>
    </row>
    <row r="99">
      <c r="A99" s="20" t="inlineStr">
        <is>
          <t>hc</t>
        </is>
      </c>
      <c r="B99" s="21" t="n">
        <v>53814190</v>
      </c>
      <c r="C99" s="21" t="n">
        <v>53814190</v>
      </c>
      <c r="D99" s="21" t="inlineStr">
        <is>
          <t>0.040050</t>
        </is>
      </c>
      <c r="E99" s="21" t="inlineStr">
        <is>
          <t>6.184 SOL</t>
        </is>
      </c>
      <c r="F99" s="21" t="inlineStr">
        <is>
          <t>8.446 SOL</t>
        </is>
      </c>
      <c r="G99" s="22" t="inlineStr">
        <is>
          <t>2.222 SOL</t>
        </is>
      </c>
      <c r="H99" s="22" t="inlineStr">
        <is>
          <t>35.70%</t>
        </is>
      </c>
      <c r="I99" s="21" t="inlineStr">
        <is>
          <t>N/A</t>
        </is>
      </c>
      <c r="J99" s="21" t="n">
        <v>4</v>
      </c>
      <c r="K99" s="21" t="n">
        <v>6</v>
      </c>
      <c r="L99" s="21" t="inlineStr">
        <is>
          <t>29.10.2024 17:02:02</t>
        </is>
      </c>
      <c r="M99" s="21" t="inlineStr">
        <is>
          <t>24 min</t>
        </is>
      </c>
      <c r="N99" s="21" t="inlineStr">
        <is>
          <t xml:space="preserve">         19K            23K             3K</t>
        </is>
      </c>
      <c r="O99" s="21" t="inlineStr">
        <is>
          <t>9bHMKBBJfS1GP1KkXCtSdDEwSw1rrJLm39L4HE6J4aX3</t>
        </is>
      </c>
      <c r="P99" s="21">
        <f>HYPERLINK("https://photon-sol.tinyastro.io/en/lp/9bHMKBBJfS1GP1KkXCtSdDEwSw1rrJLm39L4HE6J4aX3?handle=676050794bc1b1657a56b", "View")</f>
        <v/>
      </c>
    </row>
    <row r="100">
      <c r="A100" s="16" t="inlineStr">
        <is>
          <t>valley</t>
        </is>
      </c>
      <c r="B100" s="17" t="n">
        <v>4148006</v>
      </c>
      <c r="C100" s="17" t="n">
        <v>4148006</v>
      </c>
      <c r="D100" s="17" t="inlineStr">
        <is>
          <t>0.024030</t>
        </is>
      </c>
      <c r="E100" s="17" t="inlineStr">
        <is>
          <t>1.201 SOL</t>
        </is>
      </c>
      <c r="F100" s="17" t="inlineStr">
        <is>
          <t>1.313 SOL</t>
        </is>
      </c>
      <c r="G100" s="22" t="inlineStr">
        <is>
          <t>0.088 SOL</t>
        </is>
      </c>
      <c r="H100" s="22" t="inlineStr">
        <is>
          <t>7.18%</t>
        </is>
      </c>
      <c r="I100" s="17" t="inlineStr">
        <is>
          <t>N/A</t>
        </is>
      </c>
      <c r="J100" s="17" t="n">
        <v>2</v>
      </c>
      <c r="K100" s="17" t="n">
        <v>4</v>
      </c>
      <c r="L100" s="17" t="inlineStr">
        <is>
          <t>29.10.2024 14:43:39</t>
        </is>
      </c>
      <c r="M100" s="17" t="inlineStr">
        <is>
          <t>6 min</t>
        </is>
      </c>
      <c r="N100" s="17" t="inlineStr">
        <is>
          <t xml:space="preserve">         51K           109K             3K</t>
        </is>
      </c>
      <c r="O100" s="17" t="inlineStr">
        <is>
          <t>7weLjTDMheYznUikcRfXCzhKbQtsdRfvy8WJa8ccpump</t>
        </is>
      </c>
      <c r="P100" s="17">
        <f>HYPERLINK("https://photon-sol.tinyastro.io/en/lp/7weLjTDMheYznUikcRfXCzhKbQtsdRfvy8WJa8ccpump?handle=676050794bc1b1657a56b", "View")</f>
        <v/>
      </c>
    </row>
    <row r="101">
      <c r="A101" s="20" t="inlineStr">
        <is>
          <t>Eve</t>
        </is>
      </c>
      <c r="B101" s="21" t="n">
        <v>3780566</v>
      </c>
      <c r="C101" s="21" t="n">
        <v>3780566</v>
      </c>
      <c r="D101" s="21" t="inlineStr">
        <is>
          <t>0.012010</t>
        </is>
      </c>
      <c r="E101" s="21" t="inlineStr">
        <is>
          <t>1.355 SOL</t>
        </is>
      </c>
      <c r="F101" s="21" t="inlineStr">
        <is>
          <t>1.246 SOL</t>
        </is>
      </c>
      <c r="G101" s="25" t="inlineStr">
        <is>
          <t>-0.122 SOL</t>
        </is>
      </c>
      <c r="H101" s="25" t="inlineStr">
        <is>
          <t>-8.89%</t>
        </is>
      </c>
      <c r="I101" s="21" t="inlineStr">
        <is>
          <t>N/A</t>
        </is>
      </c>
      <c r="J101" s="21" t="n">
        <v>2</v>
      </c>
      <c r="K101" s="21" t="n">
        <v>1</v>
      </c>
      <c r="L101" s="21" t="inlineStr">
        <is>
          <t>29.10.2024 14:30:27</t>
        </is>
      </c>
      <c r="M101" s="21" t="inlineStr">
        <is>
          <t>4 min</t>
        </is>
      </c>
      <c r="N101" s="21" t="inlineStr">
        <is>
          <t xml:space="preserve">         53K            58K             9K</t>
        </is>
      </c>
      <c r="O101" s="21" t="inlineStr">
        <is>
          <t>BoyAq9YacyJQn96e3SM4GQrxKQEHuLXs8sA3V4aspump</t>
        </is>
      </c>
      <c r="P101" s="21">
        <f>HYPERLINK("https://photon-sol.tinyastro.io/en/lp/BoyAq9YacyJQn96e3SM4GQrxKQEHuLXs8sA3V4aspump?handle=676050794bc1b1657a56b", "View")</f>
        <v/>
      </c>
    </row>
    <row r="102">
      <c r="A102" s="16" t="inlineStr">
        <is>
          <t>pumpkin</t>
        </is>
      </c>
      <c r="B102" s="17" t="n">
        <v>64537471</v>
      </c>
      <c r="C102" s="17" t="n">
        <v>64537471</v>
      </c>
      <c r="D102" s="17" t="inlineStr">
        <is>
          <t>0.008010</t>
        </is>
      </c>
      <c r="E102" s="17" t="inlineStr">
        <is>
          <t>2.076 SOL</t>
        </is>
      </c>
      <c r="F102" s="17" t="inlineStr">
        <is>
          <t>3.685 SOL</t>
        </is>
      </c>
      <c r="G102" s="24" t="inlineStr">
        <is>
          <t>1.600 SOL</t>
        </is>
      </c>
      <c r="H102" s="24" t="inlineStr">
        <is>
          <t>76.80%</t>
        </is>
      </c>
      <c r="I102" s="17" t="inlineStr">
        <is>
          <t>N/A</t>
        </is>
      </c>
      <c r="J102" s="17" t="n">
        <v>1</v>
      </c>
      <c r="K102" s="17" t="n">
        <v>1</v>
      </c>
      <c r="L102" s="17" t="inlineStr">
        <is>
          <t>29.10.2024 13:23:49</t>
        </is>
      </c>
      <c r="M102" s="17" t="inlineStr">
        <is>
          <t>2 min</t>
        </is>
      </c>
      <c r="N102" s="17" t="inlineStr">
        <is>
          <t xml:space="preserve">          5K            11K             5K</t>
        </is>
      </c>
      <c r="O102" s="17" t="inlineStr">
        <is>
          <t>CLerixSaXnt5cyFGLuR5dHc5bXGPm28E2doXnY49pump</t>
        </is>
      </c>
      <c r="P102" s="17">
        <f>HYPERLINK("https://photon-sol.tinyastro.io/en/lp/CLerixSaXnt5cyFGLuR5dHc5bXGPm28E2doXnY49pump?handle=676050794bc1b1657a56b", "View")</f>
        <v/>
      </c>
    </row>
    <row r="103">
      <c r="A103" s="20" t="inlineStr">
        <is>
          <t>Gacha</t>
        </is>
      </c>
      <c r="B103" s="21" t="n">
        <v>4034267</v>
      </c>
      <c r="C103" s="21" t="n">
        <v>4034267</v>
      </c>
      <c r="D103" s="21" t="inlineStr">
        <is>
          <t>0.112140</t>
        </is>
      </c>
      <c r="E103" s="21" t="inlineStr">
        <is>
          <t>2.042 SOL</t>
        </is>
      </c>
      <c r="F103" s="21" t="inlineStr">
        <is>
          <t>11.495 SOL</t>
        </is>
      </c>
      <c r="G103" s="24" t="inlineStr">
        <is>
          <t>9.341 SOL</t>
        </is>
      </c>
      <c r="H103" s="24" t="inlineStr">
        <is>
          <t>433.58%</t>
        </is>
      </c>
      <c r="I103" s="21" t="inlineStr">
        <is>
          <t>N/A</t>
        </is>
      </c>
      <c r="J103" s="21" t="n">
        <v>3</v>
      </c>
      <c r="K103" s="21" t="n">
        <v>25</v>
      </c>
      <c r="L103" s="21" t="inlineStr">
        <is>
          <t>29.10.2024 12:15:37</t>
        </is>
      </c>
      <c r="M103" s="21" t="inlineStr">
        <is>
          <t>57 min</t>
        </is>
      </c>
      <c r="N103" s="21" t="inlineStr">
        <is>
          <t xml:space="preserve">        504K           263K           338K</t>
        </is>
      </c>
      <c r="O103" s="21" t="inlineStr">
        <is>
          <t>9Z3LF3ymEVwCPLd9uBda9ieySYKVK7MzukPRGHDPpump</t>
        </is>
      </c>
      <c r="P103" s="21">
        <f>HYPERLINK("https://photon-sol.tinyastro.io/en/lp/9Z3LF3ymEVwCPLd9uBda9ieySYKVK7MzukPRGHDPpump?handle=676050794bc1b1657a56b", "View")</f>
        <v/>
      </c>
    </row>
    <row r="104">
      <c r="A104" s="16" t="inlineStr">
        <is>
          <t>Rope</t>
        </is>
      </c>
      <c r="B104" s="17" t="n">
        <v>1324978</v>
      </c>
      <c r="C104" s="17" t="n">
        <v>1324978</v>
      </c>
      <c r="D104" s="17" t="inlineStr">
        <is>
          <t>0.008010</t>
        </is>
      </c>
      <c r="E104" s="17" t="inlineStr">
        <is>
          <t>0.500 SOL</t>
        </is>
      </c>
      <c r="F104" s="17" t="inlineStr">
        <is>
          <t>0.679 SOL</t>
        </is>
      </c>
      <c r="G104" s="22" t="inlineStr">
        <is>
          <t>0.171 SOL</t>
        </is>
      </c>
      <c r="H104" s="22" t="inlineStr">
        <is>
          <t>33.59%</t>
        </is>
      </c>
      <c r="I104" s="17" t="inlineStr">
        <is>
          <t>N/A</t>
        </is>
      </c>
      <c r="J104" s="17" t="n">
        <v>1</v>
      </c>
      <c r="K104" s="17" t="n">
        <v>1</v>
      </c>
      <c r="L104" s="17" t="inlineStr">
        <is>
          <t>29.10.2024 11:19:01</t>
        </is>
      </c>
      <c r="M104" s="17" t="inlineStr">
        <is>
          <t>4 min</t>
        </is>
      </c>
      <c r="N104" s="17" t="inlineStr">
        <is>
          <t xml:space="preserve">         67K            90K             6K</t>
        </is>
      </c>
      <c r="O104" s="17" t="inlineStr">
        <is>
          <t>EGDupUNGpapaeTJAmc1sLx8JRhzs91x6SNmSrP7Ypump</t>
        </is>
      </c>
      <c r="P104" s="17">
        <f>HYPERLINK("https://dexscreener.com/solana/EGDupUNGpapaeTJAmc1sLx8JRhzs91x6SNmSrP7Ypump", "View")</f>
        <v/>
      </c>
    </row>
    <row r="105">
      <c r="A105" s="20" t="inlineStr">
        <is>
          <t>TOUCAN</t>
        </is>
      </c>
      <c r="B105" s="21" t="n">
        <v>4790769</v>
      </c>
      <c r="C105" s="21" t="n">
        <v>4790769</v>
      </c>
      <c r="D105" s="21" t="inlineStr">
        <is>
          <t>0.016020</t>
        </is>
      </c>
      <c r="E105" s="21" t="inlineStr">
        <is>
          <t>1.154 SOL</t>
        </is>
      </c>
      <c r="F105" s="21" t="inlineStr">
        <is>
          <t>1.193 SOL</t>
        </is>
      </c>
      <c r="G105" s="22" t="inlineStr">
        <is>
          <t>0.024 SOL</t>
        </is>
      </c>
      <c r="H105" s="22" t="inlineStr">
        <is>
          <t>2.04%</t>
        </is>
      </c>
      <c r="I105" s="21" t="inlineStr">
        <is>
          <t>N/A</t>
        </is>
      </c>
      <c r="J105" s="21" t="n">
        <v>2</v>
      </c>
      <c r="K105" s="21" t="n">
        <v>2</v>
      </c>
      <c r="L105" s="21" t="inlineStr">
        <is>
          <t>29.10.2024 11:02:05</t>
        </is>
      </c>
      <c r="M105" s="21" t="inlineStr">
        <is>
          <t>8 min</t>
        </is>
      </c>
      <c r="N105" s="21" t="inlineStr">
        <is>
          <t xml:space="preserve">         47K            72K             4K</t>
        </is>
      </c>
      <c r="O105" s="21" t="inlineStr">
        <is>
          <t>6LsCVyL6rbNLfRuLYBWZHSuG9kkqRtmW52YXARh5pump</t>
        </is>
      </c>
      <c r="P105" s="21">
        <f>HYPERLINK("https://photon-sol.tinyastro.io/en/lp/6LsCVyL6rbNLfRuLYBWZHSuG9kkqRtmW52YXARh5pump?handle=676050794bc1b1657a56b", "View")</f>
        <v/>
      </c>
    </row>
    <row r="106">
      <c r="A106" s="16" t="inlineStr">
        <is>
          <t>Jasper</t>
        </is>
      </c>
      <c r="B106" s="17" t="n">
        <v>61629398</v>
      </c>
      <c r="C106" s="17" t="n">
        <v>61629398</v>
      </c>
      <c r="D106" s="17" t="inlineStr">
        <is>
          <t>0.016020</t>
        </is>
      </c>
      <c r="E106" s="17" t="inlineStr">
        <is>
          <t>3.098 SOL</t>
        </is>
      </c>
      <c r="F106" s="17" t="inlineStr">
        <is>
          <t>3.437 SOL</t>
        </is>
      </c>
      <c r="G106" s="22" t="inlineStr">
        <is>
          <t>0.323 SOL</t>
        </is>
      </c>
      <c r="H106" s="22" t="inlineStr">
        <is>
          <t>10.38%</t>
        </is>
      </c>
      <c r="I106" s="17" t="inlineStr">
        <is>
          <t>N/A</t>
        </is>
      </c>
      <c r="J106" s="17" t="n">
        <v>2</v>
      </c>
      <c r="K106" s="17" t="n">
        <v>2</v>
      </c>
      <c r="L106" s="17" t="inlineStr">
        <is>
          <t>29.10.2024 10:00:25</t>
        </is>
      </c>
      <c r="M106" s="17" t="inlineStr">
        <is>
          <t>30 min</t>
        </is>
      </c>
      <c r="N106" s="17" t="inlineStr">
        <is>
          <t xml:space="preserve">         28K             7K             5K</t>
        </is>
      </c>
      <c r="O106" s="17" t="inlineStr">
        <is>
          <t>FNAKajLtZoj8Tjpd3jSjM7mAorQQev5vXoefJqxNpump</t>
        </is>
      </c>
      <c r="P106" s="17">
        <f>HYPERLINK("https://photon-sol.tinyastro.io/en/lp/FNAKajLtZoj8Tjpd3jSjM7mAorQQev5vXoefJqxNpump?handle=676050794bc1b1657a56b", "View")</f>
        <v/>
      </c>
    </row>
    <row r="107">
      <c r="A107" s="20" t="inlineStr">
        <is>
          <t>Rug</t>
        </is>
      </c>
      <c r="B107" s="21" t="n">
        <v>34612903</v>
      </c>
      <c r="C107" s="21" t="n">
        <v>34612903</v>
      </c>
      <c r="D107" s="21" t="inlineStr">
        <is>
          <t>0.008010</t>
        </is>
      </c>
      <c r="E107" s="21" t="inlineStr">
        <is>
          <t>1.046 SOL</t>
        </is>
      </c>
      <c r="F107" s="21" t="inlineStr">
        <is>
          <t>1.365 SOL</t>
        </is>
      </c>
      <c r="G107" s="22" t="inlineStr">
        <is>
          <t>0.311 SOL</t>
        </is>
      </c>
      <c r="H107" s="22" t="inlineStr">
        <is>
          <t>29.48%</t>
        </is>
      </c>
      <c r="I107" s="21" t="inlineStr">
        <is>
          <t>N/A</t>
        </is>
      </c>
      <c r="J107" s="21" t="n">
        <v>1</v>
      </c>
      <c r="K107" s="21" t="n">
        <v>1</v>
      </c>
      <c r="L107" s="21" t="inlineStr">
        <is>
          <t>29.10.2024 09:26:39</t>
        </is>
      </c>
      <c r="M107" s="21" t="inlineStr">
        <is>
          <t>4 min</t>
        </is>
      </c>
      <c r="N107" s="21" t="inlineStr">
        <is>
          <t xml:space="preserve">          5K             5K             5K</t>
        </is>
      </c>
      <c r="O107" s="21" t="inlineStr">
        <is>
          <t>9d6bsbNbPsBekL2wLfAY7cT1TTasFrJTJTUCGsKZpump</t>
        </is>
      </c>
      <c r="P107" s="21">
        <f>HYPERLINK("https://photon-sol.tinyastro.io/en/lp/9d6bsbNbPsBekL2wLfAY7cT1TTasFrJTJTUCGsKZpump?handle=676050794bc1b1657a56b", "View")</f>
        <v/>
      </c>
    </row>
    <row r="108">
      <c r="A108" s="16" t="inlineStr">
        <is>
          <t>Beethoven</t>
        </is>
      </c>
      <c r="B108" s="17" t="n">
        <v>37255084</v>
      </c>
      <c r="C108" s="17" t="n">
        <v>37255084</v>
      </c>
      <c r="D108" s="17" t="inlineStr">
        <is>
          <t>0.024030</t>
        </is>
      </c>
      <c r="E108" s="17" t="inlineStr">
        <is>
          <t>4.993 SOL</t>
        </is>
      </c>
      <c r="F108" s="17" t="inlineStr">
        <is>
          <t>4.718 SOL</t>
        </is>
      </c>
      <c r="G108" s="25" t="inlineStr">
        <is>
          <t>-0.299 SOL</t>
        </is>
      </c>
      <c r="H108" s="25" t="inlineStr">
        <is>
          <t>-5.97%</t>
        </is>
      </c>
      <c r="I108" s="17" t="inlineStr">
        <is>
          <t>N/A</t>
        </is>
      </c>
      <c r="J108" s="17" t="n">
        <v>3</v>
      </c>
      <c r="K108" s="17" t="n">
        <v>3</v>
      </c>
      <c r="L108" s="17" t="inlineStr">
        <is>
          <t>29.10.2024 09:15:13</t>
        </is>
      </c>
      <c r="M108" s="17" t="inlineStr">
        <is>
          <t>13 min</t>
        </is>
      </c>
      <c r="N108" s="17" t="inlineStr">
        <is>
          <t xml:space="preserve">         28K            21K             6K</t>
        </is>
      </c>
      <c r="O108" s="17" t="inlineStr">
        <is>
          <t>6gAxPRSGg5r129hQjDAZm1Tdh5YTkLh1hKRhnm1wpump</t>
        </is>
      </c>
      <c r="P108" s="17">
        <f>HYPERLINK("https://photon-sol.tinyastro.io/en/lp/6gAxPRSGg5r129hQjDAZm1Tdh5YTkLh1hKRhnm1wpump?handle=676050794bc1b1657a56b", "View")</f>
        <v/>
      </c>
    </row>
    <row r="109">
      <c r="A109" s="20" t="inlineStr">
        <is>
          <t>BIGBOYELON</t>
        </is>
      </c>
      <c r="B109" s="21" t="n">
        <v>88243320</v>
      </c>
      <c r="C109" s="21" t="n">
        <v>88243320</v>
      </c>
      <c r="D109" s="21" t="inlineStr">
        <is>
          <t>0.020030</t>
        </is>
      </c>
      <c r="E109" s="21" t="inlineStr">
        <is>
          <t>3.140 SOL</t>
        </is>
      </c>
      <c r="F109" s="21" t="inlineStr">
        <is>
          <t>3.856 SOL</t>
        </is>
      </c>
      <c r="G109" s="22" t="inlineStr">
        <is>
          <t>0.696 SOL</t>
        </is>
      </c>
      <c r="H109" s="22" t="inlineStr">
        <is>
          <t>22.03%</t>
        </is>
      </c>
      <c r="I109" s="21" t="inlineStr">
        <is>
          <t>N/A</t>
        </is>
      </c>
      <c r="J109" s="21" t="n">
        <v>2</v>
      </c>
      <c r="K109" s="21" t="n">
        <v>3</v>
      </c>
      <c r="L109" s="21" t="inlineStr">
        <is>
          <t>29.10.2024 08:42:35</t>
        </is>
      </c>
      <c r="M109" s="21" t="inlineStr">
        <is>
          <t>16 min</t>
        </is>
      </c>
      <c r="N109" s="21" t="inlineStr">
        <is>
          <t xml:space="preserve">          5K             7K             5K</t>
        </is>
      </c>
      <c r="O109" s="21" t="inlineStr">
        <is>
          <t>88RbDVarqbtaGijyTPFNuamNEBeN2FXt7NvEwci2pump</t>
        </is>
      </c>
      <c r="P109" s="21">
        <f>HYPERLINK("https://photon-sol.tinyastro.io/en/lp/88RbDVarqbtaGijyTPFNuamNEBeN2FXt7NvEwci2pump?handle=676050794bc1b1657a56b", "View")</f>
        <v/>
      </c>
    </row>
    <row r="110">
      <c r="A110" s="16" t="inlineStr">
        <is>
          <t>Rana</t>
        </is>
      </c>
      <c r="B110" s="17" t="n">
        <v>66381023</v>
      </c>
      <c r="C110" s="17" t="n">
        <v>66381023</v>
      </c>
      <c r="D110" s="17" t="inlineStr">
        <is>
          <t>0.008010</t>
        </is>
      </c>
      <c r="E110" s="17" t="inlineStr">
        <is>
          <t>3.000 SOL</t>
        </is>
      </c>
      <c r="F110" s="17" t="inlineStr">
        <is>
          <t>3.174 SOL</t>
        </is>
      </c>
      <c r="G110" s="22" t="inlineStr">
        <is>
          <t>0.166 SOL</t>
        </is>
      </c>
      <c r="H110" s="22" t="inlineStr">
        <is>
          <t>5.53%</t>
        </is>
      </c>
      <c r="I110" s="17" t="inlineStr">
        <is>
          <t>N/A</t>
        </is>
      </c>
      <c r="J110" s="17" t="n">
        <v>1</v>
      </c>
      <c r="K110" s="17" t="n">
        <v>1</v>
      </c>
      <c r="L110" s="17" t="inlineStr">
        <is>
          <t>29.10.2024 04:38:24</t>
        </is>
      </c>
      <c r="M110" s="17" t="inlineStr">
        <is>
          <t>1 min</t>
        </is>
      </c>
      <c r="N110" s="17" t="inlineStr">
        <is>
          <t xml:space="preserve">          9K             9K             5K</t>
        </is>
      </c>
      <c r="O110" s="17" t="inlineStr">
        <is>
          <t>EHHaCsCoXb2BFGbzfANpS1VXQ7GXnQXbzxuwxyZUpump</t>
        </is>
      </c>
      <c r="P110" s="17">
        <f>HYPERLINK("https://dexscreener.com/solana/EHHaCsCoXb2BFGbzfANpS1VXQ7GXnQXbzxuwxyZUpump", "View")</f>
        <v/>
      </c>
    </row>
    <row r="111">
      <c r="A111" s="20" t="inlineStr">
        <is>
          <t>BIRD</t>
        </is>
      </c>
      <c r="B111" s="21" t="n">
        <v>92086672</v>
      </c>
      <c r="C111" s="21" t="n">
        <v>92086672</v>
      </c>
      <c r="D111" s="21" t="inlineStr">
        <is>
          <t>0.008010</t>
        </is>
      </c>
      <c r="E111" s="21" t="inlineStr">
        <is>
          <t>3.086 SOL</t>
        </is>
      </c>
      <c r="F111" s="21" t="inlineStr">
        <is>
          <t>4.300 SOL</t>
        </is>
      </c>
      <c r="G111" s="22" t="inlineStr">
        <is>
          <t>1.206 SOL</t>
        </is>
      </c>
      <c r="H111" s="22" t="inlineStr">
        <is>
          <t>38.98%</t>
        </is>
      </c>
      <c r="I111" s="21" t="inlineStr">
        <is>
          <t>N/A</t>
        </is>
      </c>
      <c r="J111" s="21" t="n">
        <v>1</v>
      </c>
      <c r="K111" s="21" t="n">
        <v>1</v>
      </c>
      <c r="L111" s="21" t="inlineStr">
        <is>
          <t>29.10.2024 04:36:54</t>
        </is>
      </c>
      <c r="M111" s="21" t="inlineStr">
        <is>
          <t>4 min</t>
        </is>
      </c>
      <c r="N111" s="21" t="inlineStr">
        <is>
          <t xml:space="preserve">          5K             5K             5K</t>
        </is>
      </c>
      <c r="O111" s="21" t="inlineStr">
        <is>
          <t>2Z7XMoeL6t8dXEwtxADHzaDjAFqzhECCoWK4v1mspump</t>
        </is>
      </c>
      <c r="P111" s="21">
        <f>HYPERLINK("https://photon-sol.tinyastro.io/en/lp/2Z7XMoeL6t8dXEwtxADHzaDjAFqzhECCoWK4v1mspump?handle=676050794bc1b1657a56b", "View")</f>
        <v/>
      </c>
    </row>
    <row r="112">
      <c r="A112" s="16" t="inlineStr">
        <is>
          <t>Fisichella</t>
        </is>
      </c>
      <c r="B112" s="17" t="n">
        <v>72340673</v>
      </c>
      <c r="C112" s="17" t="n">
        <v>72340673</v>
      </c>
      <c r="D112" s="17" t="inlineStr">
        <is>
          <t>0.024030</t>
        </is>
      </c>
      <c r="E112" s="17" t="inlineStr">
        <is>
          <t>5.664 SOL</t>
        </is>
      </c>
      <c r="F112" s="17" t="inlineStr">
        <is>
          <t>9.422 SOL</t>
        </is>
      </c>
      <c r="G112" s="24" t="inlineStr">
        <is>
          <t>3.734 SOL</t>
        </is>
      </c>
      <c r="H112" s="24" t="inlineStr">
        <is>
          <t>65.66%</t>
        </is>
      </c>
      <c r="I112" s="17" t="inlineStr">
        <is>
          <t>N/A</t>
        </is>
      </c>
      <c r="J112" s="17" t="n">
        <v>3</v>
      </c>
      <c r="K112" s="17" t="n">
        <v>3</v>
      </c>
      <c r="L112" s="17" t="inlineStr">
        <is>
          <t>29.10.2024 03:26:39</t>
        </is>
      </c>
      <c r="M112" s="17" t="inlineStr">
        <is>
          <t>42 min</t>
        </is>
      </c>
      <c r="N112" s="17" t="inlineStr">
        <is>
          <t xml:space="preserve">         49K            33K             6K</t>
        </is>
      </c>
      <c r="O112" s="17" t="inlineStr">
        <is>
          <t>J8cwfmyvXYBL1AqQ7Vf9mNsHpUeaix2p5JEkdFifpump</t>
        </is>
      </c>
      <c r="P112" s="17">
        <f>HYPERLINK("https://photon-sol.tinyastro.io/en/lp/J8cwfmyvXYBL1AqQ7Vf9mNsHpUeaix2p5JEkdFifpump?handle=676050794bc1b1657a56b", "View")</f>
        <v/>
      </c>
    </row>
    <row r="113">
      <c r="A113" s="20" t="inlineStr">
        <is>
          <t>🎃🎃</t>
        </is>
      </c>
      <c r="B113" s="21" t="n">
        <v>97545454</v>
      </c>
      <c r="C113" s="21" t="n">
        <v>97545454</v>
      </c>
      <c r="D113" s="21" t="inlineStr">
        <is>
          <t>0.008010</t>
        </is>
      </c>
      <c r="E113" s="21" t="inlineStr">
        <is>
          <t>3.086 SOL</t>
        </is>
      </c>
      <c r="F113" s="21" t="inlineStr">
        <is>
          <t>3.826 SOL</t>
        </is>
      </c>
      <c r="G113" s="22" t="inlineStr">
        <is>
          <t>0.732 SOL</t>
        </is>
      </c>
      <c r="H113" s="22" t="inlineStr">
        <is>
          <t>23.66%</t>
        </is>
      </c>
      <c r="I113" s="21" t="inlineStr">
        <is>
          <t>N/A</t>
        </is>
      </c>
      <c r="J113" s="21" t="n">
        <v>1</v>
      </c>
      <c r="K113" s="21" t="n">
        <v>1</v>
      </c>
      <c r="L113" s="21" t="inlineStr">
        <is>
          <t>29.10.2024 01:35:21</t>
        </is>
      </c>
      <c r="M113" s="19" t="inlineStr">
        <is>
          <t>15 sec</t>
        </is>
      </c>
      <c r="N113" s="21" t="inlineStr">
        <is>
          <t xml:space="preserve">          5K             7K             5K</t>
        </is>
      </c>
      <c r="O113" s="21" t="inlineStr">
        <is>
          <t>BGn65rwiHV2ek33jD8V6HyGXSgYe6BxiaiUT94tspump</t>
        </is>
      </c>
      <c r="P113" s="21">
        <f>HYPERLINK("https://photon-sol.tinyastro.io/en/lp/BGn65rwiHV2ek33jD8V6HyGXSgYe6BxiaiUT94tspump?handle=676050794bc1b1657a56b", "View")</f>
        <v/>
      </c>
    </row>
    <row r="114">
      <c r="A114" s="16" t="inlineStr">
        <is>
          <t>$karbone</t>
        </is>
      </c>
      <c r="B114" s="17" t="n">
        <v>86223064</v>
      </c>
      <c r="C114" s="17" t="n">
        <v>86223064</v>
      </c>
      <c r="D114" s="17" t="inlineStr">
        <is>
          <t>0.008010</t>
        </is>
      </c>
      <c r="E114" s="17" t="inlineStr">
        <is>
          <t>3.096 SOL</t>
        </is>
      </c>
      <c r="F114" s="17" t="inlineStr">
        <is>
          <t>2.903 SOL</t>
        </is>
      </c>
      <c r="G114" s="25" t="inlineStr">
        <is>
          <t>-0.201 SOL</t>
        </is>
      </c>
      <c r="H114" s="25" t="inlineStr">
        <is>
          <t>-6.47%</t>
        </is>
      </c>
      <c r="I114" s="17" t="inlineStr">
        <is>
          <t>N/A</t>
        </is>
      </c>
      <c r="J114" s="17" t="n">
        <v>1</v>
      </c>
      <c r="K114" s="17" t="n">
        <v>1</v>
      </c>
      <c r="L114" s="17" t="inlineStr">
        <is>
          <t>29.10.2024 01:01:06</t>
        </is>
      </c>
      <c r="M114" s="17" t="inlineStr">
        <is>
          <t>5 hours</t>
        </is>
      </c>
      <c r="N114" s="17" t="inlineStr">
        <is>
          <t xml:space="preserve">        N/A           N/A           N/A</t>
        </is>
      </c>
      <c r="O114" s="17" t="inlineStr">
        <is>
          <t>GN5ndqGuvP9c3eg9Y5rcpQnzS2FZtaB2dVvb9z56pump</t>
        </is>
      </c>
      <c r="P114" s="17">
        <f>HYPERLINK("https://photon-sol.tinyastro.io/en/lp/GN5ndqGuvP9c3eg9Y5rcpQnzS2FZtaB2dVvb9z56pump?handle=676050794bc1b1657a56b", "View")</f>
        <v/>
      </c>
    </row>
    <row r="115">
      <c r="A115" s="20" t="inlineStr">
        <is>
          <t>Yukoo</t>
        </is>
      </c>
      <c r="B115" s="21" t="n">
        <v>142693519</v>
      </c>
      <c r="C115" s="21" t="n">
        <v>142693519</v>
      </c>
      <c r="D115" s="21" t="inlineStr">
        <is>
          <t>0.024030</t>
        </is>
      </c>
      <c r="E115" s="21" t="inlineStr">
        <is>
          <t>5.194 SOL</t>
        </is>
      </c>
      <c r="F115" s="21" t="inlineStr">
        <is>
          <t>8.531 SOL</t>
        </is>
      </c>
      <c r="G115" s="24" t="inlineStr">
        <is>
          <t>3.313 SOL</t>
        </is>
      </c>
      <c r="H115" s="24" t="inlineStr">
        <is>
          <t>63.49%</t>
        </is>
      </c>
      <c r="I115" s="21" t="inlineStr">
        <is>
          <t>N/A</t>
        </is>
      </c>
      <c r="J115" s="21" t="n">
        <v>3</v>
      </c>
      <c r="K115" s="21" t="n">
        <v>3</v>
      </c>
      <c r="L115" s="21" t="inlineStr">
        <is>
          <t>29.10.2024 00:54:14</t>
        </is>
      </c>
      <c r="M115" s="21" t="inlineStr">
        <is>
          <t>1 hours</t>
        </is>
      </c>
      <c r="N115" s="21" t="inlineStr">
        <is>
          <t xml:space="preserve">          9K             7K             5K</t>
        </is>
      </c>
      <c r="O115" s="21" t="inlineStr">
        <is>
          <t>A5gQVm8jUFhhuxWEAL3TdDcET6NJwHU5nG4VhcXMAmSG</t>
        </is>
      </c>
      <c r="P115" s="21">
        <f>HYPERLINK("https://photon-sol.tinyastro.io/en/lp/A5gQVm8jUFhhuxWEAL3TdDcET6NJwHU5nG4VhcXMAmSG?handle=676050794bc1b1657a56b", "View")</f>
        <v/>
      </c>
    </row>
    <row r="116">
      <c r="A116" s="16" t="inlineStr">
        <is>
          <t xml:space="preserve">HIV </t>
        </is>
      </c>
      <c r="B116" s="17" t="n">
        <v>7601461</v>
      </c>
      <c r="C116" s="17" t="n">
        <v>7601461</v>
      </c>
      <c r="D116" s="17" t="inlineStr">
        <is>
          <t>0.008010</t>
        </is>
      </c>
      <c r="E116" s="17" t="inlineStr">
        <is>
          <t>1.126 SOL</t>
        </is>
      </c>
      <c r="F116" s="17" t="inlineStr">
        <is>
          <t>0.827 SOL</t>
        </is>
      </c>
      <c r="G116" s="25" t="inlineStr">
        <is>
          <t>-0.308 SOL</t>
        </is>
      </c>
      <c r="H116" s="25" t="inlineStr">
        <is>
          <t>-27.13%</t>
        </is>
      </c>
      <c r="I116" s="17" t="inlineStr">
        <is>
          <t>N/A</t>
        </is>
      </c>
      <c r="J116" s="17" t="n">
        <v>1</v>
      </c>
      <c r="K116" s="17" t="n">
        <v>1</v>
      </c>
      <c r="L116" s="17" t="inlineStr">
        <is>
          <t>29.10.2024 00:15:24</t>
        </is>
      </c>
      <c r="M116" s="17" t="inlineStr">
        <is>
          <t>2 min</t>
        </is>
      </c>
      <c r="N116" s="17" t="inlineStr">
        <is>
          <t xml:space="preserve">         26K            19K             6K</t>
        </is>
      </c>
      <c r="O116" s="17" t="inlineStr">
        <is>
          <t>uGJcexxzBXhWx1VsrckqNYMfmNG7s7XyNkFmz3mpump</t>
        </is>
      </c>
      <c r="P116" s="17">
        <f>HYPERLINK("https://photon-sol.tinyastro.io/en/lp/uGJcexxzBXhWx1VsrckqNYMfmNG7s7XyNkFmz3mpump?handle=676050794bc1b1657a56b", "View")</f>
        <v/>
      </c>
    </row>
    <row r="117">
      <c r="A117" s="20" t="inlineStr">
        <is>
          <t>Larry</t>
        </is>
      </c>
      <c r="B117" s="21" t="n">
        <v>97545454</v>
      </c>
      <c r="C117" s="21" t="n">
        <v>97545454</v>
      </c>
      <c r="D117" s="21" t="inlineStr">
        <is>
          <t>0.008010</t>
        </is>
      </c>
      <c r="E117" s="21" t="inlineStr">
        <is>
          <t>3.086 SOL</t>
        </is>
      </c>
      <c r="F117" s="21" t="inlineStr">
        <is>
          <t>4.222 SOL</t>
        </is>
      </c>
      <c r="G117" s="22" t="inlineStr">
        <is>
          <t>1.128 SOL</t>
        </is>
      </c>
      <c r="H117" s="22" t="inlineStr">
        <is>
          <t>36.46%</t>
        </is>
      </c>
      <c r="I117" s="21" t="inlineStr">
        <is>
          <t>N/A</t>
        </is>
      </c>
      <c r="J117" s="21" t="n">
        <v>1</v>
      </c>
      <c r="K117" s="21" t="n">
        <v>1</v>
      </c>
      <c r="L117" s="21" t="inlineStr">
        <is>
          <t>29.10.2024 00:12:27</t>
        </is>
      </c>
      <c r="M117" s="21" t="inlineStr">
        <is>
          <t>1 min</t>
        </is>
      </c>
      <c r="N117" s="21" t="inlineStr">
        <is>
          <t xml:space="preserve">          5K             7K             5K</t>
        </is>
      </c>
      <c r="O117" s="21" t="inlineStr">
        <is>
          <t>5dkran5y85FAiRuckJbVyFEj7kyt2rq4LmuroCjPpump</t>
        </is>
      </c>
      <c r="P117" s="21">
        <f>HYPERLINK("https://photon-sol.tinyastro.io/en/lp/5dkran5y85FAiRuckJbVyFEj7kyt2rq4LmuroCjPpump?handle=676050794bc1b1657a56b", "View")</f>
        <v/>
      </c>
    </row>
    <row r="118">
      <c r="A118" s="16" t="inlineStr">
        <is>
          <t>Yukoo</t>
        </is>
      </c>
      <c r="B118" s="17" t="n">
        <v>34612268</v>
      </c>
      <c r="C118" s="17" t="n">
        <v>34612268</v>
      </c>
      <c r="D118" s="17" t="inlineStr">
        <is>
          <t>0.008010</t>
        </is>
      </c>
      <c r="E118" s="17" t="inlineStr">
        <is>
          <t>1.056 SOL</t>
        </is>
      </c>
      <c r="F118" s="17" t="inlineStr">
        <is>
          <t>1.252 SOL</t>
        </is>
      </c>
      <c r="G118" s="22" t="inlineStr">
        <is>
          <t>0.188 SOL</t>
        </is>
      </c>
      <c r="H118" s="22" t="inlineStr">
        <is>
          <t>17.69%</t>
        </is>
      </c>
      <c r="I118" s="17" t="inlineStr">
        <is>
          <t>N/A</t>
        </is>
      </c>
      <c r="J118" s="17" t="n">
        <v>1</v>
      </c>
      <c r="K118" s="17" t="n">
        <v>1</v>
      </c>
      <c r="L118" s="17" t="inlineStr">
        <is>
          <t>29.10.2024 00:05:38</t>
        </is>
      </c>
      <c r="M118" s="17" t="inlineStr">
        <is>
          <t>2 min</t>
        </is>
      </c>
      <c r="N118" s="17" t="inlineStr">
        <is>
          <t xml:space="preserve">          5K             7K             5K</t>
        </is>
      </c>
      <c r="O118" s="17" t="inlineStr">
        <is>
          <t>BfR2Bu1Dqem3moyVmfavEMF8QzDd2u1uRs5eXjCX3Ge4</t>
        </is>
      </c>
      <c r="P118" s="17">
        <f>HYPERLINK("https://photon-sol.tinyastro.io/en/lp/BfR2Bu1Dqem3moyVmfavEMF8QzDd2u1uRs5eXjCX3Ge4?handle=676050794bc1b1657a56b", "View")</f>
        <v/>
      </c>
    </row>
    <row r="119">
      <c r="A119" s="20" t="inlineStr">
        <is>
          <t>Shibako</t>
        </is>
      </c>
      <c r="B119" s="21" t="n">
        <v>97545455</v>
      </c>
      <c r="C119" s="21" t="n">
        <v>97545455</v>
      </c>
      <c r="D119" s="21" t="inlineStr">
        <is>
          <t>0.008010</t>
        </is>
      </c>
      <c r="E119" s="21" t="inlineStr">
        <is>
          <t>3.096 SOL</t>
        </is>
      </c>
      <c r="F119" s="21" t="inlineStr">
        <is>
          <t>3.633 SOL</t>
        </is>
      </c>
      <c r="G119" s="22" t="inlineStr">
        <is>
          <t>0.529 SOL</t>
        </is>
      </c>
      <c r="H119" s="22" t="inlineStr">
        <is>
          <t>17.05%</t>
        </is>
      </c>
      <c r="I119" s="21" t="inlineStr">
        <is>
          <t>N/A</t>
        </is>
      </c>
      <c r="J119" s="21" t="n">
        <v>1</v>
      </c>
      <c r="K119" s="21" t="n">
        <v>1</v>
      </c>
      <c r="L119" s="21" t="inlineStr">
        <is>
          <t>28.10.2024 22:43:17</t>
        </is>
      </c>
      <c r="M119" s="21" t="inlineStr">
        <is>
          <t>4 min</t>
        </is>
      </c>
      <c r="N119" s="21" t="inlineStr">
        <is>
          <t xml:space="preserve">          5K             5K             5K</t>
        </is>
      </c>
      <c r="O119" s="21" t="inlineStr">
        <is>
          <t>AdKoxjvch3UGbh2oSyPNF7oy5pJcxHgoAYHD6NJXpump</t>
        </is>
      </c>
      <c r="P119" s="21">
        <f>HYPERLINK("https://photon-sol.tinyastro.io/en/lp/AdKoxjvch3UGbh2oSyPNF7oy5pJcxHgoAYHD6NJXpump?handle=676050794bc1b1657a56b", "View")</f>
        <v/>
      </c>
    </row>
    <row r="120">
      <c r="A120" s="16" t="inlineStr">
        <is>
          <t>D.O.G.E</t>
        </is>
      </c>
      <c r="B120" s="17" t="n">
        <v>9544968</v>
      </c>
      <c r="C120" s="17" t="n">
        <v>9544968</v>
      </c>
      <c r="D120" s="17" t="inlineStr">
        <is>
          <t>0.008010</t>
        </is>
      </c>
      <c r="E120" s="17" t="inlineStr">
        <is>
          <t>0.873 SOL</t>
        </is>
      </c>
      <c r="F120" s="17" t="inlineStr">
        <is>
          <t>0.830 SOL</t>
        </is>
      </c>
      <c r="G120" s="25" t="inlineStr">
        <is>
          <t>-0.051 SOL</t>
        </is>
      </c>
      <c r="H120" s="25" t="inlineStr">
        <is>
          <t>-5.78%</t>
        </is>
      </c>
      <c r="I120" s="17" t="inlineStr">
        <is>
          <t>N/A</t>
        </is>
      </c>
      <c r="J120" s="17" t="n">
        <v>1</v>
      </c>
      <c r="K120" s="17" t="n">
        <v>1</v>
      </c>
      <c r="L120" s="17" t="inlineStr">
        <is>
          <t>28.10.2024 22:37:19</t>
        </is>
      </c>
      <c r="M120" s="19" t="inlineStr">
        <is>
          <t>21 sec</t>
        </is>
      </c>
      <c r="N120" s="17" t="inlineStr">
        <is>
          <t xml:space="preserve">         16K            16K             5K</t>
        </is>
      </c>
      <c r="O120" s="17" t="inlineStr">
        <is>
          <t>2P9HjYb8ssEfNoYUZGgzHjB1xsnX3PNQenAcawdtpump</t>
        </is>
      </c>
      <c r="P120" s="17">
        <f>HYPERLINK("https://photon-sol.tinyastro.io/en/lp/2P9HjYb8ssEfNoYUZGgzHjB1xsnX3PNQenAcawdtpump?handle=676050794bc1b1657a56b", "View")</f>
        <v/>
      </c>
    </row>
    <row r="121">
      <c r="A121" s="20" t="inlineStr">
        <is>
          <t>dada</t>
        </is>
      </c>
      <c r="B121" s="21" t="n">
        <v>66996673</v>
      </c>
      <c r="C121" s="21" t="n">
        <v>66996673</v>
      </c>
      <c r="D121" s="21" t="inlineStr">
        <is>
          <t>0.008010</t>
        </is>
      </c>
      <c r="E121" s="21" t="inlineStr">
        <is>
          <t>2.076 SOL</t>
        </is>
      </c>
      <c r="F121" s="21" t="inlineStr">
        <is>
          <t>2.838 SOL</t>
        </is>
      </c>
      <c r="G121" s="22" t="inlineStr">
        <is>
          <t>0.754 SOL</t>
        </is>
      </c>
      <c r="H121" s="22" t="inlineStr">
        <is>
          <t>36.19%</t>
        </is>
      </c>
      <c r="I121" s="21" t="inlineStr">
        <is>
          <t>N/A</t>
        </is>
      </c>
      <c r="J121" s="21" t="n">
        <v>1</v>
      </c>
      <c r="K121" s="21" t="n">
        <v>1</v>
      </c>
      <c r="L121" s="21" t="inlineStr">
        <is>
          <t>28.10.2024 22:32:09</t>
        </is>
      </c>
      <c r="M121" s="19" t="inlineStr">
        <is>
          <t>37 sec</t>
        </is>
      </c>
      <c r="N121" s="21" t="inlineStr">
        <is>
          <t xml:space="preserve">          5K             7K             5K</t>
        </is>
      </c>
      <c r="O121" s="21" t="inlineStr">
        <is>
          <t>92JvGGTS4wN3xUtfwk9XkBbArDWcccS1F2Lid7TXFtD1</t>
        </is>
      </c>
      <c r="P121" s="21">
        <f>HYPERLINK("https://photon-sol.tinyastro.io/en/lp/92JvGGTS4wN3xUtfwk9XkBbArDWcccS1F2Lid7TXFtD1?handle=676050794bc1b1657a56b", "View")</f>
        <v/>
      </c>
    </row>
    <row r="122">
      <c r="A122" s="16" t="inlineStr">
        <is>
          <t>TheLine</t>
        </is>
      </c>
      <c r="B122" s="17" t="n">
        <v>97279996</v>
      </c>
      <c r="C122" s="17" t="n">
        <v>97279996</v>
      </c>
      <c r="D122" s="17" t="inlineStr">
        <is>
          <t>0.008010</t>
        </is>
      </c>
      <c r="E122" s="17" t="inlineStr">
        <is>
          <t>3.096 SOL</t>
        </is>
      </c>
      <c r="F122" s="17" t="inlineStr">
        <is>
          <t>4.073 SOL</t>
        </is>
      </c>
      <c r="G122" s="22" t="inlineStr">
        <is>
          <t>0.969 SOL</t>
        </is>
      </c>
      <c r="H122" s="22" t="inlineStr">
        <is>
          <t>31.22%</t>
        </is>
      </c>
      <c r="I122" s="17" t="inlineStr">
        <is>
          <t>N/A</t>
        </is>
      </c>
      <c r="J122" s="17" t="n">
        <v>1</v>
      </c>
      <c r="K122" s="17" t="n">
        <v>1</v>
      </c>
      <c r="L122" s="17" t="inlineStr">
        <is>
          <t>28.10.2024 22:09:40</t>
        </is>
      </c>
      <c r="M122" s="17" t="inlineStr">
        <is>
          <t>1 min</t>
        </is>
      </c>
      <c r="N122" s="17" t="inlineStr">
        <is>
          <t xml:space="preserve">          5K             7K             5K</t>
        </is>
      </c>
      <c r="O122" s="17" t="inlineStr">
        <is>
          <t>9R71JbV8pbMA1L7KoXpfkrGDDTFaWTvqYESLxKVppump</t>
        </is>
      </c>
      <c r="P122" s="17">
        <f>HYPERLINK("https://photon-sol.tinyastro.io/en/lp/9R71JbV8pbMA1L7KoXpfkrGDDTFaWTvqYESLxKVppump?handle=676050794bc1b1657a56b", "View")</f>
        <v/>
      </c>
    </row>
    <row r="123">
      <c r="A123" s="20" t="inlineStr">
        <is>
          <t>BLUEPRINT</t>
        </is>
      </c>
      <c r="B123" s="21" t="n">
        <v>18671024</v>
      </c>
      <c r="C123" s="21" t="n">
        <v>18671024</v>
      </c>
      <c r="D123" s="21" t="inlineStr">
        <is>
          <t>0.028040</t>
        </is>
      </c>
      <c r="E123" s="21" t="inlineStr">
        <is>
          <t>3.092 SOL</t>
        </is>
      </c>
      <c r="F123" s="21" t="inlineStr">
        <is>
          <t>3.215 SOL</t>
        </is>
      </c>
      <c r="G123" s="22" t="inlineStr">
        <is>
          <t>0.095 SOL</t>
        </is>
      </c>
      <c r="H123" s="22" t="inlineStr">
        <is>
          <t>3.05%</t>
        </is>
      </c>
      <c r="I123" s="21" t="inlineStr">
        <is>
          <t>N/A</t>
        </is>
      </c>
      <c r="J123" s="21" t="n">
        <v>3</v>
      </c>
      <c r="K123" s="21" t="n">
        <v>4</v>
      </c>
      <c r="L123" s="21" t="inlineStr">
        <is>
          <t>28.10.2024 21:50:27</t>
        </is>
      </c>
      <c r="M123" s="21" t="inlineStr">
        <is>
          <t>4 min</t>
        </is>
      </c>
      <c r="N123" s="21" t="inlineStr">
        <is>
          <t xml:space="preserve">         19K            46K             3K</t>
        </is>
      </c>
      <c r="O123" s="21" t="inlineStr">
        <is>
          <t>9kQfhkXTTyG7so6cG7VmDYfet7q4eKBGHp5eCFWvpump</t>
        </is>
      </c>
      <c r="P123" s="21">
        <f>HYPERLINK("https://photon-sol.tinyastro.io/en/lp/9kQfhkXTTyG7so6cG7VmDYfet7q4eKBGHp5eCFWvpump?handle=676050794bc1b1657a56b", "View")</f>
        <v/>
      </c>
    </row>
    <row r="124">
      <c r="A124" s="16" t="inlineStr">
        <is>
          <t>JUSTIN</t>
        </is>
      </c>
      <c r="B124" s="17" t="n">
        <v>10577703</v>
      </c>
      <c r="C124" s="17" t="n">
        <v>10577703</v>
      </c>
      <c r="D124" s="17" t="inlineStr">
        <is>
          <t>0.028040</t>
        </is>
      </c>
      <c r="E124" s="17" t="inlineStr">
        <is>
          <t>1.046 SOL</t>
        </is>
      </c>
      <c r="F124" s="17" t="inlineStr">
        <is>
          <t>5.509 SOL</t>
        </is>
      </c>
      <c r="G124" s="24" t="inlineStr">
        <is>
          <t>4.435 SOL</t>
        </is>
      </c>
      <c r="H124" s="24" t="inlineStr">
        <is>
          <t>412.95%</t>
        </is>
      </c>
      <c r="I124" s="17" t="inlineStr">
        <is>
          <t>N/A</t>
        </is>
      </c>
      <c r="J124" s="17" t="n">
        <v>1</v>
      </c>
      <c r="K124" s="17" t="n">
        <v>6</v>
      </c>
      <c r="L124" s="17" t="inlineStr">
        <is>
          <t>28.10.2024 21:48:16</t>
        </is>
      </c>
      <c r="M124" s="17" t="inlineStr">
        <is>
          <t>28 min</t>
        </is>
      </c>
      <c r="N124" s="17" t="inlineStr">
        <is>
          <t xml:space="preserve">         18K           211K             5K</t>
        </is>
      </c>
      <c r="O124" s="17" t="inlineStr">
        <is>
          <t>cbQq5WWrPPBFAv66GXBArm8BhmP1ZHWiBHUsWBupump</t>
        </is>
      </c>
      <c r="P124" s="17">
        <f>HYPERLINK("https://photon-sol.tinyastro.io/en/lp/cbQq5WWrPPBFAv66GXBArm8BhmP1ZHWiBHUsWBupump?handle=676050794bc1b1657a56b", "View")</f>
        <v/>
      </c>
    </row>
    <row r="125">
      <c r="A125" s="20" t="inlineStr">
        <is>
          <t>Crash leak</t>
        </is>
      </c>
      <c r="B125" s="21" t="n">
        <v>6737314</v>
      </c>
      <c r="C125" s="21" t="n">
        <v>6737314</v>
      </c>
      <c r="D125" s="21" t="inlineStr">
        <is>
          <t>0.020030</t>
        </is>
      </c>
      <c r="E125" s="21" t="inlineStr">
        <is>
          <t>1.671 SOL</t>
        </is>
      </c>
      <c r="F125" s="21" t="inlineStr">
        <is>
          <t>0.942 SOL</t>
        </is>
      </c>
      <c r="G125" s="25" t="inlineStr">
        <is>
          <t>-0.749 SOL</t>
        </is>
      </c>
      <c r="H125" s="25" t="inlineStr">
        <is>
          <t>-44.31%</t>
        </is>
      </c>
      <c r="I125" s="21" t="inlineStr">
        <is>
          <t>N/A</t>
        </is>
      </c>
      <c r="J125" s="21" t="n">
        <v>3</v>
      </c>
      <c r="K125" s="21" t="n">
        <v>2</v>
      </c>
      <c r="L125" s="21" t="inlineStr">
        <is>
          <t>28.10.2024 21:44:18</t>
        </is>
      </c>
      <c r="M125" s="21" t="inlineStr">
        <is>
          <t>3 min</t>
        </is>
      </c>
      <c r="N125" s="21" t="inlineStr">
        <is>
          <t xml:space="preserve">         53K            14K             3K</t>
        </is>
      </c>
      <c r="O125" s="21" t="inlineStr">
        <is>
          <t>22WTXrTs7mMvVqyRgnXTfbqYCVtN5jXFZTcm54aUpump</t>
        </is>
      </c>
      <c r="P125" s="21">
        <f>HYPERLINK("https://photon-sol.tinyastro.io/en/lp/22WTXrTs7mMvVqyRgnXTfbqYCVtN5jXFZTcm54aUpump?handle=676050794bc1b1657a56b", "View")</f>
        <v/>
      </c>
    </row>
    <row r="126">
      <c r="A126" s="16" t="inlineStr">
        <is>
          <t>CRSE</t>
        </is>
      </c>
      <c r="B126" s="17" t="n">
        <v>91622391</v>
      </c>
      <c r="C126" s="17" t="n">
        <v>91622391</v>
      </c>
      <c r="D126" s="17" t="inlineStr">
        <is>
          <t>0.008010</t>
        </is>
      </c>
      <c r="E126" s="17" t="inlineStr">
        <is>
          <t>3.096 SOL</t>
        </is>
      </c>
      <c r="F126" s="17" t="inlineStr">
        <is>
          <t>4.670 SOL</t>
        </is>
      </c>
      <c r="G126" s="24" t="inlineStr">
        <is>
          <t>1.565 SOL</t>
        </is>
      </c>
      <c r="H126" s="24" t="inlineStr">
        <is>
          <t>50.43%</t>
        </is>
      </c>
      <c r="I126" s="17" t="inlineStr">
        <is>
          <t>N/A</t>
        </is>
      </c>
      <c r="J126" s="17" t="n">
        <v>1</v>
      </c>
      <c r="K126" s="17" t="n">
        <v>1</v>
      </c>
      <c r="L126" s="17" t="inlineStr">
        <is>
          <t>28.10.2024 20:08:56</t>
        </is>
      </c>
      <c r="M126" s="19" t="inlineStr">
        <is>
          <t>46 sec</t>
        </is>
      </c>
      <c r="N126" s="17" t="inlineStr">
        <is>
          <t xml:space="preserve">          5K             9K             5K</t>
        </is>
      </c>
      <c r="O126" s="17" t="inlineStr">
        <is>
          <t>FqeJsP1VsfJhNqZpqDxzfJr5ReTTS4ydrjK6nGU8pump</t>
        </is>
      </c>
      <c r="P126" s="17">
        <f>HYPERLINK("https://photon-sol.tinyastro.io/en/lp/FqeJsP1VsfJhNqZpqDxzfJr5ReTTS4ydrjK6nGU8pump?handle=676050794bc1b1657a56b", "View")</f>
        <v/>
      </c>
    </row>
    <row r="127">
      <c r="A127" s="20" t="inlineStr">
        <is>
          <t>Adam</t>
        </is>
      </c>
      <c r="B127" s="21" t="n">
        <v>32460771</v>
      </c>
      <c r="C127" s="21" t="n">
        <v>32460771</v>
      </c>
      <c r="D127" s="21" t="inlineStr">
        <is>
          <t>0.008010</t>
        </is>
      </c>
      <c r="E127" s="21" t="inlineStr">
        <is>
          <t>3.000 SOL</t>
        </is>
      </c>
      <c r="F127" s="21" t="inlineStr">
        <is>
          <t>3.039 SOL</t>
        </is>
      </c>
      <c r="G127" s="22" t="inlineStr">
        <is>
          <t>0.031 SOL</t>
        </is>
      </c>
      <c r="H127" s="22" t="inlineStr">
        <is>
          <t>1.02%</t>
        </is>
      </c>
      <c r="I127" s="21" t="inlineStr">
        <is>
          <t>N/A</t>
        </is>
      </c>
      <c r="J127" s="21" t="n">
        <v>1</v>
      </c>
      <c r="K127" s="21" t="n">
        <v>1</v>
      </c>
      <c r="L127" s="21" t="inlineStr">
        <is>
          <t>28.10.2024 19:42:29</t>
        </is>
      </c>
      <c r="M127" s="19" t="inlineStr">
        <is>
          <t>45 sec</t>
        </is>
      </c>
      <c r="N127" s="21" t="inlineStr">
        <is>
          <t xml:space="preserve">         16K            16K             5K</t>
        </is>
      </c>
      <c r="O127" s="21" t="inlineStr">
        <is>
          <t>7Nd7bxwQ1VVBhonRwj6Try5PWiTjRY3fvmWNgBWHpump</t>
        </is>
      </c>
      <c r="P127" s="21">
        <f>HYPERLINK("https://dexscreener.com/solana/7Nd7bxwQ1VVBhonRwj6Try5PWiTjRY3fvmWNgBWHpump", "View")</f>
        <v/>
      </c>
    </row>
    <row r="128">
      <c r="A128" s="16" t="inlineStr">
        <is>
          <t>karbon</t>
        </is>
      </c>
      <c r="B128" s="17" t="n">
        <v>97545455</v>
      </c>
      <c r="C128" s="17" t="n">
        <v>97545455</v>
      </c>
      <c r="D128" s="17" t="inlineStr">
        <is>
          <t>0.008010</t>
        </is>
      </c>
      <c r="E128" s="17" t="inlineStr">
        <is>
          <t>3.096 SOL</t>
        </is>
      </c>
      <c r="F128" s="17" t="inlineStr">
        <is>
          <t>5.744 SOL</t>
        </is>
      </c>
      <c r="G128" s="24" t="inlineStr">
        <is>
          <t>2.640 SOL</t>
        </is>
      </c>
      <c r="H128" s="24" t="inlineStr">
        <is>
          <t>85.05%</t>
        </is>
      </c>
      <c r="I128" s="17" t="inlineStr">
        <is>
          <t>N/A</t>
        </is>
      </c>
      <c r="J128" s="17" t="n">
        <v>1</v>
      </c>
      <c r="K128" s="17" t="n">
        <v>1</v>
      </c>
      <c r="L128" s="17" t="inlineStr">
        <is>
          <t>28.10.2024 19:34:15</t>
        </is>
      </c>
      <c r="M128" s="17" t="inlineStr">
        <is>
          <t>4 min</t>
        </is>
      </c>
      <c r="N128" s="17" t="inlineStr">
        <is>
          <t xml:space="preserve">          5K             5K             5K</t>
        </is>
      </c>
      <c r="O128" s="17" t="inlineStr">
        <is>
          <t>8UsRH1sHwYNarsSqxhN58gKPB6x55PTDQE6jzvgjpump</t>
        </is>
      </c>
      <c r="P128" s="17">
        <f>HYPERLINK("https://photon-sol.tinyastro.io/en/lp/8UsRH1sHwYNarsSqxhN58gKPB6x55PTDQE6jzvgjpump?handle=676050794bc1b1657a56b", "View")</f>
        <v/>
      </c>
    </row>
    <row r="129">
      <c r="A129" s="20" t="inlineStr">
        <is>
          <t>POGUS</t>
        </is>
      </c>
      <c r="B129" s="21" t="n">
        <v>10404116</v>
      </c>
      <c r="C129" s="21" t="n">
        <v>10404116</v>
      </c>
      <c r="D129" s="21" t="inlineStr">
        <is>
          <t>0.008010</t>
        </is>
      </c>
      <c r="E129" s="21" t="inlineStr">
        <is>
          <t>0.526 SOL</t>
        </is>
      </c>
      <c r="F129" s="21" t="inlineStr">
        <is>
          <t>0.742 SOL</t>
        </is>
      </c>
      <c r="G129" s="22" t="inlineStr">
        <is>
          <t>0.208 SOL</t>
        </is>
      </c>
      <c r="H129" s="22" t="inlineStr">
        <is>
          <t>39.01%</t>
        </is>
      </c>
      <c r="I129" s="21" t="inlineStr">
        <is>
          <t>N/A</t>
        </is>
      </c>
      <c r="J129" s="21" t="n">
        <v>1</v>
      </c>
      <c r="K129" s="21" t="n">
        <v>1</v>
      </c>
      <c r="L129" s="21" t="inlineStr">
        <is>
          <t>28.10.2024 19:24:41</t>
        </is>
      </c>
      <c r="M129" s="19" t="inlineStr">
        <is>
          <t>56 sec</t>
        </is>
      </c>
      <c r="N129" s="21" t="inlineStr">
        <is>
          <t xml:space="preserve">          9K            12K             5K</t>
        </is>
      </c>
      <c r="O129" s="21" t="inlineStr">
        <is>
          <t>ANUWBeUJJQwvJ9mKepXpdFrX4rkNbaz9fquMvbabpump</t>
        </is>
      </c>
      <c r="P129" s="21">
        <f>HYPERLINK("https://photon-sol.tinyastro.io/en/lp/ANUWBeUJJQwvJ9mKepXpdFrX4rkNbaz9fquMvbabpump?handle=676050794bc1b1657a56b", "View")</f>
        <v/>
      </c>
    </row>
    <row r="130">
      <c r="A130" s="16" t="inlineStr">
        <is>
          <t>DWH</t>
        </is>
      </c>
      <c r="B130" s="17" t="n">
        <v>97518435</v>
      </c>
      <c r="C130" s="17" t="n">
        <v>97518435</v>
      </c>
      <c r="D130" s="17" t="inlineStr">
        <is>
          <t>0.008010</t>
        </is>
      </c>
      <c r="E130" s="17" t="inlineStr">
        <is>
          <t>3.086 SOL</t>
        </is>
      </c>
      <c r="F130" s="17" t="inlineStr">
        <is>
          <t>3.789 SOL</t>
        </is>
      </c>
      <c r="G130" s="22" t="inlineStr">
        <is>
          <t>0.695 SOL</t>
        </is>
      </c>
      <c r="H130" s="22" t="inlineStr">
        <is>
          <t>22.45%</t>
        </is>
      </c>
      <c r="I130" s="17" t="inlineStr">
        <is>
          <t>N/A</t>
        </is>
      </c>
      <c r="J130" s="17" t="n">
        <v>1</v>
      </c>
      <c r="K130" s="17" t="n">
        <v>1</v>
      </c>
      <c r="L130" s="17" t="inlineStr">
        <is>
          <t>28.10.2024 18:36:55</t>
        </is>
      </c>
      <c r="M130" s="17" t="inlineStr">
        <is>
          <t>1 min</t>
        </is>
      </c>
      <c r="N130" s="17" t="inlineStr">
        <is>
          <t xml:space="preserve">          5K             7K             5K</t>
        </is>
      </c>
      <c r="O130" s="17" t="inlineStr">
        <is>
          <t>3VUnCsug7bLBm5a2MacQQNaVaU8jvKFTsga786jBpump</t>
        </is>
      </c>
      <c r="P130" s="17">
        <f>HYPERLINK("https://photon-sol.tinyastro.io/en/lp/3VUnCsug7bLBm5a2MacQQNaVaU8jvKFTsga786jBpump?handle=676050794bc1b1657a56b", "View")</f>
        <v/>
      </c>
    </row>
    <row r="131">
      <c r="A131" s="20" t="inlineStr">
        <is>
          <t>DARTMOUTH</t>
        </is>
      </c>
      <c r="B131" s="21" t="n">
        <v>777189</v>
      </c>
      <c r="C131" s="21" t="n">
        <v>777189</v>
      </c>
      <c r="D131" s="21" t="inlineStr">
        <is>
          <t>0.008010</t>
        </is>
      </c>
      <c r="E131" s="21" t="inlineStr">
        <is>
          <t>2.000 SOL</t>
        </is>
      </c>
      <c r="F131" s="21" t="inlineStr">
        <is>
          <t>1.624 SOL</t>
        </is>
      </c>
      <c r="G131" s="25" t="inlineStr">
        <is>
          <t>-0.384 SOL</t>
        </is>
      </c>
      <c r="H131" s="25" t="inlineStr">
        <is>
          <t>-19.10%</t>
        </is>
      </c>
      <c r="I131" s="21" t="inlineStr">
        <is>
          <t>N/A</t>
        </is>
      </c>
      <c r="J131" s="21" t="n">
        <v>1</v>
      </c>
      <c r="K131" s="21" t="n">
        <v>1</v>
      </c>
      <c r="L131" s="21" t="inlineStr">
        <is>
          <t>28.10.2024 18:30:55</t>
        </is>
      </c>
      <c r="M131" s="21" t="inlineStr">
        <is>
          <t>1 min</t>
        </is>
      </c>
      <c r="N131" s="21" t="inlineStr">
        <is>
          <t xml:space="preserve">        451K           367K           272K</t>
        </is>
      </c>
      <c r="O131" s="21" t="inlineStr">
        <is>
          <t>7FS4iUbG1KpTA7xzG4Er7H6Nj22PZgonY8N9ERZbpump</t>
        </is>
      </c>
      <c r="P131" s="21">
        <f>HYPERLINK("https://dexscreener.com/solana/7FS4iUbG1KpTA7xzG4Er7H6Nj22PZgonY8N9ERZbpump", "View")</f>
        <v/>
      </c>
    </row>
    <row r="132">
      <c r="A132" s="16" t="inlineStr">
        <is>
          <t>THECAT</t>
        </is>
      </c>
      <c r="B132" s="17" t="n">
        <v>34698</v>
      </c>
      <c r="C132" s="17" t="n">
        <v>34698</v>
      </c>
      <c r="D132" s="17" t="inlineStr">
        <is>
          <t>0.004410</t>
        </is>
      </c>
      <c r="E132" s="17" t="inlineStr">
        <is>
          <t>1.000 SOL</t>
        </is>
      </c>
      <c r="F132" s="17" t="inlineStr">
        <is>
          <t>0.000 SOL</t>
        </is>
      </c>
      <c r="G132" s="23" t="inlineStr">
        <is>
          <t>-1.004 SOL</t>
        </is>
      </c>
      <c r="H132" s="23" t="inlineStr">
        <is>
          <t>-99.96%</t>
        </is>
      </c>
      <c r="I132" s="17" t="inlineStr">
        <is>
          <t>N/A</t>
        </is>
      </c>
      <c r="J132" s="17" t="n">
        <v>1</v>
      </c>
      <c r="K132" s="17" t="n">
        <v>1</v>
      </c>
      <c r="L132" s="17" t="inlineStr">
        <is>
          <t>28.10.2024 18:24:14</t>
        </is>
      </c>
      <c r="M132" s="17" t="inlineStr">
        <is>
          <t>2 hours</t>
        </is>
      </c>
      <c r="N132" s="17" t="inlineStr">
        <is>
          <t xml:space="preserve">          5M             5M           178K</t>
        </is>
      </c>
      <c r="O132" s="17" t="inlineStr">
        <is>
          <t>4JE4tBaHwq9WsqGb4XVq38hGs7PXxd6EwNhUg9y17WGE</t>
        </is>
      </c>
      <c r="P132" s="17">
        <f>HYPERLINK("https://dexscreener.com/solana/4JE4tBaHwq9WsqGb4XVq38hGs7PXxd6EwNhUg9y17WGE", "View")</f>
        <v/>
      </c>
    </row>
    <row r="133">
      <c r="A133" s="20" t="inlineStr">
        <is>
          <t>Presco</t>
        </is>
      </c>
      <c r="B133" s="21" t="n">
        <v>92926079</v>
      </c>
      <c r="C133" s="21" t="n">
        <v>92926079</v>
      </c>
      <c r="D133" s="21" t="inlineStr">
        <is>
          <t>0.008010</t>
        </is>
      </c>
      <c r="E133" s="21" t="inlineStr">
        <is>
          <t>3.086 SOL</t>
        </is>
      </c>
      <c r="F133" s="21" t="inlineStr">
        <is>
          <t>4.634 SOL</t>
        </is>
      </c>
      <c r="G133" s="22" t="inlineStr">
        <is>
          <t>1.540 SOL</t>
        </is>
      </c>
      <c r="H133" s="22" t="inlineStr">
        <is>
          <t>49.78%</t>
        </is>
      </c>
      <c r="I133" s="21" t="inlineStr">
        <is>
          <t>N/A</t>
        </is>
      </c>
      <c r="J133" s="21" t="n">
        <v>1</v>
      </c>
      <c r="K133" s="21" t="n">
        <v>1</v>
      </c>
      <c r="L133" s="21" t="inlineStr">
        <is>
          <t>28.10.2024 18:15:51</t>
        </is>
      </c>
      <c r="M133" s="19" t="inlineStr">
        <is>
          <t>19 sec</t>
        </is>
      </c>
      <c r="N133" s="21" t="inlineStr">
        <is>
          <t xml:space="preserve">          5K             9K             5K</t>
        </is>
      </c>
      <c r="O133" s="21" t="inlineStr">
        <is>
          <t>8HRHhpNcTBCXBgGc5nLPw6o7RxF6wMit85Tpg6xgpump</t>
        </is>
      </c>
      <c r="P133" s="21">
        <f>HYPERLINK("https://photon-sol.tinyastro.io/en/lp/8HRHhpNcTBCXBgGc5nLPw6o7RxF6wMit85Tpg6xgpump?handle=676050794bc1b1657a56b", "View")</f>
        <v/>
      </c>
    </row>
    <row r="134">
      <c r="A134" s="16" t="inlineStr">
        <is>
          <t>TYLER</t>
        </is>
      </c>
      <c r="B134" s="17" t="n">
        <v>45841640</v>
      </c>
      <c r="C134" s="17" t="n">
        <v>45841640</v>
      </c>
      <c r="D134" s="17" t="inlineStr">
        <is>
          <t>0.008010</t>
        </is>
      </c>
      <c r="E134" s="17" t="inlineStr">
        <is>
          <t>2.066 SOL</t>
        </is>
      </c>
      <c r="F134" s="17" t="inlineStr">
        <is>
          <t>1.936 SOL</t>
        </is>
      </c>
      <c r="G134" s="25" t="inlineStr">
        <is>
          <t>-0.138 SOL</t>
        </is>
      </c>
      <c r="H134" s="25" t="inlineStr">
        <is>
          <t>-6.64%</t>
        </is>
      </c>
      <c r="I134" s="17" t="inlineStr">
        <is>
          <t>N/A</t>
        </is>
      </c>
      <c r="J134" s="17" t="n">
        <v>1</v>
      </c>
      <c r="K134" s="17" t="n">
        <v>1</v>
      </c>
      <c r="L134" s="17" t="inlineStr">
        <is>
          <t>28.10.2024 18:14:41</t>
        </is>
      </c>
      <c r="M134" s="19" t="inlineStr">
        <is>
          <t>42 sec</t>
        </is>
      </c>
      <c r="N134" s="17" t="inlineStr">
        <is>
          <t xml:space="preserve">          9K             7K             5K</t>
        </is>
      </c>
      <c r="O134" s="17" t="inlineStr">
        <is>
          <t>CixyL7mWfRtS7co2CQco8mHKAejmHqjSFeqVqF7ppump</t>
        </is>
      </c>
      <c r="P134" s="17">
        <f>HYPERLINK("https://photon-sol.tinyastro.io/en/lp/CixyL7mWfRtS7co2CQco8mHKAejmHqjSFeqVqF7ppump?handle=676050794bc1b1657a56b", "View")</f>
        <v/>
      </c>
    </row>
    <row r="135">
      <c r="A135" s="20" t="inlineStr">
        <is>
          <t>Wiz</t>
        </is>
      </c>
      <c r="B135" s="21" t="n">
        <v>1181254</v>
      </c>
      <c r="C135" s="21" t="n">
        <v>1181254</v>
      </c>
      <c r="D135" s="21" t="inlineStr">
        <is>
          <t>0.008010</t>
        </is>
      </c>
      <c r="E135" s="21" t="inlineStr">
        <is>
          <t>5.000 SOL</t>
        </is>
      </c>
      <c r="F135" s="21" t="inlineStr">
        <is>
          <t>5.003 SOL</t>
        </is>
      </c>
      <c r="G135" s="25" t="inlineStr">
        <is>
          <t>-0.005 SOL</t>
        </is>
      </c>
      <c r="H135" s="25" t="inlineStr">
        <is>
          <t>-0.11%</t>
        </is>
      </c>
      <c r="I135" s="21" t="inlineStr">
        <is>
          <t>N/A</t>
        </is>
      </c>
      <c r="J135" s="21" t="n">
        <v>1</v>
      </c>
      <c r="K135" s="21" t="n">
        <v>1</v>
      </c>
      <c r="L135" s="21" t="inlineStr">
        <is>
          <t>28.10.2024 18:01:58</t>
        </is>
      </c>
      <c r="M135" s="21" t="inlineStr">
        <is>
          <t>1 min</t>
        </is>
      </c>
      <c r="N135" s="21" t="inlineStr">
        <is>
          <t xml:space="preserve">        743K           743K           486K</t>
        </is>
      </c>
      <c r="O135" s="21" t="inlineStr">
        <is>
          <t>2TobzM4NNpEvyVAEpFC8AkxJGBHz8fFgMksK1gBy5dub</t>
        </is>
      </c>
      <c r="P135" s="21">
        <f>HYPERLINK("https://dexscreener.com/solana/2TobzM4NNpEvyVAEpFC8AkxJGBHz8fFgMksK1gBy5dub", "View")</f>
        <v/>
      </c>
    </row>
    <row r="136">
      <c r="A136" s="16" t="inlineStr">
        <is>
          <t>기린</t>
        </is>
      </c>
      <c r="B136" s="17" t="n">
        <v>97545454</v>
      </c>
      <c r="C136" s="17" t="n">
        <v>97545454</v>
      </c>
      <c r="D136" s="17" t="inlineStr">
        <is>
          <t>0.008010</t>
        </is>
      </c>
      <c r="E136" s="17" t="inlineStr">
        <is>
          <t>3.067 SOL</t>
        </is>
      </c>
      <c r="F136" s="17" t="inlineStr">
        <is>
          <t>3.519 SOL</t>
        </is>
      </c>
      <c r="G136" s="22" t="inlineStr">
        <is>
          <t>0.444 SOL</t>
        </is>
      </c>
      <c r="H136" s="22" t="inlineStr">
        <is>
          <t>14.44%</t>
        </is>
      </c>
      <c r="I136" s="17" t="inlineStr">
        <is>
          <t>N/A</t>
        </is>
      </c>
      <c r="J136" s="17" t="n">
        <v>1</v>
      </c>
      <c r="K136" s="17" t="n">
        <v>1</v>
      </c>
      <c r="L136" s="17" t="inlineStr">
        <is>
          <t>28.10.2024 16:05:27</t>
        </is>
      </c>
      <c r="M136" s="17" t="inlineStr">
        <is>
          <t>2 min</t>
        </is>
      </c>
      <c r="N136" s="17" t="inlineStr">
        <is>
          <t xml:space="preserve">          5K             7K             5K</t>
        </is>
      </c>
      <c r="O136" s="17" t="inlineStr">
        <is>
          <t>4nbPfXiBFwn6AVv8teyc4gyT5hAvVNEAxqD2c79qpump</t>
        </is>
      </c>
      <c r="P136" s="17">
        <f>HYPERLINK("https://photon-sol.tinyastro.io/en/lp/4nbPfXiBFwn6AVv8teyc4gyT5hAvVNEAxqD2c79qpump?handle=676050794bc1b1657a56b", "View")</f>
        <v/>
      </c>
    </row>
    <row r="137">
      <c r="A137" s="20" t="inlineStr">
        <is>
          <t>UP</t>
        </is>
      </c>
      <c r="B137" s="21" t="n">
        <v>92822700</v>
      </c>
      <c r="C137" s="21" t="n">
        <v>92822700</v>
      </c>
      <c r="D137" s="21" t="inlineStr">
        <is>
          <t>0.008010</t>
        </is>
      </c>
      <c r="E137" s="21" t="inlineStr">
        <is>
          <t>3.067 SOL</t>
        </is>
      </c>
      <c r="F137" s="21" t="inlineStr">
        <is>
          <t>4.080 SOL</t>
        </is>
      </c>
      <c r="G137" s="22" t="inlineStr">
        <is>
          <t>1.005 SOL</t>
        </is>
      </c>
      <c r="H137" s="22" t="inlineStr">
        <is>
          <t>32.67%</t>
        </is>
      </c>
      <c r="I137" s="21" t="inlineStr">
        <is>
          <t>N/A</t>
        </is>
      </c>
      <c r="J137" s="21" t="n">
        <v>1</v>
      </c>
      <c r="K137" s="21" t="n">
        <v>1</v>
      </c>
      <c r="L137" s="21" t="inlineStr">
        <is>
          <t>28.10.2024 16:00:58</t>
        </is>
      </c>
      <c r="M137" s="19" t="inlineStr">
        <is>
          <t>24 sec</t>
        </is>
      </c>
      <c r="N137" s="21" t="inlineStr">
        <is>
          <t xml:space="preserve">          5K             7K             5K</t>
        </is>
      </c>
      <c r="O137" s="21" t="inlineStr">
        <is>
          <t>5CKF1a1v35Q3i4iL6ECETTLj72zpSNpirjwbAdcFpump</t>
        </is>
      </c>
      <c r="P137" s="21">
        <f>HYPERLINK("https://photon-sol.tinyastro.io/en/lp/5CKF1a1v35Q3i4iL6ECETTLj72zpSNpirjwbAdcFpump?handle=676050794bc1b1657a56b", "View")</f>
        <v/>
      </c>
    </row>
    <row r="138">
      <c r="A138" s="16" t="inlineStr">
        <is>
          <t>lotsinlife</t>
        </is>
      </c>
      <c r="B138" s="17" t="n">
        <v>1554889</v>
      </c>
      <c r="C138" s="17" t="n">
        <v>1554889</v>
      </c>
      <c r="D138" s="17" t="inlineStr">
        <is>
          <t>0.008010</t>
        </is>
      </c>
      <c r="E138" s="17" t="inlineStr">
        <is>
          <t>0.670 SOL</t>
        </is>
      </c>
      <c r="F138" s="17" t="inlineStr">
        <is>
          <t>0.049 SOL</t>
        </is>
      </c>
      <c r="G138" s="23" t="inlineStr">
        <is>
          <t>-0.629 SOL</t>
        </is>
      </c>
      <c r="H138" s="23" t="inlineStr">
        <is>
          <t>-92.84%</t>
        </is>
      </c>
      <c r="I138" s="17" t="inlineStr">
        <is>
          <t>N/A</t>
        </is>
      </c>
      <c r="J138" s="17" t="n">
        <v>1</v>
      </c>
      <c r="K138" s="17" t="n">
        <v>1</v>
      </c>
      <c r="L138" s="17" t="inlineStr">
        <is>
          <t>28.10.2024 15:56:29</t>
        </is>
      </c>
      <c r="M138" s="17" t="inlineStr">
        <is>
          <t>10 min</t>
        </is>
      </c>
      <c r="N138" s="17" t="inlineStr">
        <is>
          <t xml:space="preserve">         76K             5K             3K</t>
        </is>
      </c>
      <c r="O138" s="17" t="inlineStr">
        <is>
          <t>FwLHNPew66JYXcBvK6bfwgVtJwvEB8dRuMt3uqgjpump</t>
        </is>
      </c>
      <c r="P138" s="17">
        <f>HYPERLINK("https://photon-sol.tinyastro.io/en/lp/FwLHNPew66JYXcBvK6bfwgVtJwvEB8dRuMt3uqgjpump?handle=676050794bc1b1657a56b", "View")</f>
        <v/>
      </c>
    </row>
    <row r="139">
      <c r="A139" s="20" t="inlineStr">
        <is>
          <t>ILUMIA</t>
        </is>
      </c>
      <c r="B139" s="21" t="n">
        <v>2811207</v>
      </c>
      <c r="C139" s="21" t="n">
        <v>2811207</v>
      </c>
      <c r="D139" s="21" t="inlineStr">
        <is>
          <t>0.008010</t>
        </is>
      </c>
      <c r="E139" s="21" t="inlineStr">
        <is>
          <t>0.607 SOL</t>
        </is>
      </c>
      <c r="F139" s="21" t="inlineStr">
        <is>
          <t>0.124 SOL</t>
        </is>
      </c>
      <c r="G139" s="23" t="inlineStr">
        <is>
          <t>-0.491 SOL</t>
        </is>
      </c>
      <c r="H139" s="23" t="inlineStr">
        <is>
          <t>-79.89%</t>
        </is>
      </c>
      <c r="I139" s="21" t="inlineStr">
        <is>
          <t>N/A</t>
        </is>
      </c>
      <c r="J139" s="21" t="n">
        <v>1</v>
      </c>
      <c r="K139" s="21" t="n">
        <v>1</v>
      </c>
      <c r="L139" s="21" t="inlineStr">
        <is>
          <t>28.10.2024 15:55:57</t>
        </is>
      </c>
      <c r="M139" s="19" t="inlineStr">
        <is>
          <t>35 sec</t>
        </is>
      </c>
      <c r="N139" s="21" t="inlineStr">
        <is>
          <t xml:space="preserve">         39K             7K             5K</t>
        </is>
      </c>
      <c r="O139" s="21" t="inlineStr">
        <is>
          <t>Fhnscz1dhqLHc96Ao2on4z4i8ve8BHzeGUd36aKYpump</t>
        </is>
      </c>
      <c r="P139" s="21">
        <f>HYPERLINK("https://photon-sol.tinyastro.io/en/lp/Fhnscz1dhqLHc96Ao2on4z4i8ve8BHzeGUd36aKYpump?handle=676050794bc1b1657a56b", "View")</f>
        <v/>
      </c>
    </row>
    <row r="140">
      <c r="A140" s="16" t="inlineStr">
        <is>
          <t>lotsinlife</t>
        </is>
      </c>
      <c r="B140" s="17" t="n">
        <v>7039606</v>
      </c>
      <c r="C140" s="17" t="n">
        <v>7039606</v>
      </c>
      <c r="D140" s="17" t="inlineStr">
        <is>
          <t>0.008010</t>
        </is>
      </c>
      <c r="E140" s="17" t="inlineStr">
        <is>
          <t>1.216 SOL</t>
        </is>
      </c>
      <c r="F140" s="17" t="inlineStr">
        <is>
          <t>1.465 SOL</t>
        </is>
      </c>
      <c r="G140" s="22" t="inlineStr">
        <is>
          <t>0.241 SOL</t>
        </is>
      </c>
      <c r="H140" s="22" t="inlineStr">
        <is>
          <t>19.66%</t>
        </is>
      </c>
      <c r="I140" s="17" t="inlineStr">
        <is>
          <t>N/A</t>
        </is>
      </c>
      <c r="J140" s="17" t="n">
        <v>1</v>
      </c>
      <c r="K140" s="17" t="n">
        <v>1</v>
      </c>
      <c r="L140" s="17" t="inlineStr">
        <is>
          <t>28.10.2024 15:49:56</t>
        </is>
      </c>
      <c r="M140" s="19" t="inlineStr">
        <is>
          <t>19 sec</t>
        </is>
      </c>
      <c r="N140" s="17" t="inlineStr">
        <is>
          <t xml:space="preserve">         30K            37K             5K</t>
        </is>
      </c>
      <c r="O140" s="17" t="inlineStr">
        <is>
          <t>DXgsXf5stPFYaAd3dBeuzp8YhJheKF22fPnvN5Tppump</t>
        </is>
      </c>
      <c r="P140" s="17">
        <f>HYPERLINK("https://photon-sol.tinyastro.io/en/lp/DXgsXf5stPFYaAd3dBeuzp8YhJheKF22fPnvN5Tppump?handle=676050794bc1b1657a56b", "View")</f>
        <v/>
      </c>
    </row>
    <row r="141">
      <c r="A141" s="20" t="inlineStr">
        <is>
          <t>SELF</t>
        </is>
      </c>
      <c r="B141" s="21" t="n">
        <v>8565466</v>
      </c>
      <c r="C141" s="21" t="n">
        <v>8565466</v>
      </c>
      <c r="D141" s="21" t="inlineStr">
        <is>
          <t>0.008010</t>
        </is>
      </c>
      <c r="E141" s="21" t="inlineStr">
        <is>
          <t>1.036 SOL</t>
        </is>
      </c>
      <c r="F141" s="21" t="inlineStr">
        <is>
          <t>1.221 SOL</t>
        </is>
      </c>
      <c r="G141" s="22" t="inlineStr">
        <is>
          <t>0.177 SOL</t>
        </is>
      </c>
      <c r="H141" s="22" t="inlineStr">
        <is>
          <t>16.98%</t>
        </is>
      </c>
      <c r="I141" s="21" t="inlineStr">
        <is>
          <t>N/A</t>
        </is>
      </c>
      <c r="J141" s="21" t="n">
        <v>1</v>
      </c>
      <c r="K141" s="21" t="n">
        <v>1</v>
      </c>
      <c r="L141" s="21" t="inlineStr">
        <is>
          <t>28.10.2024 15:43:09</t>
        </is>
      </c>
      <c r="M141" s="19" t="inlineStr">
        <is>
          <t>16 sec</t>
        </is>
      </c>
      <c r="N141" s="21" t="inlineStr">
        <is>
          <t xml:space="preserve">         21K            25K             6K</t>
        </is>
      </c>
      <c r="O141" s="21" t="inlineStr">
        <is>
          <t>CeBp9za8vBpYazKsTdjKpsYjqnZJrYo52CqECNHapump</t>
        </is>
      </c>
      <c r="P141" s="21">
        <f>HYPERLINK("https://photon-sol.tinyastro.io/en/lp/CeBp9za8vBpYazKsTdjKpsYjqnZJrYo52CqECNHapump?handle=676050794bc1b1657a56b", "View")</f>
        <v/>
      </c>
    </row>
    <row r="142">
      <c r="A142" s="16" t="inlineStr">
        <is>
          <t>METASEEK</t>
        </is>
      </c>
      <c r="B142" s="17" t="n">
        <v>19629344</v>
      </c>
      <c r="C142" s="17" t="n">
        <v>19629344</v>
      </c>
      <c r="D142" s="17" t="inlineStr">
        <is>
          <t>0.012020</t>
        </is>
      </c>
      <c r="E142" s="17" t="inlineStr">
        <is>
          <t>1.802 SOL</t>
        </is>
      </c>
      <c r="F142" s="17" t="inlineStr">
        <is>
          <t>1.432 SOL</t>
        </is>
      </c>
      <c r="G142" s="25" t="inlineStr">
        <is>
          <t>-0.382 SOL</t>
        </is>
      </c>
      <c r="H142" s="25" t="inlineStr">
        <is>
          <t>-21.05%</t>
        </is>
      </c>
      <c r="I142" s="17" t="inlineStr">
        <is>
          <t>N/A</t>
        </is>
      </c>
      <c r="J142" s="17" t="n">
        <v>2</v>
      </c>
      <c r="K142" s="17" t="n">
        <v>1</v>
      </c>
      <c r="L142" s="17" t="inlineStr">
        <is>
          <t>28.10.2024 15:41:33</t>
        </is>
      </c>
      <c r="M142" s="19" t="inlineStr">
        <is>
          <t>48 sec</t>
        </is>
      </c>
      <c r="N142" s="17" t="inlineStr">
        <is>
          <t xml:space="preserve">         25K            12K             5K</t>
        </is>
      </c>
      <c r="O142" s="17" t="inlineStr">
        <is>
          <t>5rYWXMAqW6NB6LsffGeD9FgP211dE5QJCsVAEMdapump</t>
        </is>
      </c>
      <c r="P142" s="17">
        <f>HYPERLINK("https://photon-sol.tinyastro.io/en/lp/5rYWXMAqW6NB6LsffGeD9FgP211dE5QJCsVAEMdapump?handle=676050794bc1b1657a56b", "View")</f>
        <v/>
      </c>
    </row>
    <row r="143">
      <c r="A143" s="20" t="inlineStr">
        <is>
          <t>VSC</t>
        </is>
      </c>
      <c r="B143" s="21" t="n">
        <v>11077250</v>
      </c>
      <c r="C143" s="21" t="n">
        <v>11077250</v>
      </c>
      <c r="D143" s="21" t="inlineStr">
        <is>
          <t>0.008010</t>
        </is>
      </c>
      <c r="E143" s="21" t="inlineStr">
        <is>
          <t>1.004 SOL</t>
        </is>
      </c>
      <c r="F143" s="21" t="inlineStr">
        <is>
          <t>1.143 SOL</t>
        </is>
      </c>
      <c r="G143" s="22" t="inlineStr">
        <is>
          <t>0.131 SOL</t>
        </is>
      </c>
      <c r="H143" s="22" t="inlineStr">
        <is>
          <t>12.91%</t>
        </is>
      </c>
      <c r="I143" s="21" t="inlineStr">
        <is>
          <t>N/A</t>
        </is>
      </c>
      <c r="J143" s="21" t="n">
        <v>1</v>
      </c>
      <c r="K143" s="21" t="n">
        <v>1</v>
      </c>
      <c r="L143" s="21" t="inlineStr">
        <is>
          <t>28.10.2024 15:39:37</t>
        </is>
      </c>
      <c r="M143" s="19" t="inlineStr">
        <is>
          <t>41 sec</t>
        </is>
      </c>
      <c r="N143" s="21" t="inlineStr">
        <is>
          <t xml:space="preserve">        N/A           N/A           N/A</t>
        </is>
      </c>
      <c r="O143" s="21" t="inlineStr">
        <is>
          <t>HwXikXc52weGJvzt8b3MCGtKBGCUjBBmkrVrcHNFhQQu</t>
        </is>
      </c>
      <c r="P143" s="21">
        <f>HYPERLINK("https://photon-sol.tinyastro.io/en/lp/HwXikXc52weGJvzt8b3MCGtKBGCUjBBmkrVrcHNFhQQu?handle=676050794bc1b1657a56b", "View")</f>
        <v/>
      </c>
    </row>
    <row r="144">
      <c r="A144" s="16" t="inlineStr">
        <is>
          <t>POPPY</t>
        </is>
      </c>
      <c r="B144" s="17" t="n">
        <v>97545454</v>
      </c>
      <c r="C144" s="17" t="n">
        <v>97545454</v>
      </c>
      <c r="D144" s="17" t="inlineStr">
        <is>
          <t>0.008010</t>
        </is>
      </c>
      <c r="E144" s="17" t="inlineStr">
        <is>
          <t>3.076 SOL</t>
        </is>
      </c>
      <c r="F144" s="17" t="inlineStr">
        <is>
          <t>3.896 SOL</t>
        </is>
      </c>
      <c r="G144" s="22" t="inlineStr">
        <is>
          <t>0.812 SOL</t>
        </is>
      </c>
      <c r="H144" s="22" t="inlineStr">
        <is>
          <t>26.32%</t>
        </is>
      </c>
      <c r="I144" s="17" t="inlineStr">
        <is>
          <t>N/A</t>
        </is>
      </c>
      <c r="J144" s="17" t="n">
        <v>1</v>
      </c>
      <c r="K144" s="17" t="n">
        <v>1</v>
      </c>
      <c r="L144" s="17" t="inlineStr">
        <is>
          <t>28.10.2024 15:08:07</t>
        </is>
      </c>
      <c r="M144" s="19" t="inlineStr">
        <is>
          <t>35 sec</t>
        </is>
      </c>
      <c r="N144" s="17" t="inlineStr">
        <is>
          <t xml:space="preserve">          5K             7K             5K</t>
        </is>
      </c>
      <c r="O144" s="17" t="inlineStr">
        <is>
          <t>2yS7fgzqvopfoQybkR8q1X6NxwaPUq4T8qEesE8Kpump</t>
        </is>
      </c>
      <c r="P144" s="17">
        <f>HYPERLINK("https://photon-sol.tinyastro.io/en/lp/2yS7fgzqvopfoQybkR8q1X6NxwaPUq4T8qEesE8Kpump?handle=676050794bc1b1657a56b", "View")</f>
        <v/>
      </c>
    </row>
    <row r="145">
      <c r="A145" s="20" t="inlineStr">
        <is>
          <t>IRY</t>
        </is>
      </c>
      <c r="B145" s="21" t="n">
        <v>97545454</v>
      </c>
      <c r="C145" s="21" t="n">
        <v>97545454</v>
      </c>
      <c r="D145" s="21" t="inlineStr">
        <is>
          <t>0.008010</t>
        </is>
      </c>
      <c r="E145" s="21" t="inlineStr">
        <is>
          <t>3.076 SOL</t>
        </is>
      </c>
      <c r="F145" s="21" t="inlineStr">
        <is>
          <t>3.695 SOL</t>
        </is>
      </c>
      <c r="G145" s="22" t="inlineStr">
        <is>
          <t>0.611 SOL</t>
        </is>
      </c>
      <c r="H145" s="22" t="inlineStr">
        <is>
          <t>19.81%</t>
        </is>
      </c>
      <c r="I145" s="21" t="inlineStr">
        <is>
          <t>N/A</t>
        </is>
      </c>
      <c r="J145" s="21" t="n">
        <v>1</v>
      </c>
      <c r="K145" s="21" t="n">
        <v>1</v>
      </c>
      <c r="L145" s="21" t="inlineStr">
        <is>
          <t>28.10.2024 12:38:10</t>
        </is>
      </c>
      <c r="M145" s="19" t="inlineStr">
        <is>
          <t>8 sec</t>
        </is>
      </c>
      <c r="N145" s="21" t="inlineStr">
        <is>
          <t xml:space="preserve">          5K             7K             5K</t>
        </is>
      </c>
      <c r="O145" s="21" t="inlineStr">
        <is>
          <t>964okGKqe2CUJEMBEPRcXDpXW6yisqJgMNt97MPWpump</t>
        </is>
      </c>
      <c r="P145" s="21">
        <f>HYPERLINK("https://photon-sol.tinyastro.io/en/lp/964okGKqe2CUJEMBEPRcXDpXW6yisqJgMNt97MPWpump?handle=676050794bc1b1657a56b", "View")</f>
        <v/>
      </c>
    </row>
    <row r="146">
      <c r="A146" s="16" t="inlineStr">
        <is>
          <t>🥥</t>
        </is>
      </c>
      <c r="B146" s="17" t="n">
        <v>97545454</v>
      </c>
      <c r="C146" s="17" t="n">
        <v>97545454</v>
      </c>
      <c r="D146" s="17" t="inlineStr">
        <is>
          <t>0.008010</t>
        </is>
      </c>
      <c r="E146" s="17" t="inlineStr">
        <is>
          <t>3.078 SOL</t>
        </is>
      </c>
      <c r="F146" s="17" t="inlineStr">
        <is>
          <t>3.505 SOL</t>
        </is>
      </c>
      <c r="G146" s="22" t="inlineStr">
        <is>
          <t>0.419 SOL</t>
        </is>
      </c>
      <c r="H146" s="22" t="inlineStr">
        <is>
          <t>13.57%</t>
        </is>
      </c>
      <c r="I146" s="17" t="inlineStr">
        <is>
          <t>N/A</t>
        </is>
      </c>
      <c r="J146" s="17" t="n">
        <v>1</v>
      </c>
      <c r="K146" s="17" t="n">
        <v>1</v>
      </c>
      <c r="L146" s="17" t="inlineStr">
        <is>
          <t>28.10.2024 09:59:09</t>
        </is>
      </c>
      <c r="M146" s="19" t="inlineStr">
        <is>
          <t>23 sec</t>
        </is>
      </c>
      <c r="N146" s="17" t="inlineStr">
        <is>
          <t xml:space="preserve">          5K             7K             5K</t>
        </is>
      </c>
      <c r="O146" s="17" t="inlineStr">
        <is>
          <t>3zrqmxA4WXTW84tjqVXx3cXdUiQ9Ewxunr99TsiBpump</t>
        </is>
      </c>
      <c r="P146" s="17">
        <f>HYPERLINK("https://photon-sol.tinyastro.io/en/lp/3zrqmxA4WXTW84tjqVXx3cXdUiQ9Ewxunr99TsiBpump?handle=676050794bc1b1657a56b", "View")</f>
        <v/>
      </c>
    </row>
    <row r="147">
      <c r="A147" s="20" t="inlineStr">
        <is>
          <t>antelope</t>
        </is>
      </c>
      <c r="B147" s="21" t="n">
        <v>3588089</v>
      </c>
      <c r="C147" s="21" t="n">
        <v>3588089</v>
      </c>
      <c r="D147" s="21" t="inlineStr">
        <is>
          <t>0.012020</t>
        </is>
      </c>
      <c r="E147" s="21" t="inlineStr">
        <is>
          <t>1.000 SOL</t>
        </is>
      </c>
      <c r="F147" s="21" t="inlineStr">
        <is>
          <t>1.061 SOL</t>
        </is>
      </c>
      <c r="G147" s="22" t="inlineStr">
        <is>
          <t>0.049 SOL</t>
        </is>
      </c>
      <c r="H147" s="22" t="inlineStr">
        <is>
          <t>4.84%</t>
        </is>
      </c>
      <c r="I147" s="21" t="inlineStr">
        <is>
          <t>N/A</t>
        </is>
      </c>
      <c r="J147" s="21" t="n">
        <v>2</v>
      </c>
      <c r="K147" s="21" t="n">
        <v>1</v>
      </c>
      <c r="L147" s="21" t="inlineStr">
        <is>
          <t>28.10.2024 09:49:51</t>
        </is>
      </c>
      <c r="M147" s="21" t="inlineStr">
        <is>
          <t>1 min</t>
        </is>
      </c>
      <c r="N147" s="21" t="inlineStr">
        <is>
          <t xml:space="preserve">         67K            53K             4K</t>
        </is>
      </c>
      <c r="O147" s="21" t="inlineStr">
        <is>
          <t>4trd89QeJXPrE6yAsQJi71uBkqT4NkGE3dcRXfshpump</t>
        </is>
      </c>
      <c r="P147" s="21">
        <f>HYPERLINK("https://dexscreener.com/solana/4trd89QeJXPrE6yAsQJi71uBkqT4NkGE3dcRXfshpump", "View")</f>
        <v/>
      </c>
    </row>
    <row r="148">
      <c r="A148" s="16" t="inlineStr">
        <is>
          <t>wps</t>
        </is>
      </c>
      <c r="B148" s="17" t="n">
        <v>96315726</v>
      </c>
      <c r="C148" s="17" t="n">
        <v>96315726</v>
      </c>
      <c r="D148" s="17" t="inlineStr">
        <is>
          <t>0.008010</t>
        </is>
      </c>
      <c r="E148" s="17" t="inlineStr">
        <is>
          <t>3.076 SOL</t>
        </is>
      </c>
      <c r="F148" s="17" t="inlineStr">
        <is>
          <t>3.523 SOL</t>
        </is>
      </c>
      <c r="G148" s="22" t="inlineStr">
        <is>
          <t>0.439 SOL</t>
        </is>
      </c>
      <c r="H148" s="22" t="inlineStr">
        <is>
          <t>14.24%</t>
        </is>
      </c>
      <c r="I148" s="17" t="inlineStr">
        <is>
          <t>N/A</t>
        </is>
      </c>
      <c r="J148" s="17" t="n">
        <v>1</v>
      </c>
      <c r="K148" s="17" t="n">
        <v>1</v>
      </c>
      <c r="L148" s="17" t="inlineStr">
        <is>
          <t>28.10.2024 07:22:04</t>
        </is>
      </c>
      <c r="M148" s="19" t="inlineStr">
        <is>
          <t>5 sec</t>
        </is>
      </c>
      <c r="N148" s="17" t="inlineStr">
        <is>
          <t xml:space="preserve">          5K             7K             5K</t>
        </is>
      </c>
      <c r="O148" s="17" t="inlineStr">
        <is>
          <t>ZY48L7146vhZSb6vP92VYu9s5fVX9GM4Jzd8rHgpump</t>
        </is>
      </c>
      <c r="P148" s="17">
        <f>HYPERLINK("https://photon-sol.tinyastro.io/en/lp/ZY48L7146vhZSb6vP92VYu9s5fVX9GM4Jzd8rHgpump?handle=676050794bc1b1657a56b", "View")</f>
        <v/>
      </c>
    </row>
    <row r="149">
      <c r="A149" s="20" t="inlineStr">
        <is>
          <t>tubby</t>
        </is>
      </c>
      <c r="B149" s="21" t="n">
        <v>17402796</v>
      </c>
      <c r="C149" s="21" t="n">
        <v>17402796</v>
      </c>
      <c r="D149" s="21" t="inlineStr">
        <is>
          <t>0.008010</t>
        </is>
      </c>
      <c r="E149" s="21" t="inlineStr">
        <is>
          <t>3.000 SOL</t>
        </is>
      </c>
      <c r="F149" s="21" t="inlineStr">
        <is>
          <t>2.857 SOL</t>
        </is>
      </c>
      <c r="G149" s="25" t="inlineStr">
        <is>
          <t>-0.151 SOL</t>
        </is>
      </c>
      <c r="H149" s="25" t="inlineStr">
        <is>
          <t>-5.03%</t>
        </is>
      </c>
      <c r="I149" s="21" t="inlineStr">
        <is>
          <t>N/A</t>
        </is>
      </c>
      <c r="J149" s="21" t="n">
        <v>1</v>
      </c>
      <c r="K149" s="21" t="n">
        <v>1</v>
      </c>
      <c r="L149" s="21" t="inlineStr">
        <is>
          <t>28.10.2024 04:30:22</t>
        </is>
      </c>
      <c r="M149" s="19" t="inlineStr">
        <is>
          <t>14 sec</t>
        </is>
      </c>
      <c r="N149" s="21" t="inlineStr">
        <is>
          <t xml:space="preserve">         30K            28K             4K</t>
        </is>
      </c>
      <c r="O149" s="21" t="inlineStr">
        <is>
          <t>AeS1V4Gov3QV6ryUzPZxBWEQgBczDYbemPpYbzAupump</t>
        </is>
      </c>
      <c r="P149" s="21">
        <f>HYPERLINK("https://dexscreener.com/solana/AeS1V4Gov3QV6ryUzPZxBWEQgBczDYbemPpYbzAupump", "View")</f>
        <v/>
      </c>
    </row>
    <row r="150">
      <c r="A150" s="16" t="inlineStr">
        <is>
          <t>STFUWYCNC</t>
        </is>
      </c>
      <c r="B150" s="17" t="n">
        <v>2304234</v>
      </c>
      <c r="C150" s="17" t="n">
        <v>2304234</v>
      </c>
      <c r="D150" s="17" t="inlineStr">
        <is>
          <t>0.008010</t>
        </is>
      </c>
      <c r="E150" s="17" t="inlineStr">
        <is>
          <t>0.343 SOL</t>
        </is>
      </c>
      <c r="F150" s="17" t="inlineStr">
        <is>
          <t>0.354 SOL</t>
        </is>
      </c>
      <c r="G150" s="22" t="inlineStr">
        <is>
          <t>0.003 SOL</t>
        </is>
      </c>
      <c r="H150" s="22" t="inlineStr">
        <is>
          <t>0.83%</t>
        </is>
      </c>
      <c r="I150" s="17" t="inlineStr">
        <is>
          <t>N/A</t>
        </is>
      </c>
      <c r="J150" s="17" t="n">
        <v>1</v>
      </c>
      <c r="K150" s="17" t="n">
        <v>1</v>
      </c>
      <c r="L150" s="17" t="inlineStr">
        <is>
          <t>27.10.2024 20:45:34</t>
        </is>
      </c>
      <c r="M150" s="19" t="inlineStr">
        <is>
          <t>16 sec</t>
        </is>
      </c>
      <c r="N150" s="17" t="inlineStr">
        <is>
          <t xml:space="preserve">         26K            26K             5K</t>
        </is>
      </c>
      <c r="O150" s="17" t="inlineStr">
        <is>
          <t>7uWoAimLRfbB9dN4MH5EScniEjY3rmqbovL4KpYepump</t>
        </is>
      </c>
      <c r="P150" s="17">
        <f>HYPERLINK("https://photon-sol.tinyastro.io/en/lp/7uWoAimLRfbB9dN4MH5EScniEjY3rmqbovL4KpYepump?handle=676050794bc1b1657a56b", "View")</f>
        <v/>
      </c>
    </row>
    <row r="151">
      <c r="A151" s="20" t="inlineStr">
        <is>
          <t>UD</t>
        </is>
      </c>
      <c r="B151" s="21" t="n">
        <v>44762199</v>
      </c>
      <c r="C151" s="21" t="n">
        <v>44762199</v>
      </c>
      <c r="D151" s="21" t="inlineStr">
        <is>
          <t>0.008010</t>
        </is>
      </c>
      <c r="E151" s="21" t="inlineStr">
        <is>
          <t>2.106 SOL</t>
        </is>
      </c>
      <c r="F151" s="21" t="inlineStr">
        <is>
          <t>1.965 SOL</t>
        </is>
      </c>
      <c r="G151" s="25" t="inlineStr">
        <is>
          <t>-0.149 SOL</t>
        </is>
      </c>
      <c r="H151" s="25" t="inlineStr">
        <is>
          <t>-7.03%</t>
        </is>
      </c>
      <c r="I151" s="21" t="inlineStr">
        <is>
          <t>N/A</t>
        </is>
      </c>
      <c r="J151" s="21" t="n">
        <v>1</v>
      </c>
      <c r="K151" s="21" t="n">
        <v>1</v>
      </c>
      <c r="L151" s="21" t="inlineStr">
        <is>
          <t>27.10.2024 20:36:52</t>
        </is>
      </c>
      <c r="M151" s="19" t="inlineStr">
        <is>
          <t>10 sec</t>
        </is>
      </c>
      <c r="N151" s="21" t="inlineStr">
        <is>
          <t xml:space="preserve">          9K             7K             5K</t>
        </is>
      </c>
      <c r="O151" s="21" t="inlineStr">
        <is>
          <t>tUMX6zLw12e1yZXt8Geg3us72C6L1CJPHbtLXMzpump</t>
        </is>
      </c>
      <c r="P151" s="21">
        <f>HYPERLINK("https://photon-sol.tinyastro.io/en/lp/tUMX6zLw12e1yZXt8Geg3us72C6L1CJPHbtLXMzpump?handle=676050794bc1b1657a56b", "View")</f>
        <v/>
      </c>
    </row>
    <row r="152">
      <c r="A152" s="16" t="inlineStr">
        <is>
          <t>Pebble</t>
        </is>
      </c>
      <c r="B152" s="17" t="n">
        <v>94561421</v>
      </c>
      <c r="C152" s="17" t="n">
        <v>94561421</v>
      </c>
      <c r="D152" s="17" t="inlineStr">
        <is>
          <t>0.016020</t>
        </is>
      </c>
      <c r="E152" s="17" t="inlineStr">
        <is>
          <t>3.066 SOL</t>
        </is>
      </c>
      <c r="F152" s="17" t="inlineStr">
        <is>
          <t>4.802 SOL</t>
        </is>
      </c>
      <c r="G152" s="24" t="inlineStr">
        <is>
          <t>1.720 SOL</t>
        </is>
      </c>
      <c r="H152" s="24" t="inlineStr">
        <is>
          <t>55.80%</t>
        </is>
      </c>
      <c r="I152" s="17" t="inlineStr">
        <is>
          <t>N/A</t>
        </is>
      </c>
      <c r="J152" s="17" t="n">
        <v>1</v>
      </c>
      <c r="K152" s="17" t="n">
        <v>3</v>
      </c>
      <c r="L152" s="17" t="inlineStr">
        <is>
          <t>27.10.2024 20:22:01</t>
        </is>
      </c>
      <c r="M152" s="17" t="inlineStr">
        <is>
          <t>18 min</t>
        </is>
      </c>
      <c r="N152" s="17" t="inlineStr">
        <is>
          <t xml:space="preserve">          5K            19K             5K</t>
        </is>
      </c>
      <c r="O152" s="17" t="inlineStr">
        <is>
          <t>DzuVdjezoX1r6ZR6WGosGMRKE8oRfJWkHtkuAhm6pump</t>
        </is>
      </c>
      <c r="P152" s="17">
        <f>HYPERLINK("https://photon-sol.tinyastro.io/en/lp/DzuVdjezoX1r6ZR6WGosGMRKE8oRfJWkHtkuAhm6pump?handle=676050794bc1b1657a56b", "View")</f>
        <v/>
      </c>
    </row>
    <row r="153">
      <c r="A153" s="20" t="inlineStr">
        <is>
          <t>SOLANA</t>
        </is>
      </c>
      <c r="B153" s="21" t="n">
        <v>81430566</v>
      </c>
      <c r="C153" s="21" t="n">
        <v>81430566</v>
      </c>
      <c r="D153" s="21" t="inlineStr">
        <is>
          <t>0.008010</t>
        </is>
      </c>
      <c r="E153" s="21" t="inlineStr">
        <is>
          <t>2.745 SOL</t>
        </is>
      </c>
      <c r="F153" s="21" t="inlineStr">
        <is>
          <t>4.126 SOL</t>
        </is>
      </c>
      <c r="G153" s="22" t="inlineStr">
        <is>
          <t>1.373 SOL</t>
        </is>
      </c>
      <c r="H153" s="22" t="inlineStr">
        <is>
          <t>49.89%</t>
        </is>
      </c>
      <c r="I153" s="21" t="inlineStr">
        <is>
          <t>N/A</t>
        </is>
      </c>
      <c r="J153" s="21" t="n">
        <v>1</v>
      </c>
      <c r="K153" s="21" t="n">
        <v>1</v>
      </c>
      <c r="L153" s="21" t="inlineStr">
        <is>
          <t>27.10.2024 20:00:15</t>
        </is>
      </c>
      <c r="M153" s="19" t="inlineStr">
        <is>
          <t>7 sec</t>
        </is>
      </c>
      <c r="N153" s="21" t="inlineStr">
        <is>
          <t xml:space="preserve">          5K             9K             5K</t>
        </is>
      </c>
      <c r="O153" s="21" t="inlineStr">
        <is>
          <t>5utcfiTcjf5HjTqpNkDpM2t68gdrKf14mfTzsFBLpump</t>
        </is>
      </c>
      <c r="P153" s="21">
        <f>HYPERLINK("https://photon-sol.tinyastro.io/en/lp/5utcfiTcjf5HjTqpNkDpM2t68gdrKf14mfTzsFBLpump?handle=676050794bc1b1657a56b", "View")</f>
        <v/>
      </c>
    </row>
    <row r="154">
      <c r="A154" s="16" t="inlineStr">
        <is>
          <t>HOL</t>
        </is>
      </c>
      <c r="B154" s="17" t="n">
        <v>3176382</v>
      </c>
      <c r="C154" s="17" t="n">
        <v>3176382</v>
      </c>
      <c r="D154" s="17" t="inlineStr">
        <is>
          <t>0.008010</t>
        </is>
      </c>
      <c r="E154" s="17" t="inlineStr">
        <is>
          <t>2.000 SOL</t>
        </is>
      </c>
      <c r="F154" s="17" t="inlineStr">
        <is>
          <t>2.596 SOL</t>
        </is>
      </c>
      <c r="G154" s="22" t="inlineStr">
        <is>
          <t>0.588 SOL</t>
        </is>
      </c>
      <c r="H154" s="22" t="inlineStr">
        <is>
          <t>29.28%</t>
        </is>
      </c>
      <c r="I154" s="17" t="inlineStr">
        <is>
          <t>N/A</t>
        </is>
      </c>
      <c r="J154" s="17" t="n">
        <v>1</v>
      </c>
      <c r="K154" s="17" t="n">
        <v>1</v>
      </c>
      <c r="L154" s="17" t="inlineStr">
        <is>
          <t>27.10.2024 19:56:38</t>
        </is>
      </c>
      <c r="M154" s="19" t="inlineStr">
        <is>
          <t>12 sec</t>
        </is>
      </c>
      <c r="N154" s="17" t="inlineStr">
        <is>
          <t xml:space="preserve">        111K           144K            73K</t>
        </is>
      </c>
      <c r="O154" s="17" t="inlineStr">
        <is>
          <t>8r8xXP3eHgn19HYRX9Qe2AzSaSXrWCj6URAmFpvUpump</t>
        </is>
      </c>
      <c r="P154" s="17">
        <f>HYPERLINK("https://dexscreener.com/solana/8r8xXP3eHgn19HYRX9Qe2AzSaSXrWCj6URAmFpvUpump", "View")</f>
        <v/>
      </c>
    </row>
    <row r="155">
      <c r="A155" s="20" t="inlineStr">
        <is>
          <t>Chimpdenza</t>
        </is>
      </c>
      <c r="B155" s="21" t="n">
        <v>97486514</v>
      </c>
      <c r="C155" s="21" t="n">
        <v>97486514</v>
      </c>
      <c r="D155" s="21" t="inlineStr">
        <is>
          <t>0.008010</t>
        </is>
      </c>
      <c r="E155" s="21" t="inlineStr">
        <is>
          <t>3.076 SOL</t>
        </is>
      </c>
      <c r="F155" s="21" t="inlineStr">
        <is>
          <t>4.792 SOL</t>
        </is>
      </c>
      <c r="G155" s="24" t="inlineStr">
        <is>
          <t>1.708 SOL</t>
        </is>
      </c>
      <c r="H155" s="24" t="inlineStr">
        <is>
          <t>55.38%</t>
        </is>
      </c>
      <c r="I155" s="21" t="inlineStr">
        <is>
          <t>N/A</t>
        </is>
      </c>
      <c r="J155" s="21" t="n">
        <v>1</v>
      </c>
      <c r="K155" s="21" t="n">
        <v>1</v>
      </c>
      <c r="L155" s="21" t="inlineStr">
        <is>
          <t>27.10.2024 19:49:53</t>
        </is>
      </c>
      <c r="M155" s="21" t="inlineStr">
        <is>
          <t>5 min</t>
        </is>
      </c>
      <c r="N155" s="21" t="inlineStr">
        <is>
          <t xml:space="preserve">          5K             9K             5K</t>
        </is>
      </c>
      <c r="O155" s="21" t="inlineStr">
        <is>
          <t>EGa7n7xAAXTVXEAK5oyaddEvNx2By8HA4TcpfBjCpump</t>
        </is>
      </c>
      <c r="P155" s="21">
        <f>HYPERLINK("https://photon-sol.tinyastro.io/en/lp/EGa7n7xAAXTVXEAK5oyaddEvNx2By8HA4TcpfBjCpump?handle=676050794bc1b1657a56b", "View")</f>
        <v/>
      </c>
    </row>
    <row r="156">
      <c r="A156" s="16" t="inlineStr">
        <is>
          <t>Present</t>
        </is>
      </c>
      <c r="B156" s="17" t="n">
        <v>97545454</v>
      </c>
      <c r="C156" s="17" t="n">
        <v>97545454</v>
      </c>
      <c r="D156" s="17" t="inlineStr">
        <is>
          <t>0.008010</t>
        </is>
      </c>
      <c r="E156" s="17" t="inlineStr">
        <is>
          <t>3.076 SOL</t>
        </is>
      </c>
      <c r="F156" s="17" t="inlineStr">
        <is>
          <t>4.347 SOL</t>
        </is>
      </c>
      <c r="G156" s="22" t="inlineStr">
        <is>
          <t>1.263 SOL</t>
        </is>
      </c>
      <c r="H156" s="22" t="inlineStr">
        <is>
          <t>40.95%</t>
        </is>
      </c>
      <c r="I156" s="17" t="inlineStr">
        <is>
          <t>N/A</t>
        </is>
      </c>
      <c r="J156" s="17" t="n">
        <v>1</v>
      </c>
      <c r="K156" s="17" t="n">
        <v>1</v>
      </c>
      <c r="L156" s="17" t="inlineStr">
        <is>
          <t>27.10.2024 19:16:32</t>
        </is>
      </c>
      <c r="M156" s="19" t="inlineStr">
        <is>
          <t>9 sec</t>
        </is>
      </c>
      <c r="N156" s="17" t="inlineStr">
        <is>
          <t xml:space="preserve">          5K             7K             5K</t>
        </is>
      </c>
      <c r="O156" s="17" t="inlineStr">
        <is>
          <t>FiTgKPSvkiCCwCABQjbzGQCNSvP58Ag1j5m8NHxKpump</t>
        </is>
      </c>
      <c r="P156" s="17">
        <f>HYPERLINK("https://photon-sol.tinyastro.io/en/lp/FiTgKPSvkiCCwCABQjbzGQCNSvP58Ag1j5m8NHxKpump?handle=676050794bc1b1657a56b", "View")</f>
        <v/>
      </c>
    </row>
    <row r="157">
      <c r="A157" s="20" t="inlineStr">
        <is>
          <t>eyeamgay</t>
        </is>
      </c>
      <c r="B157" s="21" t="n">
        <v>67062500</v>
      </c>
      <c r="C157" s="21" t="n">
        <v>67062500</v>
      </c>
      <c r="D157" s="21" t="inlineStr">
        <is>
          <t>0.008010</t>
        </is>
      </c>
      <c r="E157" s="21" t="inlineStr">
        <is>
          <t>2.056 SOL</t>
        </is>
      </c>
      <c r="F157" s="21" t="inlineStr">
        <is>
          <t>2.787 SOL</t>
        </is>
      </c>
      <c r="G157" s="22" t="inlineStr">
        <is>
          <t>0.723 SOL</t>
        </is>
      </c>
      <c r="H157" s="22" t="inlineStr">
        <is>
          <t>35.03%</t>
        </is>
      </c>
      <c r="I157" s="21" t="inlineStr">
        <is>
          <t>N/A</t>
        </is>
      </c>
      <c r="J157" s="21" t="n">
        <v>1</v>
      </c>
      <c r="K157" s="21" t="n">
        <v>1</v>
      </c>
      <c r="L157" s="21" t="inlineStr">
        <is>
          <t>27.10.2024 18:08:05</t>
        </is>
      </c>
      <c r="M157" s="19" t="inlineStr">
        <is>
          <t>15 sec</t>
        </is>
      </c>
      <c r="N157" s="21" t="inlineStr">
        <is>
          <t xml:space="preserve">          5K             7K             5K</t>
        </is>
      </c>
      <c r="O157" s="21" t="inlineStr">
        <is>
          <t>5EokEiXGvV86XNinM2DCLS2Vq6LuuHpeo1beAyxRpump</t>
        </is>
      </c>
      <c r="P157" s="21">
        <f>HYPERLINK("https://photon-sol.tinyastro.io/en/lp/5EokEiXGvV86XNinM2DCLS2Vq6LuuHpeo1beAyxRpump?handle=676050794bc1b1657a56b", "View")</f>
        <v/>
      </c>
    </row>
    <row r="158">
      <c r="A158" s="16" t="inlineStr">
        <is>
          <t>he/him</t>
        </is>
      </c>
      <c r="B158" s="17" t="n">
        <v>58048790</v>
      </c>
      <c r="C158" s="17" t="n">
        <v>58048790</v>
      </c>
      <c r="D158" s="17" t="inlineStr">
        <is>
          <t>0.016020</t>
        </is>
      </c>
      <c r="E158" s="17" t="inlineStr">
        <is>
          <t>4.159 SOL</t>
        </is>
      </c>
      <c r="F158" s="17" t="inlineStr">
        <is>
          <t>4.115 SOL</t>
        </is>
      </c>
      <c r="G158" s="25" t="inlineStr">
        <is>
          <t>-0.060 SOL</t>
        </is>
      </c>
      <c r="H158" s="25" t="inlineStr">
        <is>
          <t>-1.44%</t>
        </is>
      </c>
      <c r="I158" s="17" t="inlineStr">
        <is>
          <t>N/A</t>
        </is>
      </c>
      <c r="J158" s="17" t="n">
        <v>2</v>
      </c>
      <c r="K158" s="17" t="n">
        <v>2</v>
      </c>
      <c r="L158" s="17" t="inlineStr">
        <is>
          <t>27.10.2024 17:21:10</t>
        </is>
      </c>
      <c r="M158" s="17" t="inlineStr">
        <is>
          <t>1 min</t>
        </is>
      </c>
      <c r="N158" s="17" t="inlineStr">
        <is>
          <t xml:space="preserve">         12K            16K             5K</t>
        </is>
      </c>
      <c r="O158" s="17" t="inlineStr">
        <is>
          <t>Bht6wzQdkTVisYx7Ja8THsLDn4wbHSNqhx8ZsEkupump</t>
        </is>
      </c>
      <c r="P158" s="17">
        <f>HYPERLINK("https://photon-sol.tinyastro.io/en/lp/Bht6wzQdkTVisYx7Ja8THsLDn4wbHSNqhx8ZsEkupump?handle=676050794bc1b1657a56b", "View")</f>
        <v/>
      </c>
    </row>
    <row r="159">
      <c r="A159" s="20" t="inlineStr">
        <is>
          <t>YAD</t>
        </is>
      </c>
      <c r="B159" s="21" t="n">
        <v>510035</v>
      </c>
      <c r="C159" s="21" t="n">
        <v>510035</v>
      </c>
      <c r="D159" s="21" t="inlineStr">
        <is>
          <t>0.008010</t>
        </is>
      </c>
      <c r="E159" s="21" t="inlineStr">
        <is>
          <t>2.000 SOL</t>
        </is>
      </c>
      <c r="F159" s="21" t="inlineStr">
        <is>
          <t>1.568 SOL</t>
        </is>
      </c>
      <c r="G159" s="25" t="inlineStr">
        <is>
          <t>-0.440 SOL</t>
        </is>
      </c>
      <c r="H159" s="25" t="inlineStr">
        <is>
          <t>-21.89%</t>
        </is>
      </c>
      <c r="I159" s="21" t="inlineStr">
        <is>
          <t>N/A</t>
        </is>
      </c>
      <c r="J159" s="21" t="n">
        <v>1</v>
      </c>
      <c r="K159" s="21" t="n">
        <v>1</v>
      </c>
      <c r="L159" s="21" t="inlineStr">
        <is>
          <t>27.10.2024 17:02:14</t>
        </is>
      </c>
      <c r="M159" s="19" t="inlineStr">
        <is>
          <t>55 sec</t>
        </is>
      </c>
      <c r="N159" s="21" t="inlineStr">
        <is>
          <t xml:space="preserve">        675K           530K             4K</t>
        </is>
      </c>
      <c r="O159" s="21" t="inlineStr">
        <is>
          <t>DMUzqxsbRtjnZpzohhruikef1AVT7hb6env4tJQQpump</t>
        </is>
      </c>
      <c r="P159" s="21">
        <f>HYPERLINK("https://dexscreener.com/solana/DMUzqxsbRtjnZpzohhruikef1AVT7hb6env4tJQQpump", "View")</f>
        <v/>
      </c>
    </row>
    <row r="160">
      <c r="A160" s="16" t="inlineStr">
        <is>
          <t>agony</t>
        </is>
      </c>
      <c r="B160" s="17" t="n">
        <v>36912433</v>
      </c>
      <c r="C160" s="17" t="n">
        <v>36912433</v>
      </c>
      <c r="D160" s="17" t="inlineStr">
        <is>
          <t>0.016020</t>
        </is>
      </c>
      <c r="E160" s="17" t="inlineStr">
        <is>
          <t>3.467 SOL</t>
        </is>
      </c>
      <c r="F160" s="17" t="inlineStr">
        <is>
          <t>7.009 SOL</t>
        </is>
      </c>
      <c r="G160" s="24" t="inlineStr">
        <is>
          <t>3.526 SOL</t>
        </is>
      </c>
      <c r="H160" s="24" t="inlineStr">
        <is>
          <t>101.21%</t>
        </is>
      </c>
      <c r="I160" s="17" t="inlineStr">
        <is>
          <t>N/A</t>
        </is>
      </c>
      <c r="J160" s="17" t="n">
        <v>1</v>
      </c>
      <c r="K160" s="17" t="n">
        <v>3</v>
      </c>
      <c r="L160" s="17" t="inlineStr">
        <is>
          <t>27.10.2024 16:46:34</t>
        </is>
      </c>
      <c r="M160" s="17" t="inlineStr">
        <is>
          <t>3 min</t>
        </is>
      </c>
      <c r="N160" s="17" t="inlineStr">
        <is>
          <t xml:space="preserve">         16K            12K             3K</t>
        </is>
      </c>
      <c r="O160" s="17" t="inlineStr">
        <is>
          <t>97LuaoEf538LY7ZXR3QyE7ZXATDHTY9zttCrSaofpump</t>
        </is>
      </c>
      <c r="P160" s="17">
        <f>HYPERLINK("https://photon-sol.tinyastro.io/en/lp/97LuaoEf538LY7ZXR3QyE7ZXATDHTY9zttCrSaofpump?handle=676050794bc1b1657a56b", "View")</f>
        <v/>
      </c>
    </row>
    <row r="161">
      <c r="A161" s="20" t="inlineStr">
        <is>
          <t>CLR</t>
        </is>
      </c>
      <c r="B161" s="21" t="n">
        <v>210760</v>
      </c>
      <c r="C161" s="21" t="n">
        <v>210760</v>
      </c>
      <c r="D161" s="21" t="inlineStr">
        <is>
          <t>0.008010</t>
        </is>
      </c>
      <c r="E161" s="21" t="inlineStr">
        <is>
          <t>0.495 SOL</t>
        </is>
      </c>
      <c r="F161" s="21" t="inlineStr">
        <is>
          <t>0.505 SOL</t>
        </is>
      </c>
      <c r="G161" s="22" t="inlineStr">
        <is>
          <t>0.002 SOL</t>
        </is>
      </c>
      <c r="H161" s="22" t="inlineStr">
        <is>
          <t>0.47%</t>
        </is>
      </c>
      <c r="I161" s="21" t="inlineStr">
        <is>
          <t>N/A</t>
        </is>
      </c>
      <c r="J161" s="21" t="n">
        <v>1</v>
      </c>
      <c r="K161" s="21" t="n">
        <v>1</v>
      </c>
      <c r="L161" s="21" t="inlineStr">
        <is>
          <t>27.10.2024 16:24:25</t>
        </is>
      </c>
      <c r="M161" s="21" t="inlineStr">
        <is>
          <t>1 min</t>
        </is>
      </c>
      <c r="N161" s="21" t="inlineStr">
        <is>
          <t xml:space="preserve">        275K           281K             9K</t>
        </is>
      </c>
      <c r="O161" s="21" t="inlineStr">
        <is>
          <t>CN7t4Xxw2RSzEXpyYaG54fi5gKpdd9NTEw61biUW767y</t>
        </is>
      </c>
      <c r="P161" s="21">
        <f>HYPERLINK("https://dexscreener.com/solana/CN7t4Xxw2RSzEXpyYaG54fi5gKpdd9NTEw61biUW767y", "View")</f>
        <v/>
      </c>
    </row>
    <row r="162">
      <c r="A162" s="16" t="inlineStr">
        <is>
          <t>Void</t>
        </is>
      </c>
      <c r="B162" s="17" t="n">
        <v>30747553</v>
      </c>
      <c r="C162" s="17" t="n">
        <v>30747553</v>
      </c>
      <c r="D162" s="17" t="inlineStr">
        <is>
          <t>0.008010</t>
        </is>
      </c>
      <c r="E162" s="17" t="inlineStr">
        <is>
          <t>2.056 SOL</t>
        </is>
      </c>
      <c r="F162" s="17" t="inlineStr">
        <is>
          <t>5.986 SOL</t>
        </is>
      </c>
      <c r="G162" s="24" t="inlineStr">
        <is>
          <t>3.922 SOL</t>
        </is>
      </c>
      <c r="H162" s="24" t="inlineStr">
        <is>
          <t>190.03%</t>
        </is>
      </c>
      <c r="I162" s="17" t="inlineStr">
        <is>
          <t>N/A</t>
        </is>
      </c>
      <c r="J162" s="17" t="n">
        <v>1</v>
      </c>
      <c r="K162" s="17" t="n">
        <v>1</v>
      </c>
      <c r="L162" s="17" t="inlineStr">
        <is>
          <t>27.10.2024 16:15:41</t>
        </is>
      </c>
      <c r="M162" s="17" t="inlineStr">
        <is>
          <t>3 min</t>
        </is>
      </c>
      <c r="N162" s="17" t="inlineStr">
        <is>
          <t xml:space="preserve">         12K            33K             3K</t>
        </is>
      </c>
      <c r="O162" s="17" t="inlineStr">
        <is>
          <t>Ce1j33dgs1fnuQ9PN5VrvG8Urp1R8rTrXr2y7nQipump</t>
        </is>
      </c>
      <c r="P162" s="17">
        <f>HYPERLINK("https://photon-sol.tinyastro.io/en/lp/Ce1j33dgs1fnuQ9PN5VrvG8Urp1R8rTrXr2y7nQipump?handle=676050794bc1b1657a56b", "View")</f>
        <v/>
      </c>
    </row>
    <row r="163">
      <c r="A163" s="20" t="inlineStr">
        <is>
          <t>NIKO</t>
        </is>
      </c>
      <c r="B163" s="21" t="n">
        <v>9912983</v>
      </c>
      <c r="C163" s="21" t="n">
        <v>9912983</v>
      </c>
      <c r="D163" s="21" t="inlineStr">
        <is>
          <t>0.008010</t>
        </is>
      </c>
      <c r="E163" s="21" t="inlineStr">
        <is>
          <t>0.526 SOL</t>
        </is>
      </c>
      <c r="F163" s="21" t="inlineStr">
        <is>
          <t>0.370 SOL</t>
        </is>
      </c>
      <c r="G163" s="25" t="inlineStr">
        <is>
          <t>-0.164 SOL</t>
        </is>
      </c>
      <c r="H163" s="25" t="inlineStr">
        <is>
          <t>-30.74%</t>
        </is>
      </c>
      <c r="I163" s="21" t="inlineStr">
        <is>
          <t>N/A</t>
        </is>
      </c>
      <c r="J163" s="21" t="n">
        <v>1</v>
      </c>
      <c r="K163" s="21" t="n">
        <v>1</v>
      </c>
      <c r="L163" s="21" t="inlineStr">
        <is>
          <t>27.10.2024 16:10:06</t>
        </is>
      </c>
      <c r="M163" s="19" t="inlineStr">
        <is>
          <t>37 sec</t>
        </is>
      </c>
      <c r="N163" s="21" t="inlineStr">
        <is>
          <t xml:space="preserve">          9K             7K             5K</t>
        </is>
      </c>
      <c r="O163" s="21" t="inlineStr">
        <is>
          <t>2Z7k9knjkZu5vzYB5Zumi6g84vGppbiaNCijWrkypump</t>
        </is>
      </c>
      <c r="P163" s="21">
        <f>HYPERLINK("https://photon-sol.tinyastro.io/en/lp/2Z7k9knjkZu5vzYB5Zumi6g84vGppbiaNCijWrkypump?handle=676050794bc1b1657a56b", "View")</f>
        <v/>
      </c>
    </row>
    <row r="164">
      <c r="A164" s="16" t="inlineStr">
        <is>
          <t>MVP</t>
        </is>
      </c>
      <c r="B164" s="17" t="n">
        <v>97140467</v>
      </c>
      <c r="C164" s="17" t="n">
        <v>97140467</v>
      </c>
      <c r="D164" s="17" t="inlineStr">
        <is>
          <t>0.008010</t>
        </is>
      </c>
      <c r="E164" s="17" t="inlineStr">
        <is>
          <t>3.086 SOL</t>
        </is>
      </c>
      <c r="F164" s="17" t="inlineStr">
        <is>
          <t>2.977 SOL</t>
        </is>
      </c>
      <c r="G164" s="25" t="inlineStr">
        <is>
          <t>-0.117 SOL</t>
        </is>
      </c>
      <c r="H164" s="25" t="inlineStr">
        <is>
          <t>-3.78%</t>
        </is>
      </c>
      <c r="I164" s="17" t="inlineStr">
        <is>
          <t>N/A</t>
        </is>
      </c>
      <c r="J164" s="17" t="n">
        <v>1</v>
      </c>
      <c r="K164" s="17" t="n">
        <v>1</v>
      </c>
      <c r="L164" s="17" t="inlineStr">
        <is>
          <t>27.10.2024 16:04:50</t>
        </is>
      </c>
      <c r="M164" s="19" t="inlineStr">
        <is>
          <t>4 sec</t>
        </is>
      </c>
      <c r="N164" s="17" t="inlineStr">
        <is>
          <t xml:space="preserve">          5K             5K             5K</t>
        </is>
      </c>
      <c r="O164" s="17" t="inlineStr">
        <is>
          <t>EQzR47T2SKz4yfHu1ktzgakrERrMCYxQFL7QcLcmpump</t>
        </is>
      </c>
      <c r="P164" s="17">
        <f>HYPERLINK("https://photon-sol.tinyastro.io/en/lp/EQzR47T2SKz4yfHu1ktzgakrERrMCYxQFL7QcLcmpump?handle=676050794bc1b1657a56b", "View")</f>
        <v/>
      </c>
    </row>
    <row r="165">
      <c r="A165" s="20" t="inlineStr">
        <is>
          <t>DOG</t>
        </is>
      </c>
      <c r="B165" s="21" t="n">
        <v>97545454</v>
      </c>
      <c r="C165" s="21" t="n">
        <v>97545454</v>
      </c>
      <c r="D165" s="21" t="inlineStr">
        <is>
          <t>0.008010</t>
        </is>
      </c>
      <c r="E165" s="21" t="inlineStr">
        <is>
          <t>3.086 SOL</t>
        </is>
      </c>
      <c r="F165" s="21" t="inlineStr">
        <is>
          <t>2.979 SOL</t>
        </is>
      </c>
      <c r="G165" s="25" t="inlineStr">
        <is>
          <t>-0.115 SOL</t>
        </is>
      </c>
      <c r="H165" s="25" t="inlineStr">
        <is>
          <t>-3.72%</t>
        </is>
      </c>
      <c r="I165" s="21" t="inlineStr">
        <is>
          <t>N/A</t>
        </is>
      </c>
      <c r="J165" s="21" t="n">
        <v>1</v>
      </c>
      <c r="K165" s="21" t="n">
        <v>1</v>
      </c>
      <c r="L165" s="21" t="inlineStr">
        <is>
          <t>27.10.2024 16:03:19</t>
        </is>
      </c>
      <c r="M165" s="19" t="inlineStr">
        <is>
          <t>6 sec</t>
        </is>
      </c>
      <c r="N165" s="21" t="inlineStr">
        <is>
          <t xml:space="preserve">          5K             5K             5K</t>
        </is>
      </c>
      <c r="O165" s="21" t="inlineStr">
        <is>
          <t>2DunrzKFdvYBAx43YQHVYFkmDiBoPVBkRx41Z4svpump</t>
        </is>
      </c>
      <c r="P165" s="21">
        <f>HYPERLINK("https://photon-sol.tinyastro.io/en/lp/2DunrzKFdvYBAx43YQHVYFkmDiBoPVBkRx41Z4svpump?handle=676050794bc1b1657a56b", "View")</f>
        <v/>
      </c>
    </row>
    <row r="166">
      <c r="A166" s="16" t="inlineStr">
        <is>
          <t>Supcat</t>
        </is>
      </c>
      <c r="B166" s="17" t="n">
        <v>90486276</v>
      </c>
      <c r="C166" s="17" t="n">
        <v>90486276</v>
      </c>
      <c r="D166" s="17" t="inlineStr">
        <is>
          <t>0.008010</t>
        </is>
      </c>
      <c r="E166" s="17" t="inlineStr">
        <is>
          <t>3.086 SOL</t>
        </is>
      </c>
      <c r="F166" s="17" t="inlineStr">
        <is>
          <t>3.019 SOL</t>
        </is>
      </c>
      <c r="G166" s="25" t="inlineStr">
        <is>
          <t>-0.075 SOL</t>
        </is>
      </c>
      <c r="H166" s="25" t="inlineStr">
        <is>
          <t>-2.44%</t>
        </is>
      </c>
      <c r="I166" s="17" t="inlineStr">
        <is>
          <t>N/A</t>
        </is>
      </c>
      <c r="J166" s="17" t="n">
        <v>1</v>
      </c>
      <c r="K166" s="17" t="n">
        <v>1</v>
      </c>
      <c r="L166" s="17" t="inlineStr">
        <is>
          <t>27.10.2024 16:00:53</t>
        </is>
      </c>
      <c r="M166" s="19" t="inlineStr">
        <is>
          <t>8 sec</t>
        </is>
      </c>
      <c r="N166" s="17" t="inlineStr">
        <is>
          <t xml:space="preserve">          5K             5K             5K</t>
        </is>
      </c>
      <c r="O166" s="17" t="inlineStr">
        <is>
          <t>BieaWssTzTxJwYxpQ7uEfEvKD6NE9chBWzNej3tHpump</t>
        </is>
      </c>
      <c r="P166" s="17">
        <f>HYPERLINK("https://photon-sol.tinyastro.io/en/lp/BieaWssTzTxJwYxpQ7uEfEvKD6NE9chBWzNej3tHpump?handle=676050794bc1b1657a56b", "View")</f>
        <v/>
      </c>
    </row>
    <row r="167">
      <c r="A167" s="20" t="inlineStr">
        <is>
          <t>DEATH</t>
        </is>
      </c>
      <c r="B167" s="21" t="n">
        <v>9834062</v>
      </c>
      <c r="C167" s="21" t="n">
        <v>9834062</v>
      </c>
      <c r="D167" s="21" t="inlineStr">
        <is>
          <t>0.008010</t>
        </is>
      </c>
      <c r="E167" s="21" t="inlineStr">
        <is>
          <t>2.231 SOL</t>
        </is>
      </c>
      <c r="F167" s="21" t="inlineStr">
        <is>
          <t>1.528 SOL</t>
        </is>
      </c>
      <c r="G167" s="25" t="inlineStr">
        <is>
          <t>-0.712 SOL</t>
        </is>
      </c>
      <c r="H167" s="25" t="inlineStr">
        <is>
          <t>-31.78%</t>
        </is>
      </c>
      <c r="I167" s="21" t="inlineStr">
        <is>
          <t>N/A</t>
        </is>
      </c>
      <c r="J167" s="21" t="n">
        <v>1</v>
      </c>
      <c r="K167" s="21" t="n">
        <v>1</v>
      </c>
      <c r="L167" s="21" t="inlineStr">
        <is>
          <t>27.10.2024 15:48:47</t>
        </is>
      </c>
      <c r="M167" s="19" t="inlineStr">
        <is>
          <t>41 sec</t>
        </is>
      </c>
      <c r="N167" s="21" t="inlineStr">
        <is>
          <t xml:space="preserve">         40K            28K             6K</t>
        </is>
      </c>
      <c r="O167" s="21" t="inlineStr">
        <is>
          <t>3SmhwzbSBjJZXLGJtCTypBo7XKCLcYmRw87zEqvXqnRc</t>
        </is>
      </c>
      <c r="P167" s="21">
        <f>HYPERLINK("https://photon-sol.tinyastro.io/en/lp/3SmhwzbSBjJZXLGJtCTypBo7XKCLcYmRw87zEqvXqnRc?handle=676050794bc1b1657a56b", "View")</f>
        <v/>
      </c>
    </row>
    <row r="168">
      <c r="A168" s="16" t="inlineStr">
        <is>
          <t>IamShit</t>
        </is>
      </c>
      <c r="B168" s="17" t="n">
        <v>97441601</v>
      </c>
      <c r="C168" s="17" t="n">
        <v>97441601</v>
      </c>
      <c r="D168" s="17" t="inlineStr">
        <is>
          <t>0.008010</t>
        </is>
      </c>
      <c r="E168" s="17" t="inlineStr">
        <is>
          <t>3.086 SOL</t>
        </is>
      </c>
      <c r="F168" s="17" t="inlineStr">
        <is>
          <t>3.481 SOL</t>
        </is>
      </c>
      <c r="G168" s="22" t="inlineStr">
        <is>
          <t>0.387 SOL</t>
        </is>
      </c>
      <c r="H168" s="22" t="inlineStr">
        <is>
          <t>12.50%</t>
        </is>
      </c>
      <c r="I168" s="17" t="inlineStr">
        <is>
          <t>N/A</t>
        </is>
      </c>
      <c r="J168" s="17" t="n">
        <v>1</v>
      </c>
      <c r="K168" s="17" t="n">
        <v>1</v>
      </c>
      <c r="L168" s="17" t="inlineStr">
        <is>
          <t>27.10.2024 15:38:44</t>
        </is>
      </c>
      <c r="M168" s="19" t="inlineStr">
        <is>
          <t>4 sec</t>
        </is>
      </c>
      <c r="N168" s="17" t="inlineStr">
        <is>
          <t xml:space="preserve">          5K             7K             5K</t>
        </is>
      </c>
      <c r="O168" s="17" t="inlineStr">
        <is>
          <t>8ML6QhQBgjMHyxZUe9wEzQzGRvDp73gxN6yrGwQvpump</t>
        </is>
      </c>
      <c r="P168" s="17">
        <f>HYPERLINK("https://photon-sol.tinyastro.io/en/lp/8ML6QhQBgjMHyxZUe9wEzQzGRvDp73gxN6yrGwQvpump?handle=676050794bc1b1657a56b", "View")</f>
        <v/>
      </c>
    </row>
    <row r="169">
      <c r="A169" s="20" t="inlineStr">
        <is>
          <t>DOTS</t>
        </is>
      </c>
      <c r="B169" s="21" t="n">
        <v>96305051</v>
      </c>
      <c r="C169" s="21" t="n">
        <v>96305051</v>
      </c>
      <c r="D169" s="21" t="inlineStr">
        <is>
          <t>0.008010</t>
        </is>
      </c>
      <c r="E169" s="21" t="inlineStr">
        <is>
          <t>3.086 SOL</t>
        </is>
      </c>
      <c r="F169" s="21" t="inlineStr">
        <is>
          <t>4.358 SOL</t>
        </is>
      </c>
      <c r="G169" s="22" t="inlineStr">
        <is>
          <t>1.264 SOL</t>
        </is>
      </c>
      <c r="H169" s="22" t="inlineStr">
        <is>
          <t>40.84%</t>
        </is>
      </c>
      <c r="I169" s="21" t="inlineStr">
        <is>
          <t>N/A</t>
        </is>
      </c>
      <c r="J169" s="21" t="n">
        <v>1</v>
      </c>
      <c r="K169" s="21" t="n">
        <v>1</v>
      </c>
      <c r="L169" s="21" t="inlineStr">
        <is>
          <t>27.10.2024 15:34:38</t>
        </is>
      </c>
      <c r="M169" s="19" t="inlineStr">
        <is>
          <t>9 sec</t>
        </is>
      </c>
      <c r="N169" s="21" t="inlineStr">
        <is>
          <t xml:space="preserve">          5K             9K             5K</t>
        </is>
      </c>
      <c r="O169" s="21" t="inlineStr">
        <is>
          <t>BeeLiMyZFyURGNC1sx6Z1Jx1ZU2nrTpsY9kdFXZjpump</t>
        </is>
      </c>
      <c r="P169" s="21">
        <f>HYPERLINK("https://photon-sol.tinyastro.io/en/lp/BeeLiMyZFyURGNC1sx6Z1Jx1ZU2nrTpsY9kdFXZjpump?handle=676050794bc1b1657a56b", "View")</f>
        <v/>
      </c>
    </row>
    <row r="170">
      <c r="A170" s="16" t="inlineStr">
        <is>
          <t>AICCA</t>
        </is>
      </c>
      <c r="B170" s="17" t="n">
        <v>11425420</v>
      </c>
      <c r="C170" s="17" t="n">
        <v>11425420</v>
      </c>
      <c r="D170" s="17" t="inlineStr">
        <is>
          <t>0.008010</t>
        </is>
      </c>
      <c r="E170" s="17" t="inlineStr">
        <is>
          <t>1.046 SOL</t>
        </is>
      </c>
      <c r="F170" s="17" t="inlineStr">
        <is>
          <t>1.986 SOL</t>
        </is>
      </c>
      <c r="G170" s="24" t="inlineStr">
        <is>
          <t>0.931 SOL</t>
        </is>
      </c>
      <c r="H170" s="24" t="inlineStr">
        <is>
          <t>88.37%</t>
        </is>
      </c>
      <c r="I170" s="17" t="inlineStr">
        <is>
          <t>N/A</t>
        </is>
      </c>
      <c r="J170" s="17" t="n">
        <v>1</v>
      </c>
      <c r="K170" s="17" t="n">
        <v>1</v>
      </c>
      <c r="L170" s="17" t="inlineStr">
        <is>
          <t>27.10.2024 15:00:48</t>
        </is>
      </c>
      <c r="M170" s="19" t="inlineStr">
        <is>
          <t>16 sec</t>
        </is>
      </c>
      <c r="N170" s="17" t="inlineStr">
        <is>
          <t xml:space="preserve">         16K            30K             5K</t>
        </is>
      </c>
      <c r="O170" s="17" t="inlineStr">
        <is>
          <t>5jLUQde4APc7Nz9GxGCAL8ndS4isH5XmADySLdb7pump</t>
        </is>
      </c>
      <c r="P170" s="17">
        <f>HYPERLINK("https://photon-sol.tinyastro.io/en/lp/5jLUQde4APc7Nz9GxGCAL8ndS4isH5XmADySLdb7pump?handle=676050794bc1b1657a56b", "View")</f>
        <v/>
      </c>
    </row>
    <row r="171">
      <c r="A171" s="20" t="inlineStr">
        <is>
          <t>Leonardo</t>
        </is>
      </c>
      <c r="B171" s="21" t="n">
        <v>15279313</v>
      </c>
      <c r="C171" s="21" t="n">
        <v>15279313</v>
      </c>
      <c r="D171" s="21" t="inlineStr">
        <is>
          <t>0.008010</t>
        </is>
      </c>
      <c r="E171" s="21" t="inlineStr">
        <is>
          <t>1.032 SOL</t>
        </is>
      </c>
      <c r="F171" s="21" t="inlineStr">
        <is>
          <t>0.622 SOL</t>
        </is>
      </c>
      <c r="G171" s="25" t="inlineStr">
        <is>
          <t>-0.419 SOL</t>
        </is>
      </c>
      <c r="H171" s="25" t="inlineStr">
        <is>
          <t>-40.25%</t>
        </is>
      </c>
      <c r="I171" s="21" t="inlineStr">
        <is>
          <t>N/A</t>
        </is>
      </c>
      <c r="J171" s="21" t="n">
        <v>1</v>
      </c>
      <c r="K171" s="21" t="n">
        <v>1</v>
      </c>
      <c r="L171" s="21" t="inlineStr">
        <is>
          <t>27.10.2024 14:58:16</t>
        </is>
      </c>
      <c r="M171" s="21" t="inlineStr">
        <is>
          <t>3 min</t>
        </is>
      </c>
      <c r="N171" s="21" t="inlineStr">
        <is>
          <t xml:space="preserve">         12K             7K             5K</t>
        </is>
      </c>
      <c r="O171" s="21" t="inlineStr">
        <is>
          <t>4kHY4VH4i5ymMHSgt6BpuyeNXx7MzNeq7oZY695tpump</t>
        </is>
      </c>
      <c r="P171" s="21">
        <f>HYPERLINK("https://photon-sol.tinyastro.io/en/lp/4kHY4VH4i5ymMHSgt6BpuyeNXx7MzNeq7oZY695tpump?handle=676050794bc1b1657a56b", "View")</f>
        <v/>
      </c>
    </row>
    <row r="172">
      <c r="A172" s="16" t="inlineStr">
        <is>
          <t>aibnb</t>
        </is>
      </c>
      <c r="B172" s="17" t="n">
        <v>1745236</v>
      </c>
      <c r="C172" s="17" t="n">
        <v>1745236</v>
      </c>
      <c r="D172" s="17" t="inlineStr">
        <is>
          <t>0.008010</t>
        </is>
      </c>
      <c r="E172" s="17" t="inlineStr">
        <is>
          <t>2.000 SOL</t>
        </is>
      </c>
      <c r="F172" s="17" t="inlineStr">
        <is>
          <t>2.675 SOL</t>
        </is>
      </c>
      <c r="G172" s="22" t="inlineStr">
        <is>
          <t>0.667 SOL</t>
        </is>
      </c>
      <c r="H172" s="22" t="inlineStr">
        <is>
          <t>33.20%</t>
        </is>
      </c>
      <c r="I172" s="17" t="inlineStr">
        <is>
          <t>N/A</t>
        </is>
      </c>
      <c r="J172" s="17" t="n">
        <v>1</v>
      </c>
      <c r="K172" s="17" t="n">
        <v>1</v>
      </c>
      <c r="L172" s="17" t="inlineStr">
        <is>
          <t>27.10.2024 14:51:23</t>
        </is>
      </c>
      <c r="M172" s="19" t="inlineStr">
        <is>
          <t>34 sec</t>
        </is>
      </c>
      <c r="N172" s="17" t="inlineStr">
        <is>
          <t xml:space="preserve">        202K           269K             7K</t>
        </is>
      </c>
      <c r="O172" s="17" t="inlineStr">
        <is>
          <t>878WGwJXoRAfuZcWv1fQD2iuo2Phvy8VJFkenDgbpump</t>
        </is>
      </c>
      <c r="P172" s="17">
        <f>HYPERLINK("https://dexscreener.com/solana/878WGwJXoRAfuZcWv1fQD2iuo2Phvy8VJFkenDgbpump", "View")</f>
        <v/>
      </c>
    </row>
    <row r="173">
      <c r="A173" s="20" t="inlineStr">
        <is>
          <t>JIMMY</t>
        </is>
      </c>
      <c r="B173" s="21" t="n">
        <v>52598039</v>
      </c>
      <c r="C173" s="21" t="n">
        <v>52598039</v>
      </c>
      <c r="D173" s="21" t="inlineStr">
        <is>
          <t>0.008010</t>
        </is>
      </c>
      <c r="E173" s="21" t="inlineStr">
        <is>
          <t>2.076 SOL</t>
        </is>
      </c>
      <c r="F173" s="21" t="inlineStr">
        <is>
          <t>2.218 SOL</t>
        </is>
      </c>
      <c r="G173" s="22" t="inlineStr">
        <is>
          <t>0.134 SOL</t>
        </is>
      </c>
      <c r="H173" s="22" t="inlineStr">
        <is>
          <t>6.44%</t>
        </is>
      </c>
      <c r="I173" s="21" t="inlineStr">
        <is>
          <t>N/A</t>
        </is>
      </c>
      <c r="J173" s="21" t="n">
        <v>1</v>
      </c>
      <c r="K173" s="21" t="n">
        <v>1</v>
      </c>
      <c r="L173" s="21" t="inlineStr">
        <is>
          <t>27.10.2024 14:03:45</t>
        </is>
      </c>
      <c r="M173" s="21" t="inlineStr">
        <is>
          <t>1 min</t>
        </is>
      </c>
      <c r="N173" s="21" t="inlineStr">
        <is>
          <t xml:space="preserve">          7K             7K             5K</t>
        </is>
      </c>
      <c r="O173" s="21" t="inlineStr">
        <is>
          <t>2DkMwcrHFe6gavhNmuCmvmNQySPxnnzgukrx79SQpump</t>
        </is>
      </c>
      <c r="P173" s="21">
        <f>HYPERLINK("https://photon-sol.tinyastro.io/en/lp/2DkMwcrHFe6gavhNmuCmvmNQySPxnnzgukrx79SQpump?handle=676050794bc1b1657a56b", "View")</f>
        <v/>
      </c>
    </row>
    <row r="174">
      <c r="A174" s="16" t="inlineStr">
        <is>
          <t>Sund</t>
        </is>
      </c>
      <c r="B174" s="17" t="n">
        <v>55003883</v>
      </c>
      <c r="C174" s="17" t="n">
        <v>55003883</v>
      </c>
      <c r="D174" s="17" t="inlineStr">
        <is>
          <t>0.068090</t>
        </is>
      </c>
      <c r="E174" s="17" t="inlineStr">
        <is>
          <t>2.942 SOL</t>
        </is>
      </c>
      <c r="F174" s="17" t="inlineStr">
        <is>
          <t>25.078 SOL</t>
        </is>
      </c>
      <c r="G174" s="24" t="inlineStr">
        <is>
          <t>22.068 SOL</t>
        </is>
      </c>
      <c r="H174" s="24" t="inlineStr">
        <is>
          <t>733.06%</t>
        </is>
      </c>
      <c r="I174" s="17" t="inlineStr">
        <is>
          <t>N/A</t>
        </is>
      </c>
      <c r="J174" s="17" t="n">
        <v>1</v>
      </c>
      <c r="K174" s="17" t="n">
        <v>16</v>
      </c>
      <c r="L174" s="17" t="inlineStr">
        <is>
          <t>27.10.2024 13:49:56</t>
        </is>
      </c>
      <c r="M174" s="17" t="inlineStr">
        <is>
          <t>29 min</t>
        </is>
      </c>
      <c r="N174" s="17" t="inlineStr">
        <is>
          <t xml:space="preserve">          9K           156K             6K</t>
        </is>
      </c>
      <c r="O174" s="17" t="inlineStr">
        <is>
          <t>66b8mPygotxasiWXba7eFSaMXd77g8HaB2yk4F7spump</t>
        </is>
      </c>
      <c r="P174" s="17">
        <f>HYPERLINK("https://photon-sol.tinyastro.io/en/lp/66b8mPygotxasiWXba7eFSaMXd77g8HaB2yk4F7spump?handle=676050794bc1b1657a56b", "View")</f>
        <v/>
      </c>
    </row>
    <row r="175">
      <c r="A175" s="20" t="inlineStr">
        <is>
          <t>wdmp</t>
        </is>
      </c>
      <c r="B175" s="21" t="n">
        <v>1881756</v>
      </c>
      <c r="C175" s="21" t="n">
        <v>1881756</v>
      </c>
      <c r="D175" s="21" t="inlineStr">
        <is>
          <t>0.008010</t>
        </is>
      </c>
      <c r="E175" s="21" t="inlineStr">
        <is>
          <t>0.538 SOL</t>
        </is>
      </c>
      <c r="F175" s="21" t="inlineStr">
        <is>
          <t>0.661 SOL</t>
        </is>
      </c>
      <c r="G175" s="22" t="inlineStr">
        <is>
          <t>0.115 SOL</t>
        </is>
      </c>
      <c r="H175" s="22" t="inlineStr">
        <is>
          <t>21.11%</t>
        </is>
      </c>
      <c r="I175" s="21" t="inlineStr">
        <is>
          <t>N/A</t>
        </is>
      </c>
      <c r="J175" s="21" t="n">
        <v>1</v>
      </c>
      <c r="K175" s="21" t="n">
        <v>1</v>
      </c>
      <c r="L175" s="21" t="inlineStr">
        <is>
          <t>27.10.2024 13:42:48</t>
        </is>
      </c>
      <c r="M175" s="21" t="inlineStr">
        <is>
          <t>6 min</t>
        </is>
      </c>
      <c r="N175" s="21" t="inlineStr">
        <is>
          <t xml:space="preserve">         51K            51K             8K</t>
        </is>
      </c>
      <c r="O175" s="21" t="inlineStr">
        <is>
          <t>4NxnhKViNC3wJEdkWr4venJykFErjjUimbkEKCRopump</t>
        </is>
      </c>
      <c r="P175" s="21">
        <f>HYPERLINK("https://photon-sol.tinyastro.io/en/lp/4NxnhKViNC3wJEdkWr4venJykFErjjUimbkEKCRopump?handle=676050794bc1b1657a56b", "View")</f>
        <v/>
      </c>
    </row>
    <row r="176">
      <c r="A176" s="16" t="inlineStr">
        <is>
          <t>tormius</t>
        </is>
      </c>
      <c r="B176" s="17" t="n">
        <v>54530768</v>
      </c>
      <c r="C176" s="17" t="n">
        <v>54530768</v>
      </c>
      <c r="D176" s="17" t="inlineStr">
        <is>
          <t>0.008010</t>
        </is>
      </c>
      <c r="E176" s="17" t="inlineStr">
        <is>
          <t>1.691 SOL</t>
        </is>
      </c>
      <c r="F176" s="17" t="inlineStr">
        <is>
          <t>2.787 SOL</t>
        </is>
      </c>
      <c r="G176" s="24" t="inlineStr">
        <is>
          <t>1.088 SOL</t>
        </is>
      </c>
      <c r="H176" s="24" t="inlineStr">
        <is>
          <t>64.03%</t>
        </is>
      </c>
      <c r="I176" s="17" t="inlineStr">
        <is>
          <t>N/A</t>
        </is>
      </c>
      <c r="J176" s="17" t="n">
        <v>1</v>
      </c>
      <c r="K176" s="17" t="n">
        <v>1</v>
      </c>
      <c r="L176" s="17" t="inlineStr">
        <is>
          <t>27.10.2024 13:04:30</t>
        </is>
      </c>
      <c r="M176" s="17" t="inlineStr">
        <is>
          <t>1 min</t>
        </is>
      </c>
      <c r="N176" s="17" t="inlineStr">
        <is>
          <t xml:space="preserve">          5K             9K             5K</t>
        </is>
      </c>
      <c r="O176" s="17" t="inlineStr">
        <is>
          <t>Wp55cYL6TrYpvuWUd2niQo9xPNXMzbtLZmtpsunpump</t>
        </is>
      </c>
      <c r="P176" s="17">
        <f>HYPERLINK("https://photon-sol.tinyastro.io/en/lp/Wp55cYL6TrYpvuWUd2niQo9xPNXMzbtLZmtpsunpump?handle=676050794bc1b1657a56b", "View")</f>
        <v/>
      </c>
    </row>
    <row r="177">
      <c r="A177" s="20" t="inlineStr">
        <is>
          <t xml:space="preserve">Popcraft </t>
        </is>
      </c>
      <c r="B177" s="21" t="n">
        <v>65104195</v>
      </c>
      <c r="C177" s="21" t="n">
        <v>65104195</v>
      </c>
      <c r="D177" s="21" t="inlineStr">
        <is>
          <t>0.008010</t>
        </is>
      </c>
      <c r="E177" s="21" t="inlineStr">
        <is>
          <t>2.056 SOL</t>
        </is>
      </c>
      <c r="F177" s="21" t="inlineStr">
        <is>
          <t>2.748 SOL</t>
        </is>
      </c>
      <c r="G177" s="22" t="inlineStr">
        <is>
          <t>0.684 SOL</t>
        </is>
      </c>
      <c r="H177" s="22" t="inlineStr">
        <is>
          <t>33.14%</t>
        </is>
      </c>
      <c r="I177" s="21" t="inlineStr">
        <is>
          <t>N/A</t>
        </is>
      </c>
      <c r="J177" s="21" t="n">
        <v>1</v>
      </c>
      <c r="K177" s="21" t="n">
        <v>1</v>
      </c>
      <c r="L177" s="21" t="inlineStr">
        <is>
          <t>27.10.2024 12:52:55</t>
        </is>
      </c>
      <c r="M177" s="19" t="inlineStr">
        <is>
          <t>11 sec</t>
        </is>
      </c>
      <c r="N177" s="21" t="inlineStr">
        <is>
          <t xml:space="preserve">          5K             7K             5K</t>
        </is>
      </c>
      <c r="O177" s="21" t="inlineStr">
        <is>
          <t>7teytBJnYn4qBPLTucUNKgXTJDUy9qgeVKpz3L3Bpump</t>
        </is>
      </c>
      <c r="P177" s="21">
        <f>HYPERLINK("https://photon-sol.tinyastro.io/en/lp/7teytBJnYn4qBPLTucUNKgXTJDUy9qgeVKpz3L3Bpump?handle=676050794bc1b1657a56b", "View")</f>
        <v/>
      </c>
    </row>
    <row r="178">
      <c r="A178" s="16" t="inlineStr">
        <is>
          <t>AxC</t>
        </is>
      </c>
      <c r="B178" s="17" t="n">
        <v>25105537</v>
      </c>
      <c r="C178" s="17" t="n">
        <v>25105537</v>
      </c>
      <c r="D178" s="17" t="inlineStr">
        <is>
          <t>0.020030</t>
        </is>
      </c>
      <c r="E178" s="17" t="inlineStr">
        <is>
          <t>1.036 SOL</t>
        </is>
      </c>
      <c r="F178" s="17" t="inlineStr">
        <is>
          <t>3.301 SOL</t>
        </is>
      </c>
      <c r="G178" s="24" t="inlineStr">
        <is>
          <t>2.245 SOL</t>
        </is>
      </c>
      <c r="H178" s="24" t="inlineStr">
        <is>
          <t>212.54%</t>
        </is>
      </c>
      <c r="I178" s="17" t="inlineStr">
        <is>
          <t>N/A</t>
        </is>
      </c>
      <c r="J178" s="17" t="n">
        <v>1</v>
      </c>
      <c r="K178" s="17" t="n">
        <v>4</v>
      </c>
      <c r="L178" s="17" t="inlineStr">
        <is>
          <t>27.10.2024 11:55:39</t>
        </is>
      </c>
      <c r="M178" s="17" t="inlineStr">
        <is>
          <t>13 min</t>
        </is>
      </c>
      <c r="N178" s="17" t="inlineStr">
        <is>
          <t xml:space="preserve">          7K            21K             5K</t>
        </is>
      </c>
      <c r="O178" s="17" t="inlineStr">
        <is>
          <t>EgVm5kaF7hn6U8g2gdWrg3hz74LdytvkEHdHwg8fpump</t>
        </is>
      </c>
      <c r="P178" s="17">
        <f>HYPERLINK("https://photon-sol.tinyastro.io/en/lp/EgVm5kaF7hn6U8g2gdWrg3hz74LdytvkEHdHwg8fpump?handle=676050794bc1b1657a56b", "View")</f>
        <v/>
      </c>
    </row>
    <row r="179">
      <c r="A179" s="20" t="inlineStr">
        <is>
          <t>toad</t>
        </is>
      </c>
      <c r="B179" s="21" t="n">
        <v>24565988</v>
      </c>
      <c r="C179" s="21" t="n">
        <v>24565988</v>
      </c>
      <c r="D179" s="21" t="inlineStr">
        <is>
          <t>0.028040</t>
        </is>
      </c>
      <c r="E179" s="21" t="inlineStr">
        <is>
          <t>5.044 SOL</t>
        </is>
      </c>
      <c r="F179" s="21" t="inlineStr">
        <is>
          <t>6.036 SOL</t>
        </is>
      </c>
      <c r="G179" s="22" t="inlineStr">
        <is>
          <t>0.964 SOL</t>
        </is>
      </c>
      <c r="H179" s="22" t="inlineStr">
        <is>
          <t>19.00%</t>
        </is>
      </c>
      <c r="I179" s="21" t="inlineStr">
        <is>
          <t>N/A</t>
        </is>
      </c>
      <c r="J179" s="21" t="n">
        <v>4</v>
      </c>
      <c r="K179" s="21" t="n">
        <v>3</v>
      </c>
      <c r="L179" s="21" t="inlineStr">
        <is>
          <t>27.10.2024 11:27:43</t>
        </is>
      </c>
      <c r="M179" s="21" t="inlineStr">
        <is>
          <t>12 min</t>
        </is>
      </c>
      <c r="N179" s="21" t="inlineStr">
        <is>
          <t xml:space="preserve">         25K            46K             4K</t>
        </is>
      </c>
      <c r="O179" s="21" t="inlineStr">
        <is>
          <t>BCzmHhheuzURCDKpWKWTzMFC7y76EzyJrA1C3oXNpump</t>
        </is>
      </c>
      <c r="P179" s="21">
        <f>HYPERLINK("https://photon-sol.tinyastro.io/en/lp/BCzmHhheuzURCDKpWKWTzMFC7y76EzyJrA1C3oXNpump?handle=676050794bc1b1657a56b", "View")</f>
        <v/>
      </c>
    </row>
    <row r="180">
      <c r="A180" s="16" t="inlineStr">
        <is>
          <t xml:space="preserve">Melody </t>
        </is>
      </c>
      <c r="B180" s="17" t="n">
        <v>65836292</v>
      </c>
      <c r="C180" s="17" t="n">
        <v>65836292</v>
      </c>
      <c r="D180" s="17" t="inlineStr">
        <is>
          <t>0.008010</t>
        </is>
      </c>
      <c r="E180" s="17" t="inlineStr">
        <is>
          <t>2.051 SOL</t>
        </is>
      </c>
      <c r="F180" s="17" t="inlineStr">
        <is>
          <t>2.622 SOL</t>
        </is>
      </c>
      <c r="G180" s="22" t="inlineStr">
        <is>
          <t>0.563 SOL</t>
        </is>
      </c>
      <c r="H180" s="22" t="inlineStr">
        <is>
          <t>27.34%</t>
        </is>
      </c>
      <c r="I180" s="17" t="inlineStr">
        <is>
          <t>N/A</t>
        </is>
      </c>
      <c r="J180" s="17" t="n">
        <v>1</v>
      </c>
      <c r="K180" s="17" t="n">
        <v>1</v>
      </c>
      <c r="L180" s="17" t="inlineStr">
        <is>
          <t>27.10.2024 10:37:12</t>
        </is>
      </c>
      <c r="M180" s="17" t="inlineStr">
        <is>
          <t>7 min</t>
        </is>
      </c>
      <c r="N180" s="17" t="inlineStr">
        <is>
          <t xml:space="preserve">          5K             7K             5K</t>
        </is>
      </c>
      <c r="O180" s="17" t="inlineStr">
        <is>
          <t>FVPJjijNN3uCVUs8KtEVpfYnJfHxKweqv4xLfY6dpump</t>
        </is>
      </c>
      <c r="P180" s="17">
        <f>HYPERLINK("https://photon-sol.tinyastro.io/en/lp/FVPJjijNN3uCVUs8KtEVpfYnJfHxKweqv4xLfY6dpump?handle=676050794bc1b1657a56b", "View")</f>
        <v/>
      </c>
    </row>
    <row r="181">
      <c r="A181" s="20" t="inlineStr">
        <is>
          <t>tom</t>
        </is>
      </c>
      <c r="B181" s="21" t="n">
        <v>34659530</v>
      </c>
      <c r="C181" s="21" t="n">
        <v>34659530</v>
      </c>
      <c r="D181" s="21" t="inlineStr">
        <is>
          <t>0.008010</t>
        </is>
      </c>
      <c r="E181" s="21" t="inlineStr">
        <is>
          <t>1.724 SOL</t>
        </is>
      </c>
      <c r="F181" s="21" t="inlineStr">
        <is>
          <t>1.180 SOL</t>
        </is>
      </c>
      <c r="G181" s="25" t="inlineStr">
        <is>
          <t>-0.552 SOL</t>
        </is>
      </c>
      <c r="H181" s="25" t="inlineStr">
        <is>
          <t>-31.87%</t>
        </is>
      </c>
      <c r="I181" s="21" t="inlineStr">
        <is>
          <t>N/A</t>
        </is>
      </c>
      <c r="J181" s="21" t="n">
        <v>1</v>
      </c>
      <c r="K181" s="21" t="n">
        <v>1</v>
      </c>
      <c r="L181" s="21" t="inlineStr">
        <is>
          <t>27.10.2024 10:16:30</t>
        </is>
      </c>
      <c r="M181" s="19" t="inlineStr">
        <is>
          <t>38 sec</t>
        </is>
      </c>
      <c r="N181" s="21" t="inlineStr">
        <is>
          <t xml:space="preserve">          9K             5K             5K</t>
        </is>
      </c>
      <c r="O181" s="21" t="inlineStr">
        <is>
          <t>HkKrEce9yhtpbgsVSwrvYHM4xUgL1y1JR7cAZVF4pump</t>
        </is>
      </c>
      <c r="P181" s="21">
        <f>HYPERLINK("https://photon-sol.tinyastro.io/en/lp/HkKrEce9yhtpbgsVSwrvYHM4xUgL1y1JR7cAZVF4pump?handle=676050794bc1b1657a56b", "View")</f>
        <v/>
      </c>
    </row>
    <row r="182">
      <c r="A182" s="16" t="inlineStr">
        <is>
          <t>BUT</t>
        </is>
      </c>
      <c r="B182" s="17" t="n">
        <v>69737482</v>
      </c>
      <c r="C182" s="17" t="n">
        <v>69737482</v>
      </c>
      <c r="D182" s="17" t="inlineStr">
        <is>
          <t>0.048060</t>
        </is>
      </c>
      <c r="E182" s="17" t="inlineStr">
        <is>
          <t>3.071 SOL</t>
        </is>
      </c>
      <c r="F182" s="17" t="inlineStr">
        <is>
          <t>7.738 SOL</t>
        </is>
      </c>
      <c r="G182" s="24" t="inlineStr">
        <is>
          <t>4.619 SOL</t>
        </is>
      </c>
      <c r="H182" s="24" t="inlineStr">
        <is>
          <t>148.09%</t>
        </is>
      </c>
      <c r="I182" s="17" t="inlineStr">
        <is>
          <t>N/A</t>
        </is>
      </c>
      <c r="J182" s="17" t="n">
        <v>1</v>
      </c>
      <c r="K182" s="17" t="n">
        <v>11</v>
      </c>
      <c r="L182" s="17" t="inlineStr">
        <is>
          <t>27.10.2024 09:30:20</t>
        </is>
      </c>
      <c r="M182" s="17" t="inlineStr">
        <is>
          <t>42 min</t>
        </is>
      </c>
      <c r="N182" s="17" t="inlineStr">
        <is>
          <t xml:space="preserve">          7K            26K             5K</t>
        </is>
      </c>
      <c r="O182" s="17" t="inlineStr">
        <is>
          <t>3CzP7hBfMzuvJWDgegfiYrsKnVc4UCLKP1pxHRCTpump</t>
        </is>
      </c>
      <c r="P182" s="17">
        <f>HYPERLINK("https://photon-sol.tinyastro.io/en/lp/3CzP7hBfMzuvJWDgegfiYrsKnVc4UCLKP1pxHRCTpump?handle=676050794bc1b1657a56b", "View")</f>
        <v/>
      </c>
    </row>
    <row r="183">
      <c r="A183" s="20" t="inlineStr">
        <is>
          <t>MOO DENG</t>
        </is>
      </c>
      <c r="B183" s="21" t="n">
        <v>67062500</v>
      </c>
      <c r="C183" s="21" t="n">
        <v>67062500</v>
      </c>
      <c r="D183" s="21" t="inlineStr">
        <is>
          <t>0.060080</t>
        </is>
      </c>
      <c r="E183" s="21" t="inlineStr">
        <is>
          <t>2.051 SOL</t>
        </is>
      </c>
      <c r="F183" s="21" t="inlineStr">
        <is>
          <t>13.821 SOL</t>
        </is>
      </c>
      <c r="G183" s="24" t="inlineStr">
        <is>
          <t>11.709 SOL</t>
        </is>
      </c>
      <c r="H183" s="24" t="inlineStr">
        <is>
          <t>554.65%</t>
        </is>
      </c>
      <c r="I183" s="21" t="inlineStr">
        <is>
          <t>N/A</t>
        </is>
      </c>
      <c r="J183" s="21" t="n">
        <v>1</v>
      </c>
      <c r="K183" s="21" t="n">
        <v>14</v>
      </c>
      <c r="L183" s="21" t="inlineStr">
        <is>
          <t>27.10.2024 07:42:05</t>
        </is>
      </c>
      <c r="M183" s="21" t="inlineStr">
        <is>
          <t>12 hours</t>
        </is>
      </c>
      <c r="N183" s="21" t="inlineStr">
        <is>
          <t xml:space="preserve">          5K            28K             5K</t>
        </is>
      </c>
      <c r="O183" s="21" t="inlineStr">
        <is>
          <t>5qCdjGQx6HCdfHTB16WvGw48LyJtY8Fx39p1a5dupump</t>
        </is>
      </c>
      <c r="P183" s="21">
        <f>HYPERLINK("https://photon-sol.tinyastro.io/en/lp/5qCdjGQx6HCdfHTB16WvGw48LyJtY8Fx39p1a5dupump?handle=676050794bc1b1657a56b", "View")</f>
        <v/>
      </c>
    </row>
    <row r="184">
      <c r="A184" s="16" t="inlineStr">
        <is>
          <t>moon cat</t>
        </is>
      </c>
      <c r="B184" s="17" t="n">
        <v>97510807</v>
      </c>
      <c r="C184" s="17" t="n">
        <v>97510807</v>
      </c>
      <c r="D184" s="17" t="inlineStr">
        <is>
          <t>0.008010</t>
        </is>
      </c>
      <c r="E184" s="17" t="inlineStr">
        <is>
          <t>3.076 SOL</t>
        </is>
      </c>
      <c r="F184" s="17" t="inlineStr">
        <is>
          <t>2.932 SOL</t>
        </is>
      </c>
      <c r="G184" s="25" t="inlineStr">
        <is>
          <t>-0.152 SOL</t>
        </is>
      </c>
      <c r="H184" s="25" t="inlineStr">
        <is>
          <t>-4.94%</t>
        </is>
      </c>
      <c r="I184" s="17" t="inlineStr">
        <is>
          <t>N/A</t>
        </is>
      </c>
      <c r="J184" s="17" t="n">
        <v>1</v>
      </c>
      <c r="K184" s="17" t="n">
        <v>1</v>
      </c>
      <c r="L184" s="17" t="inlineStr">
        <is>
          <t>27.10.2024 03:50:02</t>
        </is>
      </c>
      <c r="M184" s="17" t="inlineStr">
        <is>
          <t>1 min</t>
        </is>
      </c>
      <c r="N184" s="17" t="inlineStr">
        <is>
          <t xml:space="preserve">          5K             5K             5K</t>
        </is>
      </c>
      <c r="O184" s="17" t="inlineStr">
        <is>
          <t>MLMVmxHZXVvx7WrMzQzjXTB8LG9NX7itwhVmdJspump</t>
        </is>
      </c>
      <c r="P184" s="17">
        <f>HYPERLINK("https://photon-sol.tinyastro.io/en/lp/MLMVmxHZXVvx7WrMzQzjXTB8LG9NX7itwhVmdJspump?handle=676050794bc1b1657a56b", "View")</f>
        <v/>
      </c>
    </row>
    <row r="185">
      <c r="A185" s="20" t="inlineStr">
        <is>
          <t>miki</t>
        </is>
      </c>
      <c r="B185" s="21" t="n">
        <v>145134528</v>
      </c>
      <c r="C185" s="21" t="n">
        <v>145134528</v>
      </c>
      <c r="D185" s="21" t="inlineStr">
        <is>
          <t>0.016020</t>
        </is>
      </c>
      <c r="E185" s="21" t="inlineStr">
        <is>
          <t>4.986 SOL</t>
        </is>
      </c>
      <c r="F185" s="21" t="inlineStr">
        <is>
          <t>6.150 SOL</t>
        </is>
      </c>
      <c r="G185" s="22" t="inlineStr">
        <is>
          <t>1.148 SOL</t>
        </is>
      </c>
      <c r="H185" s="22" t="inlineStr">
        <is>
          <t>22.95%</t>
        </is>
      </c>
      <c r="I185" s="21" t="inlineStr">
        <is>
          <t>N/A</t>
        </is>
      </c>
      <c r="J185" s="21" t="n">
        <v>2</v>
      </c>
      <c r="K185" s="21" t="n">
        <v>2</v>
      </c>
      <c r="L185" s="21" t="inlineStr">
        <is>
          <t>27.10.2024 03:44:08</t>
        </is>
      </c>
      <c r="M185" s="21" t="inlineStr">
        <is>
          <t>1 min</t>
        </is>
      </c>
      <c r="N185" s="21" t="inlineStr">
        <is>
          <t xml:space="preserve">          5K             7K             5K</t>
        </is>
      </c>
      <c r="O185" s="21" t="inlineStr">
        <is>
          <t>AwLSn8qnNumKRWBAxjAVdUXYWAmmubFQDd9BkKYRpump</t>
        </is>
      </c>
      <c r="P185" s="21">
        <f>HYPERLINK("https://photon-sol.tinyastro.io/en/lp/AwLSn8qnNumKRWBAxjAVdUXYWAmmubFQDd9BkKYRpump?handle=676050794bc1b1657a56b", "View")</f>
        <v/>
      </c>
    </row>
    <row r="186">
      <c r="A186" s="16" t="inlineStr">
        <is>
          <t>BLOAT</t>
        </is>
      </c>
      <c r="B186" s="17" t="n">
        <v>89146157</v>
      </c>
      <c r="C186" s="17" t="n">
        <v>89146157</v>
      </c>
      <c r="D186" s="17" t="inlineStr">
        <is>
          <t>0.008010</t>
        </is>
      </c>
      <c r="E186" s="17" t="inlineStr">
        <is>
          <t>2.000 SOL</t>
        </is>
      </c>
      <c r="F186" s="17" t="inlineStr">
        <is>
          <t>2.562 SOL</t>
        </is>
      </c>
      <c r="G186" s="22" t="inlineStr">
        <is>
          <t>0.554 SOL</t>
        </is>
      </c>
      <c r="H186" s="22" t="inlineStr">
        <is>
          <t>27.58%</t>
        </is>
      </c>
      <c r="I186" s="17" t="inlineStr">
        <is>
          <t>N/A</t>
        </is>
      </c>
      <c r="J186" s="17" t="n">
        <v>1</v>
      </c>
      <c r="K186" s="17" t="n">
        <v>1</v>
      </c>
      <c r="L186" s="17" t="inlineStr">
        <is>
          <t>27.10.2024 03:38:33</t>
        </is>
      </c>
      <c r="M186" s="19" t="inlineStr">
        <is>
          <t>25 sec</t>
        </is>
      </c>
      <c r="N186" s="17" t="inlineStr">
        <is>
          <t xml:space="preserve">          4K             5K             4K</t>
        </is>
      </c>
      <c r="O186" s="17" t="inlineStr">
        <is>
          <t>A1zdsJnLYCYeoxQnheYGeCiZ41uenWYbrBwrqX3Npump</t>
        </is>
      </c>
      <c r="P186" s="17">
        <f>HYPERLINK("https://dexscreener.com/solana/A1zdsJnLYCYeoxQnheYGeCiZ41uenWYbrBwrqX3Npump", "View")</f>
        <v/>
      </c>
    </row>
    <row r="187">
      <c r="A187" s="20" t="inlineStr">
        <is>
          <t>COCO</t>
        </is>
      </c>
      <c r="B187" s="21" t="n">
        <v>59509879</v>
      </c>
      <c r="C187" s="21" t="n">
        <v>59509879</v>
      </c>
      <c r="D187" s="21" t="inlineStr">
        <is>
          <t>0.008010</t>
        </is>
      </c>
      <c r="E187" s="21" t="inlineStr">
        <is>
          <t>2.056 SOL</t>
        </is>
      </c>
      <c r="F187" s="21" t="inlineStr">
        <is>
          <t>2.436 SOL</t>
        </is>
      </c>
      <c r="G187" s="22" t="inlineStr">
        <is>
          <t>0.372 SOL</t>
        </is>
      </c>
      <c r="H187" s="22" t="inlineStr">
        <is>
          <t>18.02%</t>
        </is>
      </c>
      <c r="I187" s="21" t="inlineStr">
        <is>
          <t>N/A</t>
        </is>
      </c>
      <c r="J187" s="21" t="n">
        <v>1</v>
      </c>
      <c r="K187" s="21" t="n">
        <v>1</v>
      </c>
      <c r="L187" s="21" t="inlineStr">
        <is>
          <t>27.10.2024 03:33:50</t>
        </is>
      </c>
      <c r="M187" s="19" t="inlineStr">
        <is>
          <t>47 sec</t>
        </is>
      </c>
      <c r="N187" s="21" t="inlineStr">
        <is>
          <t xml:space="preserve">          5K             7K             5K</t>
        </is>
      </c>
      <c r="O187" s="21" t="inlineStr">
        <is>
          <t>2WNqB8YDSwxaAe4U5E45wxzqDTHVcZXKiedtzB3Jpump</t>
        </is>
      </c>
      <c r="P187" s="21">
        <f>HYPERLINK("https://photon-sol.tinyastro.io/en/lp/2WNqB8YDSwxaAe4U5E45wxzqDTHVcZXKiedtzB3Jpump?handle=676050794bc1b1657a56b", "View")</f>
        <v/>
      </c>
    </row>
    <row r="188">
      <c r="A188" s="16" t="inlineStr">
        <is>
          <t>Nab</t>
        </is>
      </c>
      <c r="B188" s="17" t="n">
        <v>48063567</v>
      </c>
      <c r="C188" s="17" t="n">
        <v>48063567</v>
      </c>
      <c r="D188" s="17" t="inlineStr">
        <is>
          <t>0.008010</t>
        </is>
      </c>
      <c r="E188" s="17" t="inlineStr">
        <is>
          <t>1.845 SOL</t>
        </is>
      </c>
      <c r="F188" s="17" t="inlineStr">
        <is>
          <t>2.414 SOL</t>
        </is>
      </c>
      <c r="G188" s="22" t="inlineStr">
        <is>
          <t>0.562 SOL</t>
        </is>
      </c>
      <c r="H188" s="22" t="inlineStr">
        <is>
          <t>30.31%</t>
        </is>
      </c>
      <c r="I188" s="17" t="inlineStr">
        <is>
          <t>N/A</t>
        </is>
      </c>
      <c r="J188" s="17" t="n">
        <v>1</v>
      </c>
      <c r="K188" s="17" t="n">
        <v>1</v>
      </c>
      <c r="L188" s="17" t="inlineStr">
        <is>
          <t>27.10.2024 03:24:39</t>
        </is>
      </c>
      <c r="M188" s="19" t="inlineStr">
        <is>
          <t>22 sec</t>
        </is>
      </c>
      <c r="N188" s="17" t="inlineStr">
        <is>
          <t xml:space="preserve">          7K             9K             5K</t>
        </is>
      </c>
      <c r="O188" s="17" t="inlineStr">
        <is>
          <t>4maQVAHe2buP6ZR8Hep544zAWftgkdCT2rDKn4EHpump</t>
        </is>
      </c>
      <c r="P188" s="17">
        <f>HYPERLINK("https://photon-sol.tinyastro.io/en/lp/4maQVAHe2buP6ZR8Hep544zAWftgkdCT2rDKn4EHpump?handle=676050794bc1b1657a56b", "View")</f>
        <v/>
      </c>
    </row>
    <row r="189">
      <c r="A189" s="20" t="inlineStr">
        <is>
          <t>Duckcraft</t>
        </is>
      </c>
      <c r="B189" s="21" t="n">
        <v>62926121</v>
      </c>
      <c r="C189" s="21" t="n">
        <v>62926121</v>
      </c>
      <c r="D189" s="21" t="inlineStr">
        <is>
          <t>0.008010</t>
        </is>
      </c>
      <c r="E189" s="21" t="inlineStr">
        <is>
          <t>2.193 SOL</t>
        </is>
      </c>
      <c r="F189" s="21" t="inlineStr">
        <is>
          <t>2.618 SOL</t>
        </is>
      </c>
      <c r="G189" s="22" t="inlineStr">
        <is>
          <t>0.417 SOL</t>
        </is>
      </c>
      <c r="H189" s="22" t="inlineStr">
        <is>
          <t>18.96%</t>
        </is>
      </c>
      <c r="I189" s="21" t="inlineStr">
        <is>
          <t>N/A</t>
        </is>
      </c>
      <c r="J189" s="21" t="n">
        <v>1</v>
      </c>
      <c r="K189" s="21" t="n">
        <v>1</v>
      </c>
      <c r="L189" s="21" t="inlineStr">
        <is>
          <t>27.10.2024 02:45:19</t>
        </is>
      </c>
      <c r="M189" s="19" t="inlineStr">
        <is>
          <t>9 sec</t>
        </is>
      </c>
      <c r="N189" s="21" t="inlineStr">
        <is>
          <t xml:space="preserve">          5K             7K             5K</t>
        </is>
      </c>
      <c r="O189" s="21" t="inlineStr">
        <is>
          <t>C3mHTRp57rLFwXyuewYqYbeSeCtMsqEwZE688tE6pump</t>
        </is>
      </c>
      <c r="P189" s="21">
        <f>HYPERLINK("https://photon-sol.tinyastro.io/en/lp/C3mHTRp57rLFwXyuewYqYbeSeCtMsqEwZE688tE6pump?handle=676050794bc1b1657a56b", "View")</f>
        <v/>
      </c>
    </row>
    <row r="190">
      <c r="A190" s="16" t="inlineStr">
        <is>
          <t>MINEDOGE</t>
        </is>
      </c>
      <c r="B190" s="17" t="n">
        <v>62919464</v>
      </c>
      <c r="C190" s="17" t="n">
        <v>62919464</v>
      </c>
      <c r="D190" s="17" t="inlineStr">
        <is>
          <t>0.008010</t>
        </is>
      </c>
      <c r="E190" s="17" t="inlineStr">
        <is>
          <t>2.051 SOL</t>
        </is>
      </c>
      <c r="F190" s="17" t="inlineStr">
        <is>
          <t>2.300 SOL</t>
        </is>
      </c>
      <c r="G190" s="22" t="inlineStr">
        <is>
          <t>0.241 SOL</t>
        </is>
      </c>
      <c r="H190" s="22" t="inlineStr">
        <is>
          <t>11.68%</t>
        </is>
      </c>
      <c r="I190" s="17" t="inlineStr">
        <is>
          <t>N/A</t>
        </is>
      </c>
      <c r="J190" s="17" t="n">
        <v>1</v>
      </c>
      <c r="K190" s="17" t="n">
        <v>1</v>
      </c>
      <c r="L190" s="17" t="inlineStr">
        <is>
          <t>27.10.2024 02:09:39</t>
        </is>
      </c>
      <c r="M190" s="19" t="inlineStr">
        <is>
          <t>16 sec</t>
        </is>
      </c>
      <c r="N190" s="17" t="inlineStr">
        <is>
          <t xml:space="preserve">          5K             7K             5K</t>
        </is>
      </c>
      <c r="O190" s="17" t="inlineStr">
        <is>
          <t>DMqSq8NHxMA8KdfPJoBHkkUUrTja3yiiid5Mo4xnpump</t>
        </is>
      </c>
      <c r="P190" s="17">
        <f>HYPERLINK("https://photon-sol.tinyastro.io/en/lp/DMqSq8NHxMA8KdfPJoBHkkUUrTja3yiiid5Mo4xnpump?handle=676050794bc1b1657a56b", "View")</f>
        <v/>
      </c>
    </row>
    <row r="191">
      <c r="A191" s="20" t="inlineStr">
        <is>
          <t>$Grass</t>
        </is>
      </c>
      <c r="B191" s="21" t="n">
        <v>53398995</v>
      </c>
      <c r="C191" s="21" t="n">
        <v>53398995</v>
      </c>
      <c r="D191" s="21" t="inlineStr">
        <is>
          <t>0.008010</t>
        </is>
      </c>
      <c r="E191" s="21" t="inlineStr">
        <is>
          <t>2.051 SOL</t>
        </is>
      </c>
      <c r="F191" s="21" t="inlineStr">
        <is>
          <t>1.922 SOL</t>
        </is>
      </c>
      <c r="G191" s="25" t="inlineStr">
        <is>
          <t>-0.137 SOL</t>
        </is>
      </c>
      <c r="H191" s="25" t="inlineStr">
        <is>
          <t>-6.67%</t>
        </is>
      </c>
      <c r="I191" s="21" t="inlineStr">
        <is>
          <t>N/A</t>
        </is>
      </c>
      <c r="J191" s="21" t="n">
        <v>1</v>
      </c>
      <c r="K191" s="21" t="n">
        <v>1</v>
      </c>
      <c r="L191" s="21" t="inlineStr">
        <is>
          <t>27.10.2024 02:02:56</t>
        </is>
      </c>
      <c r="M191" s="19" t="inlineStr">
        <is>
          <t>11 sec</t>
        </is>
      </c>
      <c r="N191" s="21" t="inlineStr">
        <is>
          <t xml:space="preserve">          7K             7K             5K</t>
        </is>
      </c>
      <c r="O191" s="21" t="inlineStr">
        <is>
          <t>9B1ptYbgABLcLhxpiEEpmtAvK3GZWsre14wxqrXupump</t>
        </is>
      </c>
      <c r="P191" s="21">
        <f>HYPERLINK("https://photon-sol.tinyastro.io/en/lp/9B1ptYbgABLcLhxpiEEpmtAvK3GZWsre14wxqrXupump?handle=676050794bc1b1657a56b", "View")</f>
        <v/>
      </c>
    </row>
    <row r="192">
      <c r="A192" s="16" t="inlineStr">
        <is>
          <t>PSTEVE</t>
        </is>
      </c>
      <c r="B192" s="17" t="n">
        <v>18104652</v>
      </c>
      <c r="C192" s="17" t="n">
        <v>18104652</v>
      </c>
      <c r="D192" s="17" t="inlineStr">
        <is>
          <t>0.008010</t>
        </is>
      </c>
      <c r="E192" s="17" t="inlineStr">
        <is>
          <t>1.036 SOL</t>
        </is>
      </c>
      <c r="F192" s="17" t="inlineStr">
        <is>
          <t>1.257 SOL</t>
        </is>
      </c>
      <c r="G192" s="22" t="inlineStr">
        <is>
          <t>0.213 SOL</t>
        </is>
      </c>
      <c r="H192" s="22" t="inlineStr">
        <is>
          <t>20.42%</t>
        </is>
      </c>
      <c r="I192" s="17" t="inlineStr">
        <is>
          <t>N/A</t>
        </is>
      </c>
      <c r="J192" s="17" t="n">
        <v>1</v>
      </c>
      <c r="K192" s="17" t="n">
        <v>1</v>
      </c>
      <c r="L192" s="17" t="inlineStr">
        <is>
          <t>27.10.2024 01:22:38</t>
        </is>
      </c>
      <c r="M192" s="19" t="inlineStr">
        <is>
          <t>14 sec</t>
        </is>
      </c>
      <c r="N192" s="17" t="inlineStr">
        <is>
          <t xml:space="preserve">         11K            12K             5K</t>
        </is>
      </c>
      <c r="O192" s="17" t="inlineStr">
        <is>
          <t>F4h1kQnEPaF6Yto6CogETjX8hNruRaP36V15YgVPpump</t>
        </is>
      </c>
      <c r="P192" s="17">
        <f>HYPERLINK("https://photon-sol.tinyastro.io/en/lp/F4h1kQnEPaF6Yto6CogETjX8hNruRaP36V15YgVPpump?handle=676050794bc1b1657a56b", "View")</f>
        <v/>
      </c>
    </row>
    <row r="193">
      <c r="A193" s="20" t="inlineStr">
        <is>
          <t>KANZI</t>
        </is>
      </c>
      <c r="B193" s="21" t="n">
        <v>64930073</v>
      </c>
      <c r="C193" s="21" t="n">
        <v>64930073</v>
      </c>
      <c r="D193" s="21" t="inlineStr">
        <is>
          <t>0.076100</t>
        </is>
      </c>
      <c r="E193" s="21" t="inlineStr">
        <is>
          <t>2.051 SOL</t>
        </is>
      </c>
      <c r="F193" s="21" t="inlineStr">
        <is>
          <t>21.344 SOL</t>
        </is>
      </c>
      <c r="G193" s="24" t="inlineStr">
        <is>
          <t>19.216 SOL</t>
        </is>
      </c>
      <c r="H193" s="24" t="inlineStr">
        <is>
          <t>903.40%</t>
        </is>
      </c>
      <c r="I193" s="21" t="inlineStr">
        <is>
          <t>N/A</t>
        </is>
      </c>
      <c r="J193" s="21" t="n">
        <v>1</v>
      </c>
      <c r="K193" s="21" t="n">
        <v>18</v>
      </c>
      <c r="L193" s="21" t="inlineStr">
        <is>
          <t>27.10.2024 00:17:41</t>
        </is>
      </c>
      <c r="M193" s="21" t="inlineStr">
        <is>
          <t>45 min</t>
        </is>
      </c>
      <c r="N193" s="21" t="inlineStr">
        <is>
          <t xml:space="preserve">          5K            67K             6K</t>
        </is>
      </c>
      <c r="O193" s="21" t="inlineStr">
        <is>
          <t>zn7ozSyBA4wo38d9GSn3U6jY2EUeW7LfhK3Q55Upump</t>
        </is>
      </c>
      <c r="P193" s="21">
        <f>HYPERLINK("https://photon-sol.tinyastro.io/en/lp/zn7ozSyBA4wo38d9GSn3U6jY2EUeW7LfhK3Q55Upump?handle=676050794bc1b1657a56b", "View")</f>
        <v/>
      </c>
    </row>
    <row r="194">
      <c r="A194" s="16" t="inlineStr">
        <is>
          <t>inDOG</t>
        </is>
      </c>
      <c r="B194" s="17" t="n">
        <v>62790443</v>
      </c>
      <c r="C194" s="17" t="n">
        <v>62790443</v>
      </c>
      <c r="D194" s="17" t="inlineStr">
        <is>
          <t>0.008010</t>
        </is>
      </c>
      <c r="E194" s="17" t="inlineStr">
        <is>
          <t>1.945 SOL</t>
        </is>
      </c>
      <c r="F194" s="17" t="inlineStr">
        <is>
          <t>2.063 SOL</t>
        </is>
      </c>
      <c r="G194" s="22" t="inlineStr">
        <is>
          <t>0.111 SOL</t>
        </is>
      </c>
      <c r="H194" s="22" t="inlineStr">
        <is>
          <t>5.67%</t>
        </is>
      </c>
      <c r="I194" s="17" t="inlineStr">
        <is>
          <t>N/A</t>
        </is>
      </c>
      <c r="J194" s="17" t="n">
        <v>1</v>
      </c>
      <c r="K194" s="17" t="n">
        <v>1</v>
      </c>
      <c r="L194" s="17" t="inlineStr">
        <is>
          <t>26.10.2024 22:50:46</t>
        </is>
      </c>
      <c r="M194" s="19" t="inlineStr">
        <is>
          <t>25 sec</t>
        </is>
      </c>
      <c r="N194" s="17" t="inlineStr">
        <is>
          <t xml:space="preserve">          5K             5K             5K</t>
        </is>
      </c>
      <c r="O194" s="17" t="inlineStr">
        <is>
          <t>Gi8aMsTpMEkYUn4LXwzEhbYQjFP2xLK5dKevYZUcpump</t>
        </is>
      </c>
      <c r="P194" s="17">
        <f>HYPERLINK("https://photon-sol.tinyastro.io/en/lp/Gi8aMsTpMEkYUn4LXwzEhbYQjFP2xLK5dKevYZUcpump?handle=676050794bc1b1657a56b", "View")</f>
        <v/>
      </c>
    </row>
    <row r="195">
      <c r="A195" s="20" t="inlineStr">
        <is>
          <t>◝†◜</t>
        </is>
      </c>
      <c r="B195" s="21" t="n">
        <v>4166571</v>
      </c>
      <c r="C195" s="21" t="n">
        <v>4166571</v>
      </c>
      <c r="D195" s="21" t="inlineStr">
        <is>
          <t>0.008010</t>
        </is>
      </c>
      <c r="E195" s="21" t="inlineStr">
        <is>
          <t>0.555 SOL</t>
        </is>
      </c>
      <c r="F195" s="21" t="inlineStr">
        <is>
          <t>0.804 SOL</t>
        </is>
      </c>
      <c r="G195" s="22" t="inlineStr">
        <is>
          <t>0.241 SOL</t>
        </is>
      </c>
      <c r="H195" s="22" t="inlineStr">
        <is>
          <t>42.77%</t>
        </is>
      </c>
      <c r="I195" s="21" t="inlineStr">
        <is>
          <t>N/A</t>
        </is>
      </c>
      <c r="J195" s="21" t="n">
        <v>1</v>
      </c>
      <c r="K195" s="21" t="n">
        <v>1</v>
      </c>
      <c r="L195" s="21" t="inlineStr">
        <is>
          <t>26.10.2024 22:03:43</t>
        </is>
      </c>
      <c r="M195" s="19" t="inlineStr">
        <is>
          <t>18 sec</t>
        </is>
      </c>
      <c r="N195" s="21" t="inlineStr">
        <is>
          <t xml:space="preserve">         23K            33K             4K</t>
        </is>
      </c>
      <c r="O195" s="21" t="inlineStr">
        <is>
          <t>FN8sbVRP7obTaX6bEwuTY5zVvpmwFBBKNheu5kN2pump</t>
        </is>
      </c>
      <c r="P195" s="21">
        <f>HYPERLINK("https://photon-sol.tinyastro.io/en/lp/FN8sbVRP7obTaX6bEwuTY5zVvpmwFBBKNheu5kN2pump?handle=676050794bc1b1657a56b", "View")</f>
        <v/>
      </c>
    </row>
    <row r="196">
      <c r="A196" s="16" t="inlineStr">
        <is>
          <t>Magnolia</t>
        </is>
      </c>
      <c r="B196" s="17" t="n">
        <v>66986837</v>
      </c>
      <c r="C196" s="17" t="n">
        <v>66986837</v>
      </c>
      <c r="D196" s="17" t="inlineStr">
        <is>
          <t>0.008010</t>
        </is>
      </c>
      <c r="E196" s="17" t="inlineStr">
        <is>
          <t>2.051 SOL</t>
        </is>
      </c>
      <c r="F196" s="17" t="inlineStr">
        <is>
          <t>2.062 SOL</t>
        </is>
      </c>
      <c r="G196" s="22" t="inlineStr">
        <is>
          <t>0.003 SOL</t>
        </is>
      </c>
      <c r="H196" s="22" t="inlineStr">
        <is>
          <t>0.13%</t>
        </is>
      </c>
      <c r="I196" s="17" t="inlineStr">
        <is>
          <t>N/A</t>
        </is>
      </c>
      <c r="J196" s="17" t="n">
        <v>1</v>
      </c>
      <c r="K196" s="17" t="n">
        <v>1</v>
      </c>
      <c r="L196" s="17" t="inlineStr">
        <is>
          <t>26.10.2024 21:48:53</t>
        </is>
      </c>
      <c r="M196" s="17" t="inlineStr">
        <is>
          <t>3 min</t>
        </is>
      </c>
      <c r="N196" s="17" t="inlineStr">
        <is>
          <t xml:space="preserve">          5K             5K             5K</t>
        </is>
      </c>
      <c r="O196" s="17" t="inlineStr">
        <is>
          <t>5ujrJWPSu1jfEGxUtnCgVs8foAtAqM4XfpFitvhDpump</t>
        </is>
      </c>
      <c r="P196" s="17">
        <f>HYPERLINK("https://photon-sol.tinyastro.io/en/lp/5ujrJWPSu1jfEGxUtnCgVs8foAtAqM4XfpFitvhDpump?handle=676050794bc1b1657a56b", "View")</f>
        <v/>
      </c>
    </row>
    <row r="197">
      <c r="A197" s="20" t="inlineStr">
        <is>
          <t>MVPT</t>
        </is>
      </c>
      <c r="B197" s="21" t="n">
        <v>17306478</v>
      </c>
      <c r="C197" s="21" t="n">
        <v>17306478</v>
      </c>
      <c r="D197" s="21" t="inlineStr">
        <is>
          <t>0.016020</t>
        </is>
      </c>
      <c r="E197" s="21" t="inlineStr">
        <is>
          <t>1.064 SOL</t>
        </is>
      </c>
      <c r="F197" s="21" t="inlineStr">
        <is>
          <t>0.971 SOL</t>
        </is>
      </c>
      <c r="G197" s="25" t="inlineStr">
        <is>
          <t>-0.109 SOL</t>
        </is>
      </c>
      <c r="H197" s="25" t="inlineStr">
        <is>
          <t>-10.07%</t>
        </is>
      </c>
      <c r="I197" s="21" t="inlineStr">
        <is>
          <t>N/A</t>
        </is>
      </c>
      <c r="J197" s="21" t="n">
        <v>2</v>
      </c>
      <c r="K197" s="21" t="n">
        <v>2</v>
      </c>
      <c r="L197" s="21" t="inlineStr">
        <is>
          <t>26.10.2024 21:35:08</t>
        </is>
      </c>
      <c r="M197" s="21" t="inlineStr">
        <is>
          <t>17 min</t>
        </is>
      </c>
      <c r="N197" s="21" t="inlineStr">
        <is>
          <t xml:space="preserve">          9K            11K             5K</t>
        </is>
      </c>
      <c r="O197" s="21" t="inlineStr">
        <is>
          <t>9GMD5utSNhDPLo16gEQAihRLAz9H9cyCZSsCq36bpump</t>
        </is>
      </c>
      <c r="P197" s="21">
        <f>HYPERLINK("https://photon-sol.tinyastro.io/en/lp/9GMD5utSNhDPLo16gEQAihRLAz9H9cyCZSsCq36bpump?handle=676050794bc1b1657a56b", "View")</f>
        <v/>
      </c>
    </row>
    <row r="198">
      <c r="A198" s="16" t="inlineStr">
        <is>
          <t>Memecraft</t>
        </is>
      </c>
      <c r="B198" s="17" t="n">
        <v>2067531</v>
      </c>
      <c r="C198" s="17" t="n">
        <v>2067531</v>
      </c>
      <c r="D198" s="17" t="inlineStr">
        <is>
          <t>0.056070</t>
        </is>
      </c>
      <c r="E198" s="17" t="inlineStr">
        <is>
          <t>0.521 SOL</t>
        </is>
      </c>
      <c r="F198" s="17" t="inlineStr">
        <is>
          <t>3.918 SOL</t>
        </is>
      </c>
      <c r="G198" s="24" t="inlineStr">
        <is>
          <t>3.341 SOL</t>
        </is>
      </c>
      <c r="H198" s="24" t="inlineStr">
        <is>
          <t>578.98%</t>
        </is>
      </c>
      <c r="I198" s="17" t="inlineStr">
        <is>
          <t>N/A</t>
        </is>
      </c>
      <c r="J198" s="17" t="n">
        <v>1</v>
      </c>
      <c r="K198" s="17" t="n">
        <v>13</v>
      </c>
      <c r="L198" s="17" t="inlineStr">
        <is>
          <t>26.10.2024 21:10:38</t>
        </is>
      </c>
      <c r="M198" s="17" t="inlineStr">
        <is>
          <t>26 min</t>
        </is>
      </c>
      <c r="N198" s="17" t="inlineStr">
        <is>
          <t xml:space="preserve">         43K           480K             8K</t>
        </is>
      </c>
      <c r="O198" s="17" t="inlineStr">
        <is>
          <t>EZFzgRsCwM9ub1bHKG7ZUkqmF8b5UjptMp7JeNRzpump</t>
        </is>
      </c>
      <c r="P198" s="17">
        <f>HYPERLINK("https://photon-sol.tinyastro.io/en/lp/EZFzgRsCwM9ub1bHKG7ZUkqmF8b5UjptMp7JeNRzpump?handle=676050794bc1b1657a56b", "View")</f>
        <v/>
      </c>
    </row>
    <row r="199">
      <c r="A199" s="20" t="inlineStr">
        <is>
          <t>x/acc</t>
        </is>
      </c>
      <c r="B199" s="21" t="n">
        <v>320986</v>
      </c>
      <c r="C199" s="21" t="n">
        <v>320986</v>
      </c>
      <c r="D199" s="21" t="inlineStr">
        <is>
          <t>0.008010</t>
        </is>
      </c>
      <c r="E199" s="21" t="inlineStr">
        <is>
          <t>1.000 SOL</t>
        </is>
      </c>
      <c r="F199" s="21" t="inlineStr">
        <is>
          <t>1.075 SOL</t>
        </is>
      </c>
      <c r="G199" s="22" t="inlineStr">
        <is>
          <t>0.067 SOL</t>
        </is>
      </c>
      <c r="H199" s="22" t="inlineStr">
        <is>
          <t>6.61%</t>
        </is>
      </c>
      <c r="I199" s="21" t="inlineStr">
        <is>
          <t>N/A</t>
        </is>
      </c>
      <c r="J199" s="21" t="n">
        <v>1</v>
      </c>
      <c r="K199" s="21" t="n">
        <v>1</v>
      </c>
      <c r="L199" s="21" t="inlineStr">
        <is>
          <t>26.10.2024 20:00:50</t>
        </is>
      </c>
      <c r="M199" s="21" t="inlineStr">
        <is>
          <t>3 min</t>
        </is>
      </c>
      <c r="N199" s="21" t="inlineStr">
        <is>
          <t xml:space="preserve">        548K           588K           378K</t>
        </is>
      </c>
      <c r="O199" s="21" t="inlineStr">
        <is>
          <t>5vrNnSXf2PeF4YMdG4vHi1WzU3hf42JKzV8i7jtBmRww</t>
        </is>
      </c>
      <c r="P199" s="21">
        <f>HYPERLINK("https://dexscreener.com/solana/5vrNnSXf2PeF4YMdG4vHi1WzU3hf42JKzV8i7jtBmRww", "View")</f>
        <v/>
      </c>
    </row>
    <row r="200">
      <c r="A200" s="16" t="inlineStr">
        <is>
          <t>WOKEMIND</t>
        </is>
      </c>
      <c r="B200" s="17" t="n">
        <v>62932551</v>
      </c>
      <c r="C200" s="17" t="n">
        <v>62932551</v>
      </c>
      <c r="D200" s="17" t="inlineStr">
        <is>
          <t>0.008010</t>
        </is>
      </c>
      <c r="E200" s="17" t="inlineStr">
        <is>
          <t>2.066 SOL</t>
        </is>
      </c>
      <c r="F200" s="17" t="inlineStr">
        <is>
          <t>2.129 SOL</t>
        </is>
      </c>
      <c r="G200" s="22" t="inlineStr">
        <is>
          <t>0.055 SOL</t>
        </is>
      </c>
      <c r="H200" s="22" t="inlineStr">
        <is>
          <t>2.67%</t>
        </is>
      </c>
      <c r="I200" s="17" t="inlineStr">
        <is>
          <t>N/A</t>
        </is>
      </c>
      <c r="J200" s="17" t="n">
        <v>1</v>
      </c>
      <c r="K200" s="17" t="n">
        <v>1</v>
      </c>
      <c r="L200" s="17" t="inlineStr">
        <is>
          <t>26.10.2024 19:57:44</t>
        </is>
      </c>
      <c r="M200" s="17" t="inlineStr">
        <is>
          <t>13 min</t>
        </is>
      </c>
      <c r="N200" s="17" t="inlineStr">
        <is>
          <t xml:space="preserve">          5K             5K             5K</t>
        </is>
      </c>
      <c r="O200" s="17" t="inlineStr">
        <is>
          <t>ExFMWipDANA6gx5vgDf6SBvikiChHLcZaUGSWk4upump</t>
        </is>
      </c>
      <c r="P200" s="17">
        <f>HYPERLINK("https://photon-sol.tinyastro.io/en/lp/ExFMWipDANA6gx5vgDf6SBvikiChHLcZaUGSWk4upump?handle=676050794bc1b1657a56b", "View")</f>
        <v/>
      </c>
    </row>
    <row r="201">
      <c r="A201" s="20" t="inlineStr">
        <is>
          <t>beep boop</t>
        </is>
      </c>
      <c r="B201" s="21" t="n">
        <v>1012993</v>
      </c>
      <c r="C201" s="21" t="n">
        <v>1012993</v>
      </c>
      <c r="D201" s="21" t="inlineStr">
        <is>
          <t>0.008010</t>
        </is>
      </c>
      <c r="E201" s="21" t="inlineStr">
        <is>
          <t>0.500 SOL</t>
        </is>
      </c>
      <c r="F201" s="21" t="inlineStr">
        <is>
          <t>0.110 SOL</t>
        </is>
      </c>
      <c r="G201" s="23" t="inlineStr">
        <is>
          <t>-0.398 SOL</t>
        </is>
      </c>
      <c r="H201" s="23" t="inlineStr">
        <is>
          <t>-78.43%</t>
        </is>
      </c>
      <c r="I201" s="21" t="inlineStr">
        <is>
          <t>N/A</t>
        </is>
      </c>
      <c r="J201" s="21" t="n">
        <v>1</v>
      </c>
      <c r="K201" s="21" t="n">
        <v>1</v>
      </c>
      <c r="L201" s="21" t="inlineStr">
        <is>
          <t>26.10.2024 18:40:40</t>
        </is>
      </c>
      <c r="M201" s="19" t="inlineStr">
        <is>
          <t>28 sec</t>
        </is>
      </c>
      <c r="N201" s="21" t="inlineStr">
        <is>
          <t xml:space="preserve">         86K            19K             4K</t>
        </is>
      </c>
      <c r="O201" s="21" t="inlineStr">
        <is>
          <t>BtAgwRMHrzmoGF3vXL846QqvHpwkseiDWz76Aif4pump</t>
        </is>
      </c>
      <c r="P201" s="21">
        <f>HYPERLINK("https://dexscreener.com/solana/BtAgwRMHrzmoGF3vXL846QqvHpwkseiDWz76Aif4pump", "View")</f>
        <v/>
      </c>
    </row>
    <row r="202">
      <c r="A202" s="16" t="inlineStr">
        <is>
          <t>test</t>
        </is>
      </c>
      <c r="B202" s="17" t="n">
        <v>4445783</v>
      </c>
      <c r="C202" s="17" t="n">
        <v>4445783</v>
      </c>
      <c r="D202" s="17" t="inlineStr">
        <is>
          <t>0.008010</t>
        </is>
      </c>
      <c r="E202" s="17" t="inlineStr">
        <is>
          <t>0.994 SOL</t>
        </is>
      </c>
      <c r="F202" s="17" t="inlineStr">
        <is>
          <t>0.820 SOL</t>
        </is>
      </c>
      <c r="G202" s="25" t="inlineStr">
        <is>
          <t>-0.182 SOL</t>
        </is>
      </c>
      <c r="H202" s="25" t="inlineStr">
        <is>
          <t>-18.18%</t>
        </is>
      </c>
      <c r="I202" s="17" t="inlineStr">
        <is>
          <t>N/A</t>
        </is>
      </c>
      <c r="J202" s="17" t="n">
        <v>1</v>
      </c>
      <c r="K202" s="17" t="n">
        <v>1</v>
      </c>
      <c r="L202" s="17" t="inlineStr">
        <is>
          <t>26.10.2024 18:19:20</t>
        </is>
      </c>
      <c r="M202" s="19" t="inlineStr">
        <is>
          <t>54 sec</t>
        </is>
      </c>
      <c r="N202" s="17" t="inlineStr">
        <is>
          <t xml:space="preserve">         36K            30K             6K</t>
        </is>
      </c>
      <c r="O202" s="17" t="inlineStr">
        <is>
          <t>3doZL2XKzzLGdkjEQ9AenbNLTdNznh6b1EgZLqqrpump</t>
        </is>
      </c>
      <c r="P202" s="17">
        <f>HYPERLINK("https://photon-sol.tinyastro.io/en/lp/3doZL2XKzzLGdkjEQ9AenbNLTdNznh6b1EgZLqqrpump?handle=676050794bc1b1657a56b", "View")</f>
        <v/>
      </c>
    </row>
    <row r="203">
      <c r="A203" s="20" t="inlineStr">
        <is>
          <t>PC</t>
        </is>
      </c>
      <c r="B203" s="21" t="n">
        <v>43265931</v>
      </c>
      <c r="C203" s="21" t="n">
        <v>43265931</v>
      </c>
      <c r="D203" s="21" t="inlineStr">
        <is>
          <t>0.040050</t>
        </is>
      </c>
      <c r="E203" s="21" t="inlineStr">
        <is>
          <t>2.051 SOL</t>
        </is>
      </c>
      <c r="F203" s="21" t="inlineStr">
        <is>
          <t>10.335 SOL</t>
        </is>
      </c>
      <c r="G203" s="24" t="inlineStr">
        <is>
          <t>8.244 SOL</t>
        </is>
      </c>
      <c r="H203" s="24" t="inlineStr">
        <is>
          <t>394.25%</t>
        </is>
      </c>
      <c r="I203" s="21" t="inlineStr">
        <is>
          <t>N/A</t>
        </is>
      </c>
      <c r="J203" s="21" t="n">
        <v>1</v>
      </c>
      <c r="K203" s="21" t="n">
        <v>9</v>
      </c>
      <c r="L203" s="21" t="inlineStr">
        <is>
          <t>26.10.2024 17:55:50</t>
        </is>
      </c>
      <c r="M203" s="21" t="inlineStr">
        <is>
          <t>11 min</t>
        </is>
      </c>
      <c r="N203" s="21" t="inlineStr">
        <is>
          <t xml:space="preserve">          9K            39K             5K</t>
        </is>
      </c>
      <c r="O203" s="21" t="inlineStr">
        <is>
          <t>AJ1JhYYnKookYLZUEoV1ApFVjZwvKW5A9LmzLBFspump</t>
        </is>
      </c>
      <c r="P203" s="21">
        <f>HYPERLINK("https://photon-sol.tinyastro.io/en/lp/AJ1JhYYnKookYLZUEoV1ApFVjZwvKW5A9LmzLBFspump?handle=676050794bc1b1657a56b", "View")</f>
        <v/>
      </c>
    </row>
    <row r="204">
      <c r="A204" s="16" t="inlineStr">
        <is>
          <t>NCRAFT</t>
        </is>
      </c>
      <c r="B204" s="17" t="n">
        <v>10964474</v>
      </c>
      <c r="C204" s="17" t="n">
        <v>10964474</v>
      </c>
      <c r="D204" s="17" t="inlineStr">
        <is>
          <t>0.008010</t>
        </is>
      </c>
      <c r="E204" s="17" t="inlineStr">
        <is>
          <t>1.031 SOL</t>
        </is>
      </c>
      <c r="F204" s="17" t="inlineStr">
        <is>
          <t>1.452 SOL</t>
        </is>
      </c>
      <c r="G204" s="22" t="inlineStr">
        <is>
          <t>0.413 SOL</t>
        </is>
      </c>
      <c r="H204" s="22" t="inlineStr">
        <is>
          <t>39.76%</t>
        </is>
      </c>
      <c r="I204" s="17" t="inlineStr">
        <is>
          <t>N/A</t>
        </is>
      </c>
      <c r="J204" s="17" t="n">
        <v>1</v>
      </c>
      <c r="K204" s="17" t="n">
        <v>1</v>
      </c>
      <c r="L204" s="17" t="inlineStr">
        <is>
          <t>26.10.2024 17:39:52</t>
        </is>
      </c>
      <c r="M204" s="17" t="inlineStr">
        <is>
          <t>3 min</t>
        </is>
      </c>
      <c r="N204" s="17" t="inlineStr">
        <is>
          <t xml:space="preserve">         16K            23K             5K</t>
        </is>
      </c>
      <c r="O204" s="17" t="inlineStr">
        <is>
          <t>CvzrcDtowxzHDHWnjAPycS9Pp2Kp6iXNkgCAC7KXpump</t>
        </is>
      </c>
      <c r="P204" s="17">
        <f>HYPERLINK("https://photon-sol.tinyastro.io/en/lp/CvzrcDtowxzHDHWnjAPycS9Pp2Kp6iXNkgCAC7KXpump?handle=676050794bc1b1657a56b", "View")</f>
        <v/>
      </c>
    </row>
    <row r="205">
      <c r="A205" s="20" t="inlineStr">
        <is>
          <t>Pan</t>
        </is>
      </c>
      <c r="B205" s="21" t="n">
        <v>3416805</v>
      </c>
      <c r="C205" s="21" t="n">
        <v>3416805</v>
      </c>
      <c r="D205" s="21" t="inlineStr">
        <is>
          <t>0.028040</t>
        </is>
      </c>
      <c r="E205" s="21" t="inlineStr">
        <is>
          <t>0.525 SOL</t>
        </is>
      </c>
      <c r="F205" s="21" t="inlineStr">
        <is>
          <t>2.632 SOL</t>
        </is>
      </c>
      <c r="G205" s="24" t="inlineStr">
        <is>
          <t>2.079 SOL</t>
        </is>
      </c>
      <c r="H205" s="24" t="inlineStr">
        <is>
          <t>376.10%</t>
        </is>
      </c>
      <c r="I205" s="21" t="inlineStr">
        <is>
          <t>N/A</t>
        </is>
      </c>
      <c r="J205" s="21" t="n">
        <v>1</v>
      </c>
      <c r="K205" s="21" t="n">
        <v>6</v>
      </c>
      <c r="L205" s="21" t="inlineStr">
        <is>
          <t>26.10.2024 14:59:45</t>
        </is>
      </c>
      <c r="M205" s="21" t="inlineStr">
        <is>
          <t>23 min</t>
        </is>
      </c>
      <c r="N205" s="21" t="inlineStr">
        <is>
          <t xml:space="preserve">         26K           141K            14K</t>
        </is>
      </c>
      <c r="O205" s="21" t="inlineStr">
        <is>
          <t>9JLsnxCqZju5ymLhMkTW6acnUxgrARqz5NAR7Acdpump</t>
        </is>
      </c>
      <c r="P205" s="21">
        <f>HYPERLINK("https://photon-sol.tinyastro.io/en/lp/9JLsnxCqZju5ymLhMkTW6acnUxgrARqz5NAR7Acdpump?handle=676050794bc1b1657a56b", "View")</f>
        <v/>
      </c>
    </row>
    <row r="206">
      <c r="A206" s="16" t="inlineStr">
        <is>
          <t>tape</t>
        </is>
      </c>
      <c r="B206" s="17" t="n">
        <v>2543625</v>
      </c>
      <c r="C206" s="17" t="n">
        <v>2543625</v>
      </c>
      <c r="D206" s="17" t="inlineStr">
        <is>
          <t>0.008010</t>
        </is>
      </c>
      <c r="E206" s="17" t="inlineStr">
        <is>
          <t>0.556 SOL</t>
        </is>
      </c>
      <c r="F206" s="17" t="inlineStr">
        <is>
          <t>0.638 SOL</t>
        </is>
      </c>
      <c r="G206" s="22" t="inlineStr">
        <is>
          <t>0.073 SOL</t>
        </is>
      </c>
      <c r="H206" s="22" t="inlineStr">
        <is>
          <t>12.98%</t>
        </is>
      </c>
      <c r="I206" s="17" t="inlineStr">
        <is>
          <t>N/A</t>
        </is>
      </c>
      <c r="J206" s="17" t="n">
        <v>1</v>
      </c>
      <c r="K206" s="17" t="n">
        <v>1</v>
      </c>
      <c r="L206" s="17" t="inlineStr">
        <is>
          <t>26.10.2024 14:54:07</t>
        </is>
      </c>
      <c r="M206" s="17" t="inlineStr">
        <is>
          <t>4 min</t>
        </is>
      </c>
      <c r="N206" s="17" t="inlineStr">
        <is>
          <t xml:space="preserve">         39K            44K            14K</t>
        </is>
      </c>
      <c r="O206" s="17" t="inlineStr">
        <is>
          <t>86DTwX1M7xt4HnDZNuVUXyMLTsdGKFwuLyLBpTpBpump</t>
        </is>
      </c>
      <c r="P206" s="17">
        <f>HYPERLINK("https://photon-sol.tinyastro.io/en/lp/86DTwX1M7xt4HnDZNuVUXyMLTsdGKFwuLyLBpTpBpump?handle=676050794bc1b1657a56b", "View")</f>
        <v/>
      </c>
    </row>
    <row r="207">
      <c r="A207" s="20" t="inlineStr">
        <is>
          <t>Fan</t>
        </is>
      </c>
      <c r="B207" s="21" t="n">
        <v>1921550</v>
      </c>
      <c r="C207" s="21" t="n">
        <v>1921550</v>
      </c>
      <c r="D207" s="21" t="inlineStr">
        <is>
          <t>0.012020</t>
        </is>
      </c>
      <c r="E207" s="21" t="inlineStr">
        <is>
          <t>0.584 SOL</t>
        </is>
      </c>
      <c r="F207" s="21" t="inlineStr">
        <is>
          <t>0.427 SOL</t>
        </is>
      </c>
      <c r="G207" s="25" t="inlineStr">
        <is>
          <t>-0.169 SOL</t>
        </is>
      </c>
      <c r="H207" s="25" t="inlineStr">
        <is>
          <t>-28.39%</t>
        </is>
      </c>
      <c r="I207" s="21" t="inlineStr">
        <is>
          <t>N/A</t>
        </is>
      </c>
      <c r="J207" s="21" t="n">
        <v>1</v>
      </c>
      <c r="K207" s="21" t="n">
        <v>2</v>
      </c>
      <c r="L207" s="21" t="inlineStr">
        <is>
          <t>26.10.2024 14:52:23</t>
        </is>
      </c>
      <c r="M207" s="21" t="inlineStr">
        <is>
          <t>3 min</t>
        </is>
      </c>
      <c r="N207" s="21" t="inlineStr">
        <is>
          <t xml:space="preserve">         53K            33K             4K</t>
        </is>
      </c>
      <c r="O207" s="21" t="inlineStr">
        <is>
          <t>GX3hMuwYemnoHSemuTJGpRidb5dyVHTiLs28xXw3pump</t>
        </is>
      </c>
      <c r="P207" s="21">
        <f>HYPERLINK("https://photon-sol.tinyastro.io/en/lp/GX3hMuwYemnoHSemuTJGpRidb5dyVHTiLs28xXw3pump?handle=676050794bc1b1657a56b", "View")</f>
        <v/>
      </c>
    </row>
    <row r="208">
      <c r="A208" s="16" t="inlineStr">
        <is>
          <t>Comedian</t>
        </is>
      </c>
      <c r="B208" s="17" t="n">
        <v>2125392</v>
      </c>
      <c r="C208" s="17" t="n">
        <v>0</v>
      </c>
      <c r="D208" s="17" t="inlineStr">
        <is>
          <t>0.004000</t>
        </is>
      </c>
      <c r="E208" s="17" t="inlineStr">
        <is>
          <t>0.583 SOL</t>
        </is>
      </c>
      <c r="F208" s="17" t="inlineStr">
        <is>
          <t>0.000 SOL</t>
        </is>
      </c>
      <c r="G208" s="18" t="inlineStr">
        <is>
          <t>-0.587 SOL</t>
        </is>
      </c>
      <c r="H208" s="18" t="inlineStr">
        <is>
          <t>0.00%</t>
        </is>
      </c>
      <c r="I208" s="17" t="inlineStr">
        <is>
          <t>2,125,392</t>
        </is>
      </c>
      <c r="J208" s="17" t="n">
        <v>1</v>
      </c>
      <c r="K208" s="17" t="n">
        <v>0</v>
      </c>
      <c r="L208" s="17" t="inlineStr">
        <is>
          <t>26.10.2024 12:45:30</t>
        </is>
      </c>
      <c r="M208" s="19" t="inlineStr">
        <is>
          <t>0 sec</t>
        </is>
      </c>
      <c r="N208" s="17" t="inlineStr">
        <is>
          <t xml:space="preserve">         47K            47K            15K</t>
        </is>
      </c>
      <c r="O208" s="17" t="inlineStr">
        <is>
          <t>BpqXJMguKsS8azKaVy4tZ4Ysm2e2f2zygZKHx8VKGKBA</t>
        </is>
      </c>
      <c r="P208" s="17">
        <f>HYPERLINK("https://photon-sol.tinyastro.io/en/lp/BpqXJMguKsS8azKaVy4tZ4Ysm2e2f2zygZKHx8VKGKBA?handle=676050794bc1b1657a56b", "View")</f>
        <v/>
      </c>
    </row>
    <row r="209">
      <c r="A209" s="20" t="inlineStr">
        <is>
          <t>SPANDA</t>
        </is>
      </c>
      <c r="B209" s="21" t="n">
        <v>54995309</v>
      </c>
      <c r="C209" s="21" t="n">
        <v>72495309</v>
      </c>
      <c r="D209" s="21" t="inlineStr">
        <is>
          <t>0.012020</t>
        </is>
      </c>
      <c r="E209" s="21" t="inlineStr">
        <is>
          <t>2.051 SOL</t>
        </is>
      </c>
      <c r="F209" s="21" t="inlineStr">
        <is>
          <t>5.311 SOL</t>
        </is>
      </c>
      <c r="G209" s="24" t="inlineStr">
        <is>
          <t>3.248 SOL</t>
        </is>
      </c>
      <c r="H209" s="24" t="inlineStr">
        <is>
          <t>157.42%</t>
        </is>
      </c>
      <c r="I209" s="21" t="inlineStr">
        <is>
          <t>N/A</t>
        </is>
      </c>
      <c r="J209" s="21" t="n">
        <v>1</v>
      </c>
      <c r="K209" s="21" t="n">
        <v>2</v>
      </c>
      <c r="L209" s="21" t="inlineStr">
        <is>
          <t>26.10.2024 12:09:29</t>
        </is>
      </c>
      <c r="M209" s="21" t="inlineStr">
        <is>
          <t>6 min</t>
        </is>
      </c>
      <c r="N209" s="21" t="inlineStr">
        <is>
          <t xml:space="preserve">          7K            23K             5K</t>
        </is>
      </c>
      <c r="O209" s="21" t="inlineStr">
        <is>
          <t>FanLvKA92zbk6caxysqEB1aggWAexALEwZaBu4GWpump</t>
        </is>
      </c>
      <c r="P209" s="21">
        <f>HYPERLINK("https://photon-sol.tinyastro.io/en/lp/FanLvKA92zbk6caxysqEB1aggWAexALEwZaBu4GWpump?handle=676050794bc1b1657a56b", "View")</f>
        <v/>
      </c>
    </row>
    <row r="210">
      <c r="A210" s="16" t="inlineStr">
        <is>
          <t>SPIDERMAN</t>
        </is>
      </c>
      <c r="B210" s="17" t="n">
        <v>10134122</v>
      </c>
      <c r="C210" s="17" t="n">
        <v>10134122</v>
      </c>
      <c r="D210" s="17" t="inlineStr">
        <is>
          <t>0.008010</t>
        </is>
      </c>
      <c r="E210" s="17" t="inlineStr">
        <is>
          <t>0.521 SOL</t>
        </is>
      </c>
      <c r="F210" s="17" t="inlineStr">
        <is>
          <t>0.504 SOL</t>
        </is>
      </c>
      <c r="G210" s="25" t="inlineStr">
        <is>
          <t>-0.025 SOL</t>
        </is>
      </c>
      <c r="H210" s="25" t="inlineStr">
        <is>
          <t>-4.67%</t>
        </is>
      </c>
      <c r="I210" s="17" t="inlineStr">
        <is>
          <t>N/A</t>
        </is>
      </c>
      <c r="J210" s="17" t="n">
        <v>1</v>
      </c>
      <c r="K210" s="17" t="n">
        <v>1</v>
      </c>
      <c r="L210" s="17" t="inlineStr">
        <is>
          <t>26.10.2024 10:44:36</t>
        </is>
      </c>
      <c r="M210" s="17" t="inlineStr">
        <is>
          <t>1 min</t>
        </is>
      </c>
      <c r="N210" s="17" t="inlineStr">
        <is>
          <t xml:space="preserve">          9K             9K             5K</t>
        </is>
      </c>
      <c r="O210" s="17" t="inlineStr">
        <is>
          <t>BDejaaaxb14mfKxRMAb7aGxm4JtMA4J6813JcwzQpump</t>
        </is>
      </c>
      <c r="P210" s="17">
        <f>HYPERLINK("https://photon-sol.tinyastro.io/en/lp/BDejaaaxb14mfKxRMAb7aGxm4JtMA4J6813JcwzQpump?handle=676050794bc1b1657a56b", "View")</f>
        <v/>
      </c>
    </row>
    <row r="211">
      <c r="A211" s="20" t="inlineStr">
        <is>
          <t>STEVE</t>
        </is>
      </c>
      <c r="B211" s="21" t="n">
        <v>38419725</v>
      </c>
      <c r="C211" s="21" t="n">
        <v>38419725</v>
      </c>
      <c r="D211" s="21" t="inlineStr">
        <is>
          <t>0.040050</t>
        </is>
      </c>
      <c r="E211" s="21" t="inlineStr">
        <is>
          <t>2.000 SOL</t>
        </is>
      </c>
      <c r="F211" s="21" t="inlineStr">
        <is>
          <t>4.361 SOL</t>
        </is>
      </c>
      <c r="G211" s="24" t="inlineStr">
        <is>
          <t>2.321 SOL</t>
        </is>
      </c>
      <c r="H211" s="24" t="inlineStr">
        <is>
          <t>113.78%</t>
        </is>
      </c>
      <c r="I211" s="21" t="inlineStr">
        <is>
          <t>N/A</t>
        </is>
      </c>
      <c r="J211" s="21" t="n">
        <v>2</v>
      </c>
      <c r="K211" s="21" t="n">
        <v>8</v>
      </c>
      <c r="L211" s="21" t="inlineStr">
        <is>
          <t>26.10.2024 10:19:30</t>
        </is>
      </c>
      <c r="M211" s="21" t="inlineStr">
        <is>
          <t>1 hours</t>
        </is>
      </c>
      <c r="N211" s="21" t="inlineStr">
        <is>
          <t xml:space="preserve">          7K            28K            10K</t>
        </is>
      </c>
      <c r="O211" s="21" t="inlineStr">
        <is>
          <t>9AovuJog1VyUcwRXhCheay2NsnyDwnq2tNqozvdMpump</t>
        </is>
      </c>
      <c r="P211" s="21">
        <f>HYPERLINK("https://dexscreener.com/solana/9AovuJog1VyUcwRXhCheay2NsnyDwnq2tNqozvdMpump", "View")</f>
        <v/>
      </c>
    </row>
    <row r="212">
      <c r="A212" s="16" t="inlineStr">
        <is>
          <t>BULLY</t>
        </is>
      </c>
      <c r="B212" s="17" t="n">
        <v>5079204</v>
      </c>
      <c r="C212" s="17" t="n">
        <v>5079204</v>
      </c>
      <c r="D212" s="17" t="inlineStr">
        <is>
          <t>0.008010</t>
        </is>
      </c>
      <c r="E212" s="17" t="inlineStr">
        <is>
          <t>0.521 SOL</t>
        </is>
      </c>
      <c r="F212" s="17" t="inlineStr">
        <is>
          <t>0.419 SOL</t>
        </is>
      </c>
      <c r="G212" s="25" t="inlineStr">
        <is>
          <t>-0.110 SOL</t>
        </is>
      </c>
      <c r="H212" s="25" t="inlineStr">
        <is>
          <t>-20.86%</t>
        </is>
      </c>
      <c r="I212" s="17" t="inlineStr">
        <is>
          <t>N/A</t>
        </is>
      </c>
      <c r="J212" s="17" t="n">
        <v>1</v>
      </c>
      <c r="K212" s="17" t="n">
        <v>1</v>
      </c>
      <c r="L212" s="17" t="inlineStr">
        <is>
          <t>26.10.2024 08:36:57</t>
        </is>
      </c>
      <c r="M212" s="17" t="inlineStr">
        <is>
          <t>1 min</t>
        </is>
      </c>
      <c r="N212" s="17" t="inlineStr">
        <is>
          <t xml:space="preserve">         18K            14K             5K</t>
        </is>
      </c>
      <c r="O212" s="17" t="inlineStr">
        <is>
          <t>CJHsTTaxbJUqyfcxAdukPejhRgSc6os4yNBPHrxmpump</t>
        </is>
      </c>
      <c r="P212" s="17">
        <f>HYPERLINK("https://photon-sol.tinyastro.io/en/lp/CJHsTTaxbJUqyfcxAdukPejhRgSc6os4yNBPHrxmpump?handle=676050794bc1b1657a56b", "View")</f>
        <v/>
      </c>
    </row>
    <row r="213">
      <c r="A213" s="20" t="inlineStr">
        <is>
          <t>e-speed</t>
        </is>
      </c>
      <c r="B213" s="21" t="n">
        <v>9295219</v>
      </c>
      <c r="C213" s="21" t="n">
        <v>9295219</v>
      </c>
      <c r="D213" s="21" t="inlineStr">
        <is>
          <t>0.020030</t>
        </is>
      </c>
      <c r="E213" s="21" t="inlineStr">
        <is>
          <t>1.500 SOL</t>
        </is>
      </c>
      <c r="F213" s="21" t="inlineStr">
        <is>
          <t>1.301 SOL</t>
        </is>
      </c>
      <c r="G213" s="25" t="inlineStr">
        <is>
          <t>-0.219 SOL</t>
        </is>
      </c>
      <c r="H213" s="25" t="inlineStr">
        <is>
          <t>-14.43%</t>
        </is>
      </c>
      <c r="I213" s="21" t="inlineStr">
        <is>
          <t>N/A</t>
        </is>
      </c>
      <c r="J213" s="21" t="n">
        <v>3</v>
      </c>
      <c r="K213" s="21" t="n">
        <v>2</v>
      </c>
      <c r="L213" s="21" t="inlineStr">
        <is>
          <t>26.10.2024 04:44:06</t>
        </is>
      </c>
      <c r="M213" s="21" t="inlineStr">
        <is>
          <t>17 min</t>
        </is>
      </c>
      <c r="N213" s="21" t="inlineStr">
        <is>
          <t xml:space="preserve">         28K            35K             5K</t>
        </is>
      </c>
      <c r="O213" s="21" t="inlineStr">
        <is>
          <t>B9mu3N6JzTLaAmRVN2DwGUYqaWzLLEa7QUEUgAd8pump</t>
        </is>
      </c>
      <c r="P213" s="21">
        <f>HYPERLINK("https://dexscreener.com/solana/B9mu3N6JzTLaAmRVN2DwGUYqaWzLLEa7QUEUgAd8pump", "View")</f>
        <v/>
      </c>
    </row>
    <row r="214">
      <c r="A214" s="16" t="inlineStr">
        <is>
          <t>SHARPNESS</t>
        </is>
      </c>
      <c r="B214" s="17" t="n">
        <v>11625716</v>
      </c>
      <c r="C214" s="17" t="n">
        <v>11625716</v>
      </c>
      <c r="D214" s="17" t="inlineStr">
        <is>
          <t>0.008010</t>
        </is>
      </c>
      <c r="E214" s="17" t="inlineStr">
        <is>
          <t>0.421 SOL</t>
        </is>
      </c>
      <c r="F214" s="17" t="inlineStr">
        <is>
          <t>0.333 SOL</t>
        </is>
      </c>
      <c r="G214" s="25" t="inlineStr">
        <is>
          <t>-0.096 SOL</t>
        </is>
      </c>
      <c r="H214" s="25" t="inlineStr">
        <is>
          <t>-22.33%</t>
        </is>
      </c>
      <c r="I214" s="17" t="inlineStr">
        <is>
          <t>N/A</t>
        </is>
      </c>
      <c r="J214" s="17" t="n">
        <v>1</v>
      </c>
      <c r="K214" s="17" t="n">
        <v>1</v>
      </c>
      <c r="L214" s="17" t="inlineStr">
        <is>
          <t>26.10.2024 04:32:05</t>
        </is>
      </c>
      <c r="M214" s="19" t="inlineStr">
        <is>
          <t>6 sec</t>
        </is>
      </c>
      <c r="N214" s="17" t="inlineStr">
        <is>
          <t xml:space="preserve">          7K             5K             5K</t>
        </is>
      </c>
      <c r="O214" s="17" t="inlineStr">
        <is>
          <t>ArgbCdFiD5QWa23Bzv1ztdMe2ArJC4VzW4eVC65zpump</t>
        </is>
      </c>
      <c r="P214" s="17">
        <f>HYPERLINK("https://photon-sol.tinyastro.io/en/lp/ArgbCdFiD5QWa23Bzv1ztdMe2ArJC4VzW4eVC65zpump?handle=676050794bc1b1657a56b", "View")</f>
        <v/>
      </c>
    </row>
    <row r="215">
      <c r="A215" s="20" t="inlineStr">
        <is>
          <t xml:space="preserve">ENDER </t>
        </is>
      </c>
      <c r="B215" s="21" t="n">
        <v>13372468</v>
      </c>
      <c r="C215" s="21" t="n">
        <v>13372468</v>
      </c>
      <c r="D215" s="21" t="inlineStr">
        <is>
          <t>0.008010</t>
        </is>
      </c>
      <c r="E215" s="21" t="inlineStr">
        <is>
          <t>0.415 SOL</t>
        </is>
      </c>
      <c r="F215" s="21" t="inlineStr">
        <is>
          <t>0.417 SOL</t>
        </is>
      </c>
      <c r="G215" s="25" t="inlineStr">
        <is>
          <t>-0.007 SOL</t>
        </is>
      </c>
      <c r="H215" s="25" t="inlineStr">
        <is>
          <t>-1.60%</t>
        </is>
      </c>
      <c r="I215" s="21" t="inlineStr">
        <is>
          <t>N/A</t>
        </is>
      </c>
      <c r="J215" s="21" t="n">
        <v>1</v>
      </c>
      <c r="K215" s="21" t="n">
        <v>1</v>
      </c>
      <c r="L215" s="21" t="inlineStr">
        <is>
          <t>26.10.2024 04:19:12</t>
        </is>
      </c>
      <c r="M215" s="19" t="inlineStr">
        <is>
          <t>15 sec</t>
        </is>
      </c>
      <c r="N215" s="21" t="inlineStr">
        <is>
          <t xml:space="preserve">          5K             5K             5K</t>
        </is>
      </c>
      <c r="O215" s="21" t="inlineStr">
        <is>
          <t>BFtugQt7dE2WxfugML7v9KJZAD29WCyFsF2aZj5Apump</t>
        </is>
      </c>
      <c r="P215" s="21">
        <f>HYPERLINK("https://photon-sol.tinyastro.io/en/lp/BFtugQt7dE2WxfugML7v9KJZAD29WCyFsF2aZj5Apump?handle=676050794bc1b1657a56b", "View")</f>
        <v/>
      </c>
    </row>
    <row r="216">
      <c r="A216" s="16" t="inlineStr">
        <is>
          <t>MOCHI</t>
        </is>
      </c>
      <c r="B216" s="17" t="n">
        <v>2856092</v>
      </c>
      <c r="C216" s="17" t="n">
        <v>2856092</v>
      </c>
      <c r="D216" s="17" t="inlineStr">
        <is>
          <t>0.008010</t>
        </is>
      </c>
      <c r="E216" s="17" t="inlineStr">
        <is>
          <t>0.521 SOL</t>
        </is>
      </c>
      <c r="F216" s="17" t="inlineStr">
        <is>
          <t>0.404 SOL</t>
        </is>
      </c>
      <c r="G216" s="25" t="inlineStr">
        <is>
          <t>-0.125 SOL</t>
        </is>
      </c>
      <c r="H216" s="25" t="inlineStr">
        <is>
          <t>-23.67%</t>
        </is>
      </c>
      <c r="I216" s="17" t="inlineStr">
        <is>
          <t>N/A</t>
        </is>
      </c>
      <c r="J216" s="17" t="n">
        <v>1</v>
      </c>
      <c r="K216" s="17" t="n">
        <v>1</v>
      </c>
      <c r="L216" s="17" t="inlineStr">
        <is>
          <t>25.10.2024 19:56:47</t>
        </is>
      </c>
      <c r="M216" s="19" t="inlineStr">
        <is>
          <t>53 sec</t>
        </is>
      </c>
      <c r="N216" s="17" t="inlineStr">
        <is>
          <t xml:space="preserve">         32K            25K             4K</t>
        </is>
      </c>
      <c r="O216" s="17" t="inlineStr">
        <is>
          <t>8cBZwHT483fs7YGfRECPEjz1taE9aEyqSpbX6rp4pump</t>
        </is>
      </c>
      <c r="P216" s="17">
        <f>HYPERLINK("https://photon-sol.tinyastro.io/en/lp/8cBZwHT483fs7YGfRECPEjz1taE9aEyqSpbX6rp4pump?handle=676050794bc1b1657a56b", "View")</f>
        <v/>
      </c>
    </row>
    <row r="217">
      <c r="A217" s="20" t="inlineStr">
        <is>
          <t>gothpeach</t>
        </is>
      </c>
      <c r="B217" s="21" t="n">
        <v>2482070</v>
      </c>
      <c r="C217" s="21" t="n">
        <v>2482070</v>
      </c>
      <c r="D217" s="21" t="inlineStr">
        <is>
          <t>0.008010</t>
        </is>
      </c>
      <c r="E217" s="21" t="inlineStr">
        <is>
          <t>0.535 SOL</t>
        </is>
      </c>
      <c r="F217" s="21" t="inlineStr">
        <is>
          <t>0.485 SOL</t>
        </is>
      </c>
      <c r="G217" s="25" t="inlineStr">
        <is>
          <t>-0.058 SOL</t>
        </is>
      </c>
      <c r="H217" s="25" t="inlineStr">
        <is>
          <t>-10.72%</t>
        </is>
      </c>
      <c r="I217" s="21" t="inlineStr">
        <is>
          <t>N/A</t>
        </is>
      </c>
      <c r="J217" s="21" t="n">
        <v>1</v>
      </c>
      <c r="K217" s="21" t="n">
        <v>1</v>
      </c>
      <c r="L217" s="21" t="inlineStr">
        <is>
          <t>25.10.2024 19:31:45</t>
        </is>
      </c>
      <c r="M217" s="19" t="inlineStr">
        <is>
          <t>56 sec</t>
        </is>
      </c>
      <c r="N217" s="21" t="inlineStr">
        <is>
          <t xml:space="preserve">        N/A           N/A           N/A</t>
        </is>
      </c>
      <c r="O217" s="21" t="inlineStr">
        <is>
          <t>FGyujPrqkRsmjrfZWSwgWaHio9yj4HdSr5XNmZJWYUv</t>
        </is>
      </c>
      <c r="P217" s="21">
        <f>HYPERLINK("https://photon-sol.tinyastro.io/en/lp/FGyujPrqkRsmjrfZWSwgWaHio9yj4HdSr5XNmZJWYUv?handle=676050794bc1b1657a56b", "View")</f>
        <v/>
      </c>
    </row>
    <row r="218">
      <c r="A218" s="16" t="inlineStr">
        <is>
          <t>ANYO</t>
        </is>
      </c>
      <c r="B218" s="17" t="n">
        <v>2280384</v>
      </c>
      <c r="C218" s="17" t="n">
        <v>2280384</v>
      </c>
      <c r="D218" s="17" t="inlineStr">
        <is>
          <t>0.008010</t>
        </is>
      </c>
      <c r="E218" s="17" t="inlineStr">
        <is>
          <t>0.521 SOL</t>
        </is>
      </c>
      <c r="F218" s="17" t="inlineStr">
        <is>
          <t>0.641 SOL</t>
        </is>
      </c>
      <c r="G218" s="22" t="inlineStr">
        <is>
          <t>0.113 SOL</t>
        </is>
      </c>
      <c r="H218" s="22" t="inlineStr">
        <is>
          <t>21.29%</t>
        </is>
      </c>
      <c r="I218" s="17" t="inlineStr">
        <is>
          <t>N/A</t>
        </is>
      </c>
      <c r="J218" s="17" t="n">
        <v>1</v>
      </c>
      <c r="K218" s="17" t="n">
        <v>1</v>
      </c>
      <c r="L218" s="17" t="inlineStr">
        <is>
          <t>25.10.2024 19:25:02</t>
        </is>
      </c>
      <c r="M218" s="19" t="inlineStr">
        <is>
          <t>31 sec</t>
        </is>
      </c>
      <c r="N218" s="17" t="inlineStr">
        <is>
          <t xml:space="preserve">         40K            49K             6K</t>
        </is>
      </c>
      <c r="O218" s="17" t="inlineStr">
        <is>
          <t>67W2WGnsxYFmRJWD14GDWHc7iYJdPYcHCxKWwUhtpump</t>
        </is>
      </c>
      <c r="P218" s="17">
        <f>HYPERLINK("https://photon-sol.tinyastro.io/en/lp/67W2WGnsxYFmRJWD14GDWHc7iYJdPYcHCxKWwUhtpump?handle=676050794bc1b1657a56b", "View")</f>
        <v/>
      </c>
    </row>
    <row r="219">
      <c r="A219" s="20" t="inlineStr">
        <is>
          <t>PIRIKO</t>
        </is>
      </c>
      <c r="B219" s="21" t="n">
        <v>17566209</v>
      </c>
      <c r="C219" s="21" t="n">
        <v>17566209</v>
      </c>
      <c r="D219" s="21" t="inlineStr">
        <is>
          <t>0.008010</t>
        </is>
      </c>
      <c r="E219" s="21" t="inlineStr">
        <is>
          <t>0.521 SOL</t>
        </is>
      </c>
      <c r="F219" s="21" t="inlineStr">
        <is>
          <t>0.482 SOL</t>
        </is>
      </c>
      <c r="G219" s="25" t="inlineStr">
        <is>
          <t>-0.047 SOL</t>
        </is>
      </c>
      <c r="H219" s="25" t="inlineStr">
        <is>
          <t>-8.90%</t>
        </is>
      </c>
      <c r="I219" s="21" t="inlineStr">
        <is>
          <t>N/A</t>
        </is>
      </c>
      <c r="J219" s="21" t="n">
        <v>1</v>
      </c>
      <c r="K219" s="21" t="n">
        <v>1</v>
      </c>
      <c r="L219" s="21" t="inlineStr">
        <is>
          <t>25.10.2024 19:21:58</t>
        </is>
      </c>
      <c r="M219" s="19" t="inlineStr">
        <is>
          <t>38 sec</t>
        </is>
      </c>
      <c r="N219" s="21" t="inlineStr">
        <is>
          <t xml:space="preserve">          5K             5K             5K</t>
        </is>
      </c>
      <c r="O219" s="21" t="inlineStr">
        <is>
          <t>59eHPdN2D4rwRXEbpJPr4u2HCQ9u8G4s9F8aFf2Kpump</t>
        </is>
      </c>
      <c r="P219" s="21">
        <f>HYPERLINK("https://photon-sol.tinyastro.io/en/lp/59eHPdN2D4rwRXEbpJPr4u2HCQ9u8G4s9F8aFf2Kpump?handle=676050794bc1b1657a56b", "View")</f>
        <v/>
      </c>
    </row>
    <row r="220">
      <c r="A220" s="16" t="inlineStr">
        <is>
          <t>Rute</t>
        </is>
      </c>
      <c r="B220" s="17" t="n">
        <v>6345074</v>
      </c>
      <c r="C220" s="17" t="n">
        <v>6345074</v>
      </c>
      <c r="D220" s="17" t="inlineStr">
        <is>
          <t>0.016020</t>
        </is>
      </c>
      <c r="E220" s="17" t="inlineStr">
        <is>
          <t>1.469 SOL</t>
        </is>
      </c>
      <c r="F220" s="17" t="inlineStr">
        <is>
          <t>1.409 SOL</t>
        </is>
      </c>
      <c r="G220" s="25" t="inlineStr">
        <is>
          <t>-0.076 SOL</t>
        </is>
      </c>
      <c r="H220" s="25" t="inlineStr">
        <is>
          <t>-5.14%</t>
        </is>
      </c>
      <c r="I220" s="17" t="inlineStr">
        <is>
          <t>N/A</t>
        </is>
      </c>
      <c r="J220" s="17" t="n">
        <v>2</v>
      </c>
      <c r="K220" s="17" t="n">
        <v>2</v>
      </c>
      <c r="L220" s="17" t="inlineStr">
        <is>
          <t>25.10.2024 19:12:20</t>
        </is>
      </c>
      <c r="M220" s="17" t="inlineStr">
        <is>
          <t>1 min</t>
        </is>
      </c>
      <c r="N220" s="17" t="inlineStr">
        <is>
          <t xml:space="preserve">         39K            40K             5K</t>
        </is>
      </c>
      <c r="O220" s="17" t="inlineStr">
        <is>
          <t>ErUhvKtfeJ6M6ZepUQkzt4PPZXJZSf5aVim9LUp3pump</t>
        </is>
      </c>
      <c r="P220" s="17">
        <f>HYPERLINK("https://photon-sol.tinyastro.io/en/lp/ErUhvKtfeJ6M6ZepUQkzt4PPZXJZSf5aVim9LUp3pump?handle=676050794bc1b1657a56b", "View")</f>
        <v/>
      </c>
    </row>
    <row r="221">
      <c r="A221" s="20" t="inlineStr">
        <is>
          <t>Manilow</t>
        </is>
      </c>
      <c r="B221" s="21" t="n">
        <v>1524284</v>
      </c>
      <c r="C221" s="21" t="n">
        <v>1524284</v>
      </c>
      <c r="D221" s="21" t="inlineStr">
        <is>
          <t>0.016020</t>
        </is>
      </c>
      <c r="E221" s="21" t="inlineStr">
        <is>
          <t>1.000 SOL</t>
        </is>
      </c>
      <c r="F221" s="21" t="inlineStr">
        <is>
          <t>0.864 SOL</t>
        </is>
      </c>
      <c r="G221" s="25" t="inlineStr">
        <is>
          <t>-0.152 SOL</t>
        </is>
      </c>
      <c r="H221" s="25" t="inlineStr">
        <is>
          <t>-14.94%</t>
        </is>
      </c>
      <c r="I221" s="21" t="inlineStr">
        <is>
          <t>N/A</t>
        </is>
      </c>
      <c r="J221" s="21" t="n">
        <v>2</v>
      </c>
      <c r="K221" s="21" t="n">
        <v>2</v>
      </c>
      <c r="L221" s="21" t="inlineStr">
        <is>
          <t>25.10.2024 19:07:34</t>
        </is>
      </c>
      <c r="M221" s="21" t="inlineStr">
        <is>
          <t>38 min</t>
        </is>
      </c>
      <c r="N221" s="21" t="inlineStr">
        <is>
          <t xml:space="preserve">        304K            72K             9K</t>
        </is>
      </c>
      <c r="O221" s="21" t="inlineStr">
        <is>
          <t>JXL9547qPmBhutuVcFWownV6opuAkgxutvc6KCfpump</t>
        </is>
      </c>
      <c r="P221" s="21">
        <f>HYPERLINK("https://dexscreener.com/solana/JXL9547qPmBhutuVcFWownV6opuAkgxutvc6KCfpump", "View")</f>
        <v/>
      </c>
    </row>
    <row r="222">
      <c r="A222" s="16" t="inlineStr">
        <is>
          <t>Celeste</t>
        </is>
      </c>
      <c r="B222" s="17" t="n">
        <v>10472868</v>
      </c>
      <c r="C222" s="17" t="n">
        <v>10472868</v>
      </c>
      <c r="D222" s="17" t="inlineStr">
        <is>
          <t>0.016020</t>
        </is>
      </c>
      <c r="E222" s="17" t="inlineStr">
        <is>
          <t>1.184 SOL</t>
        </is>
      </c>
      <c r="F222" s="17" t="inlineStr">
        <is>
          <t>1.132 SOL</t>
        </is>
      </c>
      <c r="G222" s="25" t="inlineStr">
        <is>
          <t>-0.068 SOL</t>
        </is>
      </c>
      <c r="H222" s="25" t="inlineStr">
        <is>
          <t>-5.66%</t>
        </is>
      </c>
      <c r="I222" s="17" t="inlineStr">
        <is>
          <t>N/A</t>
        </is>
      </c>
      <c r="J222" s="17" t="n">
        <v>2</v>
      </c>
      <c r="K222" s="17" t="n">
        <v>2</v>
      </c>
      <c r="L222" s="17" t="inlineStr">
        <is>
          <t>25.10.2024 18:56:04</t>
        </is>
      </c>
      <c r="M222" s="17" t="inlineStr">
        <is>
          <t>1 min</t>
        </is>
      </c>
      <c r="N222" s="17" t="inlineStr">
        <is>
          <t xml:space="preserve">         19K            19K             5K</t>
        </is>
      </c>
      <c r="O222" s="17" t="inlineStr">
        <is>
          <t>9kuyyM32RNfLHz33g5idotDfDkM3Gyau1ZVM86cTpump</t>
        </is>
      </c>
      <c r="P222" s="17">
        <f>HYPERLINK("https://photon-sol.tinyastro.io/en/lp/9kuyyM32RNfLHz33g5idotDfDkM3Gyau1ZVM86cTpump?handle=676050794bc1b1657a56b", "View")</f>
        <v/>
      </c>
    </row>
    <row r="223">
      <c r="A223" s="20" t="inlineStr">
        <is>
          <t>Babytra</t>
        </is>
      </c>
      <c r="B223" s="21" t="n">
        <v>2997976</v>
      </c>
      <c r="C223" s="21" t="n">
        <v>2997976</v>
      </c>
      <c r="D223" s="21" t="inlineStr">
        <is>
          <t>0.020030</t>
        </is>
      </c>
      <c r="E223" s="21" t="inlineStr">
        <is>
          <t>0.499 SOL</t>
        </is>
      </c>
      <c r="F223" s="21" t="inlineStr">
        <is>
          <t>1.100 SOL</t>
        </is>
      </c>
      <c r="G223" s="24" t="inlineStr">
        <is>
          <t>0.581 SOL</t>
        </is>
      </c>
      <c r="H223" s="24" t="inlineStr">
        <is>
          <t>111.88%</t>
        </is>
      </c>
      <c r="I223" s="21" t="inlineStr">
        <is>
          <t>N/A</t>
        </is>
      </c>
      <c r="J223" s="21" t="n">
        <v>1</v>
      </c>
      <c r="K223" s="21" t="n">
        <v>4</v>
      </c>
      <c r="L223" s="21" t="inlineStr">
        <is>
          <t>25.10.2024 18:53:48</t>
        </is>
      </c>
      <c r="M223" s="21" t="inlineStr">
        <is>
          <t>9 min</t>
        </is>
      </c>
      <c r="N223" s="21" t="inlineStr">
        <is>
          <t xml:space="preserve">         30K            39K             4K</t>
        </is>
      </c>
      <c r="O223" s="21" t="inlineStr">
        <is>
          <t>4ZJpbirBT7fVewxEPx3DsLTE3ptUe2WWg25V5RcTpump</t>
        </is>
      </c>
      <c r="P223" s="21">
        <f>HYPERLINK("https://photon-sol.tinyastro.io/en/lp/4ZJpbirBT7fVewxEPx3DsLTE3ptUe2WWg25V5RcTpump?handle=676050794bc1b1657a56b", "View")</f>
        <v/>
      </c>
    </row>
    <row r="224">
      <c r="A224" s="16" t="inlineStr">
        <is>
          <t>GFWR</t>
        </is>
      </c>
      <c r="B224" s="17" t="n">
        <v>3441349</v>
      </c>
      <c r="C224" s="17" t="n">
        <v>3441349</v>
      </c>
      <c r="D224" s="17" t="inlineStr">
        <is>
          <t>0.008010</t>
        </is>
      </c>
      <c r="E224" s="17" t="inlineStr">
        <is>
          <t>0.521 SOL</t>
        </is>
      </c>
      <c r="F224" s="17" t="inlineStr">
        <is>
          <t>0.568 SOL</t>
        </is>
      </c>
      <c r="G224" s="22" t="inlineStr">
        <is>
          <t>0.039 SOL</t>
        </is>
      </c>
      <c r="H224" s="22" t="inlineStr">
        <is>
          <t>7.32%</t>
        </is>
      </c>
      <c r="I224" s="17" t="inlineStr">
        <is>
          <t>N/A</t>
        </is>
      </c>
      <c r="J224" s="17" t="n">
        <v>1</v>
      </c>
      <c r="K224" s="17" t="n">
        <v>1</v>
      </c>
      <c r="L224" s="17" t="inlineStr">
        <is>
          <t>25.10.2024 18:28:35</t>
        </is>
      </c>
      <c r="M224" s="17" t="inlineStr">
        <is>
          <t>1 min</t>
        </is>
      </c>
      <c r="N224" s="17" t="inlineStr">
        <is>
          <t xml:space="preserve">         26K            28K             7K</t>
        </is>
      </c>
      <c r="O224" s="17" t="inlineStr">
        <is>
          <t>79Dgv7q7ZQ25JoQTM7NxjQVt2DjMaZhTu9Bisz1Wpump</t>
        </is>
      </c>
      <c r="P224" s="17">
        <f>HYPERLINK("https://photon-sol.tinyastro.io/en/lp/79Dgv7q7ZQ25JoQTM7NxjQVt2DjMaZhTu9Bisz1Wpump?handle=676050794bc1b1657a56b", "View")</f>
        <v/>
      </c>
    </row>
    <row r="225">
      <c r="A225" s="20" t="inlineStr">
        <is>
          <t>apollo</t>
        </is>
      </c>
      <c r="B225" s="21" t="n">
        <v>15696043</v>
      </c>
      <c r="C225" s="21" t="n">
        <v>15696043</v>
      </c>
      <c r="D225" s="21" t="inlineStr">
        <is>
          <t>0.012020</t>
        </is>
      </c>
      <c r="E225" s="21" t="inlineStr">
        <is>
          <t>0.553 SOL</t>
        </is>
      </c>
      <c r="F225" s="21" t="inlineStr">
        <is>
          <t>1.077 SOL</t>
        </is>
      </c>
      <c r="G225" s="24" t="inlineStr">
        <is>
          <t>0.512 SOL</t>
        </is>
      </c>
      <c r="H225" s="24" t="inlineStr">
        <is>
          <t>90.50%</t>
        </is>
      </c>
      <c r="I225" s="21" t="inlineStr">
        <is>
          <t>N/A</t>
        </is>
      </c>
      <c r="J225" s="21" t="n">
        <v>1</v>
      </c>
      <c r="K225" s="21" t="n">
        <v>2</v>
      </c>
      <c r="L225" s="21" t="inlineStr">
        <is>
          <t>25.10.2024 18:21:41</t>
        </is>
      </c>
      <c r="M225" s="19" t="inlineStr">
        <is>
          <t>44 sec</t>
        </is>
      </c>
      <c r="N225" s="21" t="inlineStr">
        <is>
          <t xml:space="preserve">          7K             9K             5K</t>
        </is>
      </c>
      <c r="O225" s="21" t="inlineStr">
        <is>
          <t>26gyT2WDneQz1yBANkKDRydoGUvzXqjevvdCN35xpump</t>
        </is>
      </c>
      <c r="P225" s="21">
        <f>HYPERLINK("https://photon-sol.tinyastro.io/en/lp/26gyT2WDneQz1yBANkKDRydoGUvzXqjevvdCN35xpump?handle=676050794bc1b1657a56b", "View")</f>
        <v/>
      </c>
    </row>
    <row r="226">
      <c r="A226" s="16" t="inlineStr">
        <is>
          <t>UCTO</t>
        </is>
      </c>
      <c r="B226" s="17" t="n">
        <v>2186237</v>
      </c>
      <c r="C226" s="17" t="n">
        <v>2186237</v>
      </c>
      <c r="D226" s="17" t="inlineStr">
        <is>
          <t>0.008010</t>
        </is>
      </c>
      <c r="E226" s="17" t="inlineStr">
        <is>
          <t>0.512 SOL</t>
        </is>
      </c>
      <c r="F226" s="17" t="inlineStr">
        <is>
          <t>0.434 SOL</t>
        </is>
      </c>
      <c r="G226" s="25" t="inlineStr">
        <is>
          <t>-0.087 SOL</t>
        </is>
      </c>
      <c r="H226" s="25" t="inlineStr">
        <is>
          <t>-16.65%</t>
        </is>
      </c>
      <c r="I226" s="17" t="inlineStr">
        <is>
          <t>N/A</t>
        </is>
      </c>
      <c r="J226" s="17" t="n">
        <v>1</v>
      </c>
      <c r="K226" s="17" t="n">
        <v>1</v>
      </c>
      <c r="L226" s="17" t="inlineStr">
        <is>
          <t>25.10.2024 18:10:34</t>
        </is>
      </c>
      <c r="M226" s="19" t="inlineStr">
        <is>
          <t>9 sec</t>
        </is>
      </c>
      <c r="N226" s="17" t="inlineStr">
        <is>
          <t xml:space="preserve">         40K            35K             5K</t>
        </is>
      </c>
      <c r="O226" s="17" t="inlineStr">
        <is>
          <t>5bKEtu1zyp9ME9JVApchEEdSEbEeZY9EgTMCYy4zpump</t>
        </is>
      </c>
      <c r="P226" s="17">
        <f>HYPERLINK("https://photon-sol.tinyastro.io/en/lp/5bKEtu1zyp9ME9JVApchEEdSEbEeZY9EgTMCYy4zpump?handle=676050794bc1b1657a56b", "View")</f>
        <v/>
      </c>
    </row>
    <row r="227">
      <c r="A227" s="20" t="inlineStr">
        <is>
          <t>DUMBY</t>
        </is>
      </c>
      <c r="B227" s="21" t="n">
        <v>2167574</v>
      </c>
      <c r="C227" s="21" t="n">
        <v>2167574</v>
      </c>
      <c r="D227" s="21" t="inlineStr">
        <is>
          <t>0.008010</t>
        </is>
      </c>
      <c r="E227" s="21" t="inlineStr">
        <is>
          <t>0.500 SOL</t>
        </is>
      </c>
      <c r="F227" s="21" t="inlineStr">
        <is>
          <t>0.616 SOL</t>
        </is>
      </c>
      <c r="G227" s="22" t="inlineStr">
        <is>
          <t>0.108 SOL</t>
        </is>
      </c>
      <c r="H227" s="22" t="inlineStr">
        <is>
          <t>21.24%</t>
        </is>
      </c>
      <c r="I227" s="21" t="inlineStr">
        <is>
          <t>N/A</t>
        </is>
      </c>
      <c r="J227" s="21" t="n">
        <v>1</v>
      </c>
      <c r="K227" s="21" t="n">
        <v>1</v>
      </c>
      <c r="L227" s="21" t="inlineStr">
        <is>
          <t>25.10.2024 18:09:00</t>
        </is>
      </c>
      <c r="M227" s="19" t="inlineStr">
        <is>
          <t>33 sec</t>
        </is>
      </c>
      <c r="N227" s="21" t="inlineStr">
        <is>
          <t xml:space="preserve">         40K            49K             4K</t>
        </is>
      </c>
      <c r="O227" s="21" t="inlineStr">
        <is>
          <t>D2h9V6bkFyhS9mcsjc6ND8bbzmBdsJSu468Wdq7apump</t>
        </is>
      </c>
      <c r="P227" s="21">
        <f>HYPERLINK("https://dexscreener.com/solana/D2h9V6bkFyhS9mcsjc6ND8bbzmBdsJSu468Wdq7apump", "View")</f>
        <v/>
      </c>
    </row>
    <row r="228">
      <c r="A228" s="16" t="inlineStr">
        <is>
          <t>porn</t>
        </is>
      </c>
      <c r="B228" s="17" t="n">
        <v>2591603</v>
      </c>
      <c r="C228" s="17" t="n">
        <v>2591603</v>
      </c>
      <c r="D228" s="17" t="inlineStr">
        <is>
          <t>0.008010</t>
        </is>
      </c>
      <c r="E228" s="17" t="inlineStr">
        <is>
          <t>0.649 SOL</t>
        </is>
      </c>
      <c r="F228" s="17" t="inlineStr">
        <is>
          <t>0.310 SOL</t>
        </is>
      </c>
      <c r="G228" s="23" t="inlineStr">
        <is>
          <t>-0.347 SOL</t>
        </is>
      </c>
      <c r="H228" s="23" t="inlineStr">
        <is>
          <t>-52.85%</t>
        </is>
      </c>
      <c r="I228" s="17" t="inlineStr">
        <is>
          <t>N/A</t>
        </is>
      </c>
      <c r="J228" s="17" t="n">
        <v>1</v>
      </c>
      <c r="K228" s="17" t="n">
        <v>1</v>
      </c>
      <c r="L228" s="17" t="inlineStr">
        <is>
          <t>25.10.2024 17:40:44</t>
        </is>
      </c>
      <c r="M228" s="17" t="inlineStr">
        <is>
          <t>2 min</t>
        </is>
      </c>
      <c r="N228" s="17" t="inlineStr">
        <is>
          <t xml:space="preserve">         44K            21K             6K</t>
        </is>
      </c>
      <c r="O228" s="17" t="inlineStr">
        <is>
          <t>AV5f92a5pRyv8CtzBWEfBpJRUqpj2tehaau83Asjpump</t>
        </is>
      </c>
      <c r="P228" s="17">
        <f>HYPERLINK("https://photon-sol.tinyastro.io/en/lp/AV5f92a5pRyv8CtzBWEfBpJRUqpj2tehaau83Asjpump?handle=676050794bc1b1657a56b", "View")</f>
        <v/>
      </c>
    </row>
    <row r="229">
      <c r="A229" s="20" t="inlineStr">
        <is>
          <t>PROPHECY</t>
        </is>
      </c>
      <c r="B229" s="21" t="n">
        <v>2442246</v>
      </c>
      <c r="C229" s="21" t="n">
        <v>2442246</v>
      </c>
      <c r="D229" s="21" t="inlineStr">
        <is>
          <t>0.008010</t>
        </is>
      </c>
      <c r="E229" s="21" t="inlineStr">
        <is>
          <t>0.500 SOL</t>
        </is>
      </c>
      <c r="F229" s="21" t="inlineStr">
        <is>
          <t>0.242 SOL</t>
        </is>
      </c>
      <c r="G229" s="23" t="inlineStr">
        <is>
          <t>-0.266 SOL</t>
        </is>
      </c>
      <c r="H229" s="23" t="inlineStr">
        <is>
          <t>-52.43%</t>
        </is>
      </c>
      <c r="I229" s="21" t="inlineStr">
        <is>
          <t>N/A</t>
        </is>
      </c>
      <c r="J229" s="21" t="n">
        <v>1</v>
      </c>
      <c r="K229" s="21" t="n">
        <v>1</v>
      </c>
      <c r="L229" s="21" t="inlineStr">
        <is>
          <t>25.10.2024 17:34:28</t>
        </is>
      </c>
      <c r="M229" s="21" t="inlineStr">
        <is>
          <t>3 min</t>
        </is>
      </c>
      <c r="N229" s="21" t="inlineStr">
        <is>
          <t xml:space="preserve">         35K            18K             3K</t>
        </is>
      </c>
      <c r="O229" s="21" t="inlineStr">
        <is>
          <t>3xDgTdh5hYFjmMYTJckcnofkgFL3KLsp3t9kFeeLpump</t>
        </is>
      </c>
      <c r="P229" s="21">
        <f>HYPERLINK("https://dexscreener.com/solana/3xDgTdh5hYFjmMYTJckcnofkgFL3KLsp3t9kFeeLpump", "View")</f>
        <v/>
      </c>
    </row>
    <row r="230">
      <c r="A230" s="16" t="inlineStr">
        <is>
          <t>CATS</t>
        </is>
      </c>
      <c r="B230" s="17" t="n">
        <v>6884323</v>
      </c>
      <c r="C230" s="17" t="n">
        <v>6884323</v>
      </c>
      <c r="D230" s="17" t="inlineStr">
        <is>
          <t>0.008010</t>
        </is>
      </c>
      <c r="E230" s="17" t="inlineStr">
        <is>
          <t>0.532 SOL</t>
        </is>
      </c>
      <c r="F230" s="17" t="inlineStr">
        <is>
          <t>0.893 SOL</t>
        </is>
      </c>
      <c r="G230" s="24" t="inlineStr">
        <is>
          <t>0.353 SOL</t>
        </is>
      </c>
      <c r="H230" s="24" t="inlineStr">
        <is>
          <t>65.46%</t>
        </is>
      </c>
      <c r="I230" s="17" t="inlineStr">
        <is>
          <t>N/A</t>
        </is>
      </c>
      <c r="J230" s="17" t="n">
        <v>1</v>
      </c>
      <c r="K230" s="17" t="n">
        <v>1</v>
      </c>
      <c r="L230" s="17" t="inlineStr">
        <is>
          <t>25.10.2024 17:25:27</t>
        </is>
      </c>
      <c r="M230" s="17" t="inlineStr">
        <is>
          <t>1 min</t>
        </is>
      </c>
      <c r="N230" s="17" t="inlineStr">
        <is>
          <t xml:space="preserve">         14K            23K             5K</t>
        </is>
      </c>
      <c r="O230" s="17" t="inlineStr">
        <is>
          <t>CMWsY4SU8H8RBRzWGBH5TZQsefuGunbUwfQg8Whmpump</t>
        </is>
      </c>
      <c r="P230" s="17">
        <f>HYPERLINK("https://photon-sol.tinyastro.io/en/lp/CMWsY4SU8H8RBRzWGBH5TZQsefuGunbUwfQg8Whmpump?handle=676050794bc1b1657a56b", "View")</f>
        <v/>
      </c>
    </row>
    <row r="231">
      <c r="A231" s="20" t="inlineStr">
        <is>
          <t>vdog</t>
        </is>
      </c>
      <c r="B231" s="21" t="n">
        <v>17490669</v>
      </c>
      <c r="C231" s="21" t="n">
        <v>17490669</v>
      </c>
      <c r="D231" s="21" t="inlineStr">
        <is>
          <t>0.008010</t>
        </is>
      </c>
      <c r="E231" s="21" t="inlineStr">
        <is>
          <t>0.537 SOL</t>
        </is>
      </c>
      <c r="F231" s="21" t="inlineStr">
        <is>
          <t>0.584 SOL</t>
        </is>
      </c>
      <c r="G231" s="22" t="inlineStr">
        <is>
          <t>0.038 SOL</t>
        </is>
      </c>
      <c r="H231" s="22" t="inlineStr">
        <is>
          <t>7.04%</t>
        </is>
      </c>
      <c r="I231" s="21" t="inlineStr">
        <is>
          <t>N/A</t>
        </is>
      </c>
      <c r="J231" s="21" t="n">
        <v>1</v>
      </c>
      <c r="K231" s="21" t="n">
        <v>1</v>
      </c>
      <c r="L231" s="21" t="inlineStr">
        <is>
          <t>25.10.2024 17:13:34</t>
        </is>
      </c>
      <c r="M231" s="21" t="inlineStr">
        <is>
          <t>12 min</t>
        </is>
      </c>
      <c r="N231" s="21" t="inlineStr">
        <is>
          <t xml:space="preserve">          5K             5K             5K</t>
        </is>
      </c>
      <c r="O231" s="21" t="inlineStr">
        <is>
          <t>9UhD4uq2Yx4UC7B622xw1obguSvMnvcQoPSMWd1Npump</t>
        </is>
      </c>
      <c r="P231" s="21">
        <f>HYPERLINK("https://photon-sol.tinyastro.io/en/lp/9UhD4uq2Yx4UC7B622xw1obguSvMnvcQoPSMWd1Npump?handle=676050794bc1b1657a56b", "View")</f>
        <v/>
      </c>
    </row>
    <row r="232">
      <c r="A232" s="16" t="inlineStr">
        <is>
          <t>TKO</t>
        </is>
      </c>
      <c r="B232" s="17" t="n">
        <v>1697698</v>
      </c>
      <c r="C232" s="17" t="n">
        <v>1697698</v>
      </c>
      <c r="D232" s="17" t="inlineStr">
        <is>
          <t>0.008010</t>
        </is>
      </c>
      <c r="E232" s="17" t="inlineStr">
        <is>
          <t>0.556 SOL</t>
        </is>
      </c>
      <c r="F232" s="17" t="inlineStr">
        <is>
          <t>0.429 SOL</t>
        </is>
      </c>
      <c r="G232" s="25" t="inlineStr">
        <is>
          <t>-0.135 SOL</t>
        </is>
      </c>
      <c r="H232" s="25" t="inlineStr">
        <is>
          <t>-23.90%</t>
        </is>
      </c>
      <c r="I232" s="17" t="inlineStr">
        <is>
          <t>N/A</t>
        </is>
      </c>
      <c r="J232" s="17" t="n">
        <v>1</v>
      </c>
      <c r="K232" s="17" t="n">
        <v>1</v>
      </c>
      <c r="L232" s="17" t="inlineStr">
        <is>
          <t>25.10.2024 16:37:20</t>
        </is>
      </c>
      <c r="M232" s="17" t="inlineStr">
        <is>
          <t>10 min</t>
        </is>
      </c>
      <c r="N232" s="17" t="inlineStr">
        <is>
          <t xml:space="preserve">         58K            44K             4K</t>
        </is>
      </c>
      <c r="O232" s="17" t="inlineStr">
        <is>
          <t>9mPhi8igftGrF7ySZMSCwjST5awUVenqHv6njThjpump</t>
        </is>
      </c>
      <c r="P232" s="17">
        <f>HYPERLINK("https://photon-sol.tinyastro.io/en/lp/9mPhi8igftGrF7ySZMSCwjST5awUVenqHv6njThjpump?handle=676050794bc1b1657a56b", "View")</f>
        <v/>
      </c>
    </row>
    <row r="233">
      <c r="A233" s="20" t="inlineStr">
        <is>
          <t>Ban</t>
        </is>
      </c>
      <c r="B233" s="21" t="n">
        <v>1375277</v>
      </c>
      <c r="C233" s="21" t="n">
        <v>1375277</v>
      </c>
      <c r="D233" s="21" t="inlineStr">
        <is>
          <t>0.112140</t>
        </is>
      </c>
      <c r="E233" s="21" t="inlineStr">
        <is>
          <t>0.500 SOL</t>
        </is>
      </c>
      <c r="F233" s="21" t="inlineStr">
        <is>
          <t>5.088 SOL</t>
        </is>
      </c>
      <c r="G233" s="24" t="inlineStr">
        <is>
          <t>4.475 SOL</t>
        </is>
      </c>
      <c r="H233" s="24" t="inlineStr">
        <is>
          <t>731.11%</t>
        </is>
      </c>
      <c r="I233" s="21" t="inlineStr">
        <is>
          <t>N/A</t>
        </is>
      </c>
      <c r="J233" s="21" t="n">
        <v>1</v>
      </c>
      <c r="K233" s="21" t="n">
        <v>27</v>
      </c>
      <c r="L233" s="21" t="inlineStr">
        <is>
          <t>25.10.2024 16:27:52</t>
        </is>
      </c>
      <c r="M233" s="21" t="inlineStr">
        <is>
          <t>1 hours</t>
        </is>
      </c>
      <c r="N233" s="21" t="inlineStr">
        <is>
          <t xml:space="preserve">         63K           699K            25M</t>
        </is>
      </c>
      <c r="O233" s="21" t="inlineStr">
        <is>
          <t>9PR7nCP9DpcUotnDPVLUBUZKu5WAYkwrCUx9wDnSpump</t>
        </is>
      </c>
      <c r="P233" s="21">
        <f>HYPERLINK("https://dexscreener.com/solana/9PR7nCP9DpcUotnDPVLUBUZKu5WAYkwrCUx9wDnSpump", "View")</f>
        <v/>
      </c>
    </row>
    <row r="234">
      <c r="A234" s="16" t="inlineStr">
        <is>
          <t>FAITH</t>
        </is>
      </c>
      <c r="B234" s="17" t="n">
        <v>4372113</v>
      </c>
      <c r="C234" s="17" t="n">
        <v>4372113</v>
      </c>
      <c r="D234" s="17" t="inlineStr">
        <is>
          <t>0.008010</t>
        </is>
      </c>
      <c r="E234" s="17" t="inlineStr">
        <is>
          <t>0.521 SOL</t>
        </is>
      </c>
      <c r="F234" s="17" t="inlineStr">
        <is>
          <t>0.450 SOL</t>
        </is>
      </c>
      <c r="G234" s="25" t="inlineStr">
        <is>
          <t>-0.079 SOL</t>
        </is>
      </c>
      <c r="H234" s="25" t="inlineStr">
        <is>
          <t>-14.89%</t>
        </is>
      </c>
      <c r="I234" s="17" t="inlineStr">
        <is>
          <t>N/A</t>
        </is>
      </c>
      <c r="J234" s="17" t="n">
        <v>1</v>
      </c>
      <c r="K234" s="17" t="n">
        <v>1</v>
      </c>
      <c r="L234" s="17" t="inlineStr">
        <is>
          <t>25.10.2024 15:18:49</t>
        </is>
      </c>
      <c r="M234" s="19" t="inlineStr">
        <is>
          <t>56 sec</t>
        </is>
      </c>
      <c r="N234" s="17" t="inlineStr">
        <is>
          <t xml:space="preserve">        N/A           N/A           N/A</t>
        </is>
      </c>
      <c r="O234" s="17" t="inlineStr">
        <is>
          <t>6NTqKNWqbeJetdnTsbZhshJ5uEhi2gnMakWiDaGLBEEo</t>
        </is>
      </c>
      <c r="P234" s="17">
        <f>HYPERLINK("https://photon-sol.tinyastro.io/en/lp/6NTqKNWqbeJetdnTsbZhshJ5uEhi2gnMakWiDaGLBEEo?handle=676050794bc1b1657a56b", "View")</f>
        <v/>
      </c>
    </row>
    <row r="235">
      <c r="A235" s="20" t="inlineStr">
        <is>
          <t>dona</t>
        </is>
      </c>
      <c r="B235" s="21" t="n">
        <v>4250110</v>
      </c>
      <c r="C235" s="21" t="n">
        <v>4250110</v>
      </c>
      <c r="D235" s="21" t="inlineStr">
        <is>
          <t>0.008010</t>
        </is>
      </c>
      <c r="E235" s="21" t="inlineStr">
        <is>
          <t>0.531 SOL</t>
        </is>
      </c>
      <c r="F235" s="21" t="inlineStr">
        <is>
          <t>0.603 SOL</t>
        </is>
      </c>
      <c r="G235" s="22" t="inlineStr">
        <is>
          <t>0.064 SOL</t>
        </is>
      </c>
      <c r="H235" s="22" t="inlineStr">
        <is>
          <t>11.97%</t>
        </is>
      </c>
      <c r="I235" s="21" t="inlineStr">
        <is>
          <t>N/A</t>
        </is>
      </c>
      <c r="J235" s="21" t="n">
        <v>1</v>
      </c>
      <c r="K235" s="21" t="n">
        <v>1</v>
      </c>
      <c r="L235" s="21" t="inlineStr">
        <is>
          <t>25.10.2024 15:12:58</t>
        </is>
      </c>
      <c r="M235" s="19" t="inlineStr">
        <is>
          <t>18 sec</t>
        </is>
      </c>
      <c r="N235" s="21" t="inlineStr">
        <is>
          <t xml:space="preserve">         21K            25K             4K</t>
        </is>
      </c>
      <c r="O235" s="21" t="inlineStr">
        <is>
          <t>HfXCm49oY1xxfHdHH4qiiKHEz1aYzssT8DKHWYE5pump</t>
        </is>
      </c>
      <c r="P235" s="21">
        <f>HYPERLINK("https://photon-sol.tinyastro.io/en/lp/HfXCm49oY1xxfHdHH4qiiKHEz1aYzssT8DKHWYE5pump?handle=676050794bc1b1657a56b", "View")</f>
        <v/>
      </c>
    </row>
    <row r="236">
      <c r="A236" s="16" t="inlineStr">
        <is>
          <t>wahoo</t>
        </is>
      </c>
      <c r="B236" s="17" t="n">
        <v>8059876</v>
      </c>
      <c r="C236" s="17" t="n">
        <v>8059876</v>
      </c>
      <c r="D236" s="17" t="inlineStr">
        <is>
          <t>0.008010</t>
        </is>
      </c>
      <c r="E236" s="17" t="inlineStr">
        <is>
          <t>0.527 SOL</t>
        </is>
      </c>
      <c r="F236" s="17" t="inlineStr">
        <is>
          <t>0.220 SOL</t>
        </is>
      </c>
      <c r="G236" s="23" t="inlineStr">
        <is>
          <t>-0.315 SOL</t>
        </is>
      </c>
      <c r="H236" s="23" t="inlineStr">
        <is>
          <t>-58.86%</t>
        </is>
      </c>
      <c r="I236" s="17" t="inlineStr">
        <is>
          <t>N/A</t>
        </is>
      </c>
      <c r="J236" s="17" t="n">
        <v>1</v>
      </c>
      <c r="K236" s="17" t="n">
        <v>1</v>
      </c>
      <c r="L236" s="17" t="inlineStr">
        <is>
          <t>25.10.2024 15:04:44</t>
        </is>
      </c>
      <c r="M236" s="19" t="inlineStr">
        <is>
          <t>39 sec</t>
        </is>
      </c>
      <c r="N236" s="17" t="inlineStr">
        <is>
          <t xml:space="preserve">         12K             5K             6K</t>
        </is>
      </c>
      <c r="O236" s="17" t="inlineStr">
        <is>
          <t>8CM7bYF3UBZNk8Mv5prYhP64Ta5G4C4NbCrqGchfpump</t>
        </is>
      </c>
      <c r="P236" s="17">
        <f>HYPERLINK("https://photon-sol.tinyastro.io/en/lp/8CM7bYF3UBZNk8Mv5prYhP64Ta5G4C4NbCrqGchfpump?handle=676050794bc1b1657a56b", "View")</f>
        <v/>
      </c>
    </row>
    <row r="237">
      <c r="A237" s="20" t="inlineStr">
        <is>
          <t>VPN</t>
        </is>
      </c>
      <c r="B237" s="21" t="n">
        <v>2592534</v>
      </c>
      <c r="C237" s="21" t="n">
        <v>2592534</v>
      </c>
      <c r="D237" s="21" t="inlineStr">
        <is>
          <t>0.008010</t>
        </is>
      </c>
      <c r="E237" s="21" t="inlineStr">
        <is>
          <t>0.535 SOL</t>
        </is>
      </c>
      <c r="F237" s="21" t="inlineStr">
        <is>
          <t>0.346 SOL</t>
        </is>
      </c>
      <c r="G237" s="25" t="inlineStr">
        <is>
          <t>-0.197 SOL</t>
        </is>
      </c>
      <c r="H237" s="25" t="inlineStr">
        <is>
          <t>-36.24%</t>
        </is>
      </c>
      <c r="I237" s="21" t="inlineStr">
        <is>
          <t>N/A</t>
        </is>
      </c>
      <c r="J237" s="21" t="n">
        <v>1</v>
      </c>
      <c r="K237" s="21" t="n">
        <v>1</v>
      </c>
      <c r="L237" s="21" t="inlineStr">
        <is>
          <t>25.10.2024 11:34:08</t>
        </is>
      </c>
      <c r="M237" s="21" t="inlineStr">
        <is>
          <t>2 min</t>
        </is>
      </c>
      <c r="N237" s="21" t="inlineStr">
        <is>
          <t xml:space="preserve">         37K            23K             6K</t>
        </is>
      </c>
      <c r="O237" s="21" t="inlineStr">
        <is>
          <t>HxiPu2T4EXfTo33RCvkihRSxUT11Z7ow6yHM7arHpump</t>
        </is>
      </c>
      <c r="P237" s="21">
        <f>HYPERLINK("https://photon-sol.tinyastro.io/en/lp/HxiPu2T4EXfTo33RCvkihRSxUT11Z7ow6yHM7arHpump?handle=676050794bc1b1657a56b", "View")</f>
        <v/>
      </c>
    </row>
    <row r="238">
      <c r="A238" s="16" t="inlineStr">
        <is>
          <t>Muu</t>
        </is>
      </c>
      <c r="B238" s="17" t="n">
        <v>2843293</v>
      </c>
      <c r="C238" s="17" t="n">
        <v>2843293</v>
      </c>
      <c r="D238" s="17" t="inlineStr">
        <is>
          <t>0.020030</t>
        </is>
      </c>
      <c r="E238" s="17" t="inlineStr">
        <is>
          <t>0.550 SOL</t>
        </is>
      </c>
      <c r="F238" s="17" t="inlineStr">
        <is>
          <t>1.025 SOL</t>
        </is>
      </c>
      <c r="G238" s="24" t="inlineStr">
        <is>
          <t>0.455 SOL</t>
        </is>
      </c>
      <c r="H238" s="24" t="inlineStr">
        <is>
          <t>79.82%</t>
        </is>
      </c>
      <c r="I238" s="17" t="inlineStr">
        <is>
          <t>N/A</t>
        </is>
      </c>
      <c r="J238" s="17" t="n">
        <v>1</v>
      </c>
      <c r="K238" s="17" t="n">
        <v>4</v>
      </c>
      <c r="L238" s="17" t="inlineStr">
        <is>
          <t>25.10.2024 11:21:29</t>
        </is>
      </c>
      <c r="M238" s="17" t="inlineStr">
        <is>
          <t>5 min</t>
        </is>
      </c>
      <c r="N238" s="17" t="inlineStr">
        <is>
          <t xml:space="preserve">         33K            46K             3K</t>
        </is>
      </c>
      <c r="O238" s="17" t="inlineStr">
        <is>
          <t>HJzqBShbLXjNFkhW4qXGKy18AHbZUkPnoDo1t3T6pump</t>
        </is>
      </c>
      <c r="P238" s="17">
        <f>HYPERLINK("https://photon-sol.tinyastro.io/en/lp/HJzqBShbLXjNFkhW4qXGKy18AHbZUkPnoDo1t3T6pump?handle=676050794bc1b1657a56b", "View")</f>
        <v/>
      </c>
    </row>
    <row r="239">
      <c r="A239" s="20" t="inlineStr">
        <is>
          <t>RE</t>
        </is>
      </c>
      <c r="B239" s="21" t="n">
        <v>443540</v>
      </c>
      <c r="C239" s="21" t="n">
        <v>443540</v>
      </c>
      <c r="D239" s="21" t="inlineStr">
        <is>
          <t>0.008010</t>
        </is>
      </c>
      <c r="E239" s="21" t="inlineStr">
        <is>
          <t>0.500 SOL</t>
        </is>
      </c>
      <c r="F239" s="21" t="inlineStr">
        <is>
          <t>0.749 SOL</t>
        </is>
      </c>
      <c r="G239" s="22" t="inlineStr">
        <is>
          <t>0.241 SOL</t>
        </is>
      </c>
      <c r="H239" s="22" t="inlineStr">
        <is>
          <t>47.53%</t>
        </is>
      </c>
      <c r="I239" s="21" t="inlineStr">
        <is>
          <t>N/A</t>
        </is>
      </c>
      <c r="J239" s="21" t="n">
        <v>1</v>
      </c>
      <c r="K239" s="21" t="n">
        <v>1</v>
      </c>
      <c r="L239" s="21" t="inlineStr">
        <is>
          <t>25.10.2024 11:08:48</t>
        </is>
      </c>
      <c r="M239" s="21" t="inlineStr">
        <is>
          <t>1 min</t>
        </is>
      </c>
      <c r="N239" s="21" t="inlineStr">
        <is>
          <t xml:space="preserve">        198K           296K             4K</t>
        </is>
      </c>
      <c r="O239" s="21" t="inlineStr">
        <is>
          <t>9U6USdExcmwm8XEefJxFP6kejzJqxgxDRsy4UwUBpump</t>
        </is>
      </c>
      <c r="P239" s="21">
        <f>HYPERLINK("https://dexscreener.com/solana/9U6USdExcmwm8XEefJxFP6kejzJqxgxDRsy4UwUBpump", "View")</f>
        <v/>
      </c>
    </row>
    <row r="240">
      <c r="A240" s="16" t="inlineStr">
        <is>
          <t>DRAGON</t>
        </is>
      </c>
      <c r="B240" s="17" t="n">
        <v>5136178</v>
      </c>
      <c r="C240" s="17" t="n">
        <v>5136178</v>
      </c>
      <c r="D240" s="17" t="inlineStr">
        <is>
          <t>0.008010</t>
        </is>
      </c>
      <c r="E240" s="17" t="inlineStr">
        <is>
          <t>0.521 SOL</t>
        </is>
      </c>
      <c r="F240" s="17" t="inlineStr">
        <is>
          <t>0.507 SOL</t>
        </is>
      </c>
      <c r="G240" s="25" t="inlineStr">
        <is>
          <t>-0.022 SOL</t>
        </is>
      </c>
      <c r="H240" s="25" t="inlineStr">
        <is>
          <t>-4.10%</t>
        </is>
      </c>
      <c r="I240" s="17" t="inlineStr">
        <is>
          <t>N/A</t>
        </is>
      </c>
      <c r="J240" s="17" t="n">
        <v>1</v>
      </c>
      <c r="K240" s="17" t="n">
        <v>1</v>
      </c>
      <c r="L240" s="17" t="inlineStr">
        <is>
          <t>25.10.2024 10:59:25</t>
        </is>
      </c>
      <c r="M240" s="17" t="inlineStr">
        <is>
          <t>1 min</t>
        </is>
      </c>
      <c r="N240" s="17" t="inlineStr">
        <is>
          <t xml:space="preserve">         17K            17K             5K</t>
        </is>
      </c>
      <c r="O240" s="17" t="inlineStr">
        <is>
          <t>Gf4Yzu3yCU8pg2xtwU7PRsQy2Ts4XhFa5D8DbeSWpump</t>
        </is>
      </c>
      <c r="P240" s="17">
        <f>HYPERLINK("https://photon-sol.tinyastro.io/en/lp/Gf4Yzu3yCU8pg2xtwU7PRsQy2Ts4XhFa5D8DbeSWpump?handle=676050794bc1b1657a56b", "View")</f>
        <v/>
      </c>
    </row>
    <row r="241">
      <c r="A241" s="20" t="inlineStr">
        <is>
          <t>CUBBY</t>
        </is>
      </c>
      <c r="B241" s="21" t="n">
        <v>9686495</v>
      </c>
      <c r="C241" s="21" t="n">
        <v>9686495</v>
      </c>
      <c r="D241" s="21" t="inlineStr">
        <is>
          <t>0.016020</t>
        </is>
      </c>
      <c r="E241" s="21" t="inlineStr">
        <is>
          <t>0.521 SOL</t>
        </is>
      </c>
      <c r="F241" s="21" t="inlineStr">
        <is>
          <t>1.193 SOL</t>
        </is>
      </c>
      <c r="G241" s="24" t="inlineStr">
        <is>
          <t>0.656 SOL</t>
        </is>
      </c>
      <c r="H241" s="24" t="inlineStr">
        <is>
          <t>122.16%</t>
        </is>
      </c>
      <c r="I241" s="21" t="inlineStr">
        <is>
          <t>N/A</t>
        </is>
      </c>
      <c r="J241" s="21" t="n">
        <v>1</v>
      </c>
      <c r="K241" s="21" t="n">
        <v>3</v>
      </c>
      <c r="L241" s="21" t="inlineStr">
        <is>
          <t>25.10.2024 10:03:06</t>
        </is>
      </c>
      <c r="M241" s="21" t="inlineStr">
        <is>
          <t>29 min</t>
        </is>
      </c>
      <c r="N241" s="21" t="inlineStr">
        <is>
          <t xml:space="preserve">          9K            14K             5K</t>
        </is>
      </c>
      <c r="O241" s="21" t="inlineStr">
        <is>
          <t>Hu5ZquXYqxNSFyAB1RbowegjjP37d7XqLdoJTLLopump</t>
        </is>
      </c>
      <c r="P241" s="21">
        <f>HYPERLINK("https://photon-sol.tinyastro.io/en/lp/Hu5ZquXYqxNSFyAB1RbowegjjP37d7XqLdoJTLLopump?handle=676050794bc1b1657a56b", "View")</f>
        <v/>
      </c>
    </row>
    <row r="242">
      <c r="A242" s="16" t="inlineStr">
        <is>
          <t>Hikari</t>
        </is>
      </c>
      <c r="B242" s="17" t="n">
        <v>21135266</v>
      </c>
      <c r="C242" s="17" t="n">
        <v>26135266</v>
      </c>
      <c r="D242" s="17" t="inlineStr">
        <is>
          <t>0.052070</t>
        </is>
      </c>
      <c r="E242" s="17" t="inlineStr">
        <is>
          <t>1.053 SOL</t>
        </is>
      </c>
      <c r="F242" s="17" t="inlineStr">
        <is>
          <t>7.467 SOL</t>
        </is>
      </c>
      <c r="G242" s="24" t="inlineStr">
        <is>
          <t>6.362 SOL</t>
        </is>
      </c>
      <c r="H242" s="24" t="inlineStr">
        <is>
          <t>575.71%</t>
        </is>
      </c>
      <c r="I242" s="17" t="inlineStr">
        <is>
          <t>N/A</t>
        </is>
      </c>
      <c r="J242" s="17" t="n">
        <v>2</v>
      </c>
      <c r="K242" s="17" t="n">
        <v>11</v>
      </c>
      <c r="L242" s="17" t="inlineStr">
        <is>
          <t>25.10.2024 09:31:57</t>
        </is>
      </c>
      <c r="M242" s="17" t="inlineStr">
        <is>
          <t>15 min</t>
        </is>
      </c>
      <c r="N242" s="17" t="inlineStr">
        <is>
          <t xml:space="preserve">          7K            19K             5K</t>
        </is>
      </c>
      <c r="O242" s="17" t="inlineStr">
        <is>
          <t>cecCwCa6sggKyYWfXW6wCtgpyq66F7EiGsy7ow3pump</t>
        </is>
      </c>
      <c r="P242" s="17">
        <f>HYPERLINK("https://photon-sol.tinyastro.io/en/lp/cecCwCa6sggKyYWfXW6wCtgpyq66F7EiGsy7ow3pump?handle=676050794bc1b1657a56b", "View")</f>
        <v/>
      </c>
    </row>
    <row r="243">
      <c r="A243" s="20" t="inlineStr">
        <is>
          <t>ChaoChor</t>
        </is>
      </c>
      <c r="B243" s="21" t="n">
        <v>1614452</v>
      </c>
      <c r="C243" s="21" t="n">
        <v>1614452</v>
      </c>
      <c r="D243" s="21" t="inlineStr">
        <is>
          <t>0.008010</t>
        </is>
      </c>
      <c r="E243" s="21" t="inlineStr">
        <is>
          <t>0.500 SOL</t>
        </is>
      </c>
      <c r="F243" s="21" t="inlineStr">
        <is>
          <t>0.494 SOL</t>
        </is>
      </c>
      <c r="G243" s="25" t="inlineStr">
        <is>
          <t>-0.014 SOL</t>
        </is>
      </c>
      <c r="H243" s="25" t="inlineStr">
        <is>
          <t>-2.78%</t>
        </is>
      </c>
      <c r="I243" s="21" t="inlineStr">
        <is>
          <t>N/A</t>
        </is>
      </c>
      <c r="J243" s="21" t="n">
        <v>1</v>
      </c>
      <c r="K243" s="21" t="n">
        <v>1</v>
      </c>
      <c r="L243" s="21" t="inlineStr">
        <is>
          <t>25.10.2024 08:58:43</t>
        </is>
      </c>
      <c r="M243" s="21" t="inlineStr">
        <is>
          <t>1 min</t>
        </is>
      </c>
      <c r="N243" s="21" t="inlineStr">
        <is>
          <t xml:space="preserve">         51K            51K            17K</t>
        </is>
      </c>
      <c r="O243" s="21" t="inlineStr">
        <is>
          <t>CPCd7iEztRBCsJoyPhC2yArnx5EH8MqxbC4jXJCqpump</t>
        </is>
      </c>
      <c r="P243" s="21">
        <f>HYPERLINK("https://dexscreener.com/solana/CPCd7iEztRBCsJoyPhC2yArnx5EH8MqxbC4jXJCqpump", "View")</f>
        <v/>
      </c>
    </row>
    <row r="244">
      <c r="A244" s="16" t="inlineStr">
        <is>
          <t>WVM</t>
        </is>
      </c>
      <c r="B244" s="17" t="n">
        <v>7432449</v>
      </c>
      <c r="C244" s="17" t="n">
        <v>7432449</v>
      </c>
      <c r="D244" s="17" t="inlineStr">
        <is>
          <t>0.016020</t>
        </is>
      </c>
      <c r="E244" s="17" t="inlineStr">
        <is>
          <t>1.036 SOL</t>
        </is>
      </c>
      <c r="F244" s="17" t="inlineStr">
        <is>
          <t>0.831 SOL</t>
        </is>
      </c>
      <c r="G244" s="25" t="inlineStr">
        <is>
          <t>-0.222 SOL</t>
        </is>
      </c>
      <c r="H244" s="25" t="inlineStr">
        <is>
          <t>-21.08%</t>
        </is>
      </c>
      <c r="I244" s="17" t="inlineStr">
        <is>
          <t>N/A</t>
        </is>
      </c>
      <c r="J244" s="17" t="n">
        <v>2</v>
      </c>
      <c r="K244" s="17" t="n">
        <v>2</v>
      </c>
      <c r="L244" s="17" t="inlineStr">
        <is>
          <t>25.10.2024 08:50:31</t>
        </is>
      </c>
      <c r="M244" s="17" t="inlineStr">
        <is>
          <t>6 min</t>
        </is>
      </c>
      <c r="N244" s="17" t="inlineStr">
        <is>
          <t xml:space="preserve">         26K            23K             5K</t>
        </is>
      </c>
      <c r="O244" s="17" t="inlineStr">
        <is>
          <t>CAA1xQyxhUTZhgvMvxs1wfoLSUQ5CjxgJCY9qH31pump</t>
        </is>
      </c>
      <c r="P244" s="17">
        <f>HYPERLINK("https://photon-sol.tinyastro.io/en/lp/CAA1xQyxhUTZhgvMvxs1wfoLSUQ5CjxgJCY9qH31pump?handle=676050794bc1b1657a56b", "View")</f>
        <v/>
      </c>
    </row>
    <row r="245">
      <c r="A245" s="20" t="inlineStr">
        <is>
          <t>BMTRI6900</t>
        </is>
      </c>
      <c r="B245" s="21" t="n">
        <v>12106616</v>
      </c>
      <c r="C245" s="21" t="n">
        <v>12106616</v>
      </c>
      <c r="D245" s="21" t="inlineStr">
        <is>
          <t>0.008010</t>
        </is>
      </c>
      <c r="E245" s="21" t="inlineStr">
        <is>
          <t>0.521 SOL</t>
        </is>
      </c>
      <c r="F245" s="21" t="inlineStr">
        <is>
          <t>0.495 SOL</t>
        </is>
      </c>
      <c r="G245" s="25" t="inlineStr">
        <is>
          <t>-0.034 SOL</t>
        </is>
      </c>
      <c r="H245" s="25" t="inlineStr">
        <is>
          <t>-6.35%</t>
        </is>
      </c>
      <c r="I245" s="21" t="inlineStr">
        <is>
          <t>N/A</t>
        </is>
      </c>
      <c r="J245" s="21" t="n">
        <v>1</v>
      </c>
      <c r="K245" s="21" t="n">
        <v>1</v>
      </c>
      <c r="L245" s="21" t="inlineStr">
        <is>
          <t>25.10.2024 08:40:11</t>
        </is>
      </c>
      <c r="M245" s="19" t="inlineStr">
        <is>
          <t>32 sec</t>
        </is>
      </c>
      <c r="N245" s="21" t="inlineStr">
        <is>
          <t xml:space="preserve">          7K             7K             5K</t>
        </is>
      </c>
      <c r="O245" s="21" t="inlineStr">
        <is>
          <t>EirTE5BwDZm945KcrYzfwPGVYxzNYdGkHsFuLUK5pump</t>
        </is>
      </c>
      <c r="P245" s="21">
        <f>HYPERLINK("https://photon-sol.tinyastro.io/en/lp/EirTE5BwDZm945KcrYzfwPGVYxzNYdGkHsFuLUK5pump?handle=676050794bc1b1657a56b", "View")</f>
        <v/>
      </c>
    </row>
    <row r="246">
      <c r="A246" s="16" t="inlineStr">
        <is>
          <t>Trumpken</t>
        </is>
      </c>
      <c r="B246" s="17" t="n">
        <v>4780873</v>
      </c>
      <c r="C246" s="17" t="n">
        <v>4780873</v>
      </c>
      <c r="D246" s="17" t="inlineStr">
        <is>
          <t>0.008010</t>
        </is>
      </c>
      <c r="E246" s="17" t="inlineStr">
        <is>
          <t>0.521 SOL</t>
        </is>
      </c>
      <c r="F246" s="17" t="inlineStr">
        <is>
          <t>0.322 SOL</t>
        </is>
      </c>
      <c r="G246" s="25" t="inlineStr">
        <is>
          <t>-0.207 SOL</t>
        </is>
      </c>
      <c r="H246" s="25" t="inlineStr">
        <is>
          <t>-39.06%</t>
        </is>
      </c>
      <c r="I246" s="17" t="inlineStr">
        <is>
          <t>N/A</t>
        </is>
      </c>
      <c r="J246" s="17" t="n">
        <v>1</v>
      </c>
      <c r="K246" s="17" t="n">
        <v>1</v>
      </c>
      <c r="L246" s="17" t="inlineStr">
        <is>
          <t>25.10.2024 08:27:25</t>
        </is>
      </c>
      <c r="M246" s="19" t="inlineStr">
        <is>
          <t>23 sec</t>
        </is>
      </c>
      <c r="N246" s="17" t="inlineStr">
        <is>
          <t xml:space="preserve">         19K            12K             5K</t>
        </is>
      </c>
      <c r="O246" s="17" t="inlineStr">
        <is>
          <t>Bh8nfdNZrjyE6eNAJ5GLJWXm8KuhYfR5Vgot8cP7pump</t>
        </is>
      </c>
      <c r="P246" s="17">
        <f>HYPERLINK("https://photon-sol.tinyastro.io/en/lp/Bh8nfdNZrjyE6eNAJ5GLJWXm8KuhYfR5Vgot8cP7pump?handle=676050794bc1b1657a56b", "View")</f>
        <v/>
      </c>
    </row>
    <row r="247">
      <c r="A247" s="20" t="inlineStr">
        <is>
          <t>liar</t>
        </is>
      </c>
      <c r="B247" s="21" t="n">
        <v>2030654</v>
      </c>
      <c r="C247" s="21" t="n">
        <v>2030654</v>
      </c>
      <c r="D247" s="21" t="inlineStr">
        <is>
          <t>0.008010</t>
        </is>
      </c>
      <c r="E247" s="21" t="inlineStr">
        <is>
          <t>0.523 SOL</t>
        </is>
      </c>
      <c r="F247" s="21" t="inlineStr">
        <is>
          <t>0.407 SOL</t>
        </is>
      </c>
      <c r="G247" s="25" t="inlineStr">
        <is>
          <t>-0.123 SOL</t>
        </is>
      </c>
      <c r="H247" s="25" t="inlineStr">
        <is>
          <t>-23.21%</t>
        </is>
      </c>
      <c r="I247" s="21" t="inlineStr">
        <is>
          <t>N/A</t>
        </is>
      </c>
      <c r="J247" s="21" t="n">
        <v>1</v>
      </c>
      <c r="K247" s="21" t="n">
        <v>1</v>
      </c>
      <c r="L247" s="21" t="inlineStr">
        <is>
          <t>25.10.2024 08:06:53</t>
        </is>
      </c>
      <c r="M247" s="21" t="inlineStr">
        <is>
          <t>3 min</t>
        </is>
      </c>
      <c r="N247" s="21" t="inlineStr">
        <is>
          <t xml:space="preserve">         46K            35K             5K</t>
        </is>
      </c>
      <c r="O247" s="21" t="inlineStr">
        <is>
          <t>7LqKdeAc7eM6hABavHaqpotNKubxVrhSkoPchcaUpump</t>
        </is>
      </c>
      <c r="P247" s="21">
        <f>HYPERLINK("https://photon-sol.tinyastro.io/en/lp/7LqKdeAc7eM6hABavHaqpotNKubxVrhSkoPchcaUpump?handle=676050794bc1b1657a56b", "View")</f>
        <v/>
      </c>
    </row>
    <row r="248">
      <c r="A248" s="16" t="inlineStr">
        <is>
          <t>fos</t>
        </is>
      </c>
      <c r="B248" s="17" t="n">
        <v>7809157</v>
      </c>
      <c r="C248" s="17" t="n">
        <v>7809157</v>
      </c>
      <c r="D248" s="17" t="inlineStr">
        <is>
          <t>0.012020</t>
        </is>
      </c>
      <c r="E248" s="17" t="inlineStr">
        <is>
          <t>0.521 SOL</t>
        </is>
      </c>
      <c r="F248" s="17" t="inlineStr">
        <is>
          <t>0.718 SOL</t>
        </is>
      </c>
      <c r="G248" s="22" t="inlineStr">
        <is>
          <t>0.185 SOL</t>
        </is>
      </c>
      <c r="H248" s="22" t="inlineStr">
        <is>
          <t>34.68%</t>
        </is>
      </c>
      <c r="I248" s="17" t="inlineStr">
        <is>
          <t>N/A</t>
        </is>
      </c>
      <c r="J248" s="17" t="n">
        <v>1</v>
      </c>
      <c r="K248" s="17" t="n">
        <v>2</v>
      </c>
      <c r="L248" s="17" t="inlineStr">
        <is>
          <t>25.10.2024 07:01:10</t>
        </is>
      </c>
      <c r="M248" s="17" t="inlineStr">
        <is>
          <t>1 days</t>
        </is>
      </c>
      <c r="N248" s="17" t="inlineStr">
        <is>
          <t xml:space="preserve">         12K            25K             8K</t>
        </is>
      </c>
      <c r="O248" s="17" t="inlineStr">
        <is>
          <t>96n2CYd8Vh8EnbB2XSQzdDmgpVyf7Jb36BX2jDJNpump</t>
        </is>
      </c>
      <c r="P248" s="17">
        <f>HYPERLINK("https://photon-sol.tinyastro.io/en/lp/96n2CYd8Vh8EnbB2XSQzdDmgpVyf7Jb36BX2jDJNpump?handle=676050794bc1b1657a56b", "View")</f>
        <v/>
      </c>
    </row>
    <row r="249">
      <c r="A249" s="20" t="inlineStr">
        <is>
          <t>Blorm</t>
        </is>
      </c>
      <c r="B249" s="21" t="n">
        <v>6668131</v>
      </c>
      <c r="C249" s="21" t="n">
        <v>6668131</v>
      </c>
      <c r="D249" s="21" t="inlineStr">
        <is>
          <t>0.008010</t>
        </is>
      </c>
      <c r="E249" s="21" t="inlineStr">
        <is>
          <t>0.521 SOL</t>
        </is>
      </c>
      <c r="F249" s="21" t="inlineStr">
        <is>
          <t>0.481 SOL</t>
        </is>
      </c>
      <c r="G249" s="25" t="inlineStr">
        <is>
          <t>-0.048 SOL</t>
        </is>
      </c>
      <c r="H249" s="25" t="inlineStr">
        <is>
          <t>-9.07%</t>
        </is>
      </c>
      <c r="I249" s="21" t="inlineStr">
        <is>
          <t>N/A</t>
        </is>
      </c>
      <c r="J249" s="21" t="n">
        <v>1</v>
      </c>
      <c r="K249" s="21" t="n">
        <v>1</v>
      </c>
      <c r="L249" s="21" t="inlineStr">
        <is>
          <t>24.10.2024 17:17:40</t>
        </is>
      </c>
      <c r="M249" s="19" t="inlineStr">
        <is>
          <t>52 sec</t>
        </is>
      </c>
      <c r="N249" s="21" t="inlineStr">
        <is>
          <t xml:space="preserve">         14K            12K            13K</t>
        </is>
      </c>
      <c r="O249" s="21" t="inlineStr">
        <is>
          <t>8uccgTVU9bdjfZagdGzchrPS7j8F4kk6PYKZaK6Hpump</t>
        </is>
      </c>
      <c r="P249" s="21">
        <f>HYPERLINK("https://photon-sol.tinyastro.io/en/lp/8uccgTVU9bdjfZagdGzchrPS7j8F4kk6PYKZaK6Hpump?handle=676050794bc1b1657a56b", "View")</f>
        <v/>
      </c>
    </row>
    <row r="250">
      <c r="A250" s="16" t="inlineStr">
        <is>
          <t>hif</t>
        </is>
      </c>
      <c r="B250" s="17" t="n">
        <v>13110517</v>
      </c>
      <c r="C250" s="17" t="n">
        <v>13110517</v>
      </c>
      <c r="D250" s="17" t="inlineStr">
        <is>
          <t>0.012020</t>
        </is>
      </c>
      <c r="E250" s="17" t="inlineStr">
        <is>
          <t>0.457 SOL</t>
        </is>
      </c>
      <c r="F250" s="17" t="inlineStr">
        <is>
          <t>0.578 SOL</t>
        </is>
      </c>
      <c r="G250" s="22" t="inlineStr">
        <is>
          <t>0.109 SOL</t>
        </is>
      </c>
      <c r="H250" s="22" t="inlineStr">
        <is>
          <t>23.15%</t>
        </is>
      </c>
      <c r="I250" s="17" t="inlineStr">
        <is>
          <t>N/A</t>
        </is>
      </c>
      <c r="J250" s="17" t="n">
        <v>1</v>
      </c>
      <c r="K250" s="17" t="n">
        <v>2</v>
      </c>
      <c r="L250" s="17" t="inlineStr">
        <is>
          <t>24.10.2024 16:15:44</t>
        </is>
      </c>
      <c r="M250" s="17" t="inlineStr">
        <is>
          <t>9 min</t>
        </is>
      </c>
      <c r="N250" s="17" t="inlineStr">
        <is>
          <t xml:space="preserve">          5K             7K             5K</t>
        </is>
      </c>
      <c r="O250" s="17" t="inlineStr">
        <is>
          <t>A6VrjjMYX1cremsJbsXBPSuW9MeCvNUMhHzzp3JHpump</t>
        </is>
      </c>
      <c r="P250" s="17">
        <f>HYPERLINK("https://photon-sol.tinyastro.io/en/lp/A6VrjjMYX1cremsJbsXBPSuW9MeCvNUMhHzzp3JHpump?handle=676050794bc1b1657a56b", "View")</f>
        <v/>
      </c>
    </row>
    <row r="251">
      <c r="A251" s="20" t="inlineStr">
        <is>
          <t>FENGSHUI</t>
        </is>
      </c>
      <c r="B251" s="21" t="n">
        <v>723267</v>
      </c>
      <c r="C251" s="21" t="n">
        <v>723267</v>
      </c>
      <c r="D251" s="21" t="inlineStr">
        <is>
          <t>0.008010</t>
        </is>
      </c>
      <c r="E251" s="21" t="inlineStr">
        <is>
          <t>0.500 SOL</t>
        </is>
      </c>
      <c r="F251" s="21" t="inlineStr">
        <is>
          <t>0.206 SOL</t>
        </is>
      </c>
      <c r="G251" s="23" t="inlineStr">
        <is>
          <t>-0.302 SOL</t>
        </is>
      </c>
      <c r="H251" s="23" t="inlineStr">
        <is>
          <t>-59.45%</t>
        </is>
      </c>
      <c r="I251" s="21" t="inlineStr">
        <is>
          <t>N/A</t>
        </is>
      </c>
      <c r="J251" s="21" t="n">
        <v>1</v>
      </c>
      <c r="K251" s="21" t="n">
        <v>1</v>
      </c>
      <c r="L251" s="21" t="inlineStr">
        <is>
          <t>24.10.2024 16:04:56</t>
        </is>
      </c>
      <c r="M251" s="21" t="inlineStr">
        <is>
          <t>2 min</t>
        </is>
      </c>
      <c r="N251" s="21" t="inlineStr">
        <is>
          <t xml:space="preserve">        121K            49K             5K</t>
        </is>
      </c>
      <c r="O251" s="21" t="inlineStr">
        <is>
          <t>9FKppQRvBe1KLCzL5Kr7mFagN6xL86CVdij7EfUPpump</t>
        </is>
      </c>
      <c r="P251" s="21">
        <f>HYPERLINK("https://dexscreener.com/solana/9FKppQRvBe1KLCzL5Kr7mFagN6xL86CVdij7EfUPpump", "View")</f>
        <v/>
      </c>
    </row>
    <row r="252">
      <c r="A252" s="16" t="inlineStr">
        <is>
          <t>APT</t>
        </is>
      </c>
      <c r="B252" s="17" t="n">
        <v>5658609</v>
      </c>
      <c r="C252" s="17" t="n">
        <v>5658609</v>
      </c>
      <c r="D252" s="17" t="inlineStr">
        <is>
          <t>0.008010</t>
        </is>
      </c>
      <c r="E252" s="17" t="inlineStr">
        <is>
          <t>0.540 SOL</t>
        </is>
      </c>
      <c r="F252" s="17" t="inlineStr">
        <is>
          <t>0.456 SOL</t>
        </is>
      </c>
      <c r="G252" s="25" t="inlineStr">
        <is>
          <t>-0.093 SOL</t>
        </is>
      </c>
      <c r="H252" s="25" t="inlineStr">
        <is>
          <t>-16.93%</t>
        </is>
      </c>
      <c r="I252" s="17" t="inlineStr">
        <is>
          <t>N/A</t>
        </is>
      </c>
      <c r="J252" s="17" t="n">
        <v>1</v>
      </c>
      <c r="K252" s="17" t="n">
        <v>1</v>
      </c>
      <c r="L252" s="17" t="inlineStr">
        <is>
          <t>24.10.2024 11:22:32</t>
        </is>
      </c>
      <c r="M252" s="19" t="inlineStr">
        <is>
          <t>16 sec</t>
        </is>
      </c>
      <c r="N252" s="17" t="inlineStr">
        <is>
          <t xml:space="preserve">         18K            14K             5K</t>
        </is>
      </c>
      <c r="O252" s="17" t="inlineStr">
        <is>
          <t>9RawbhiJnqYhY4kZDcqbjqsNvXiuCdTnYXekw6Zzpump</t>
        </is>
      </c>
      <c r="P252" s="17">
        <f>HYPERLINK("https://photon-sol.tinyastro.io/en/lp/9RawbhiJnqYhY4kZDcqbjqsNvXiuCdTnYXekw6Zzpump?handle=676050794bc1b1657a56b", "View")</f>
        <v/>
      </c>
    </row>
    <row r="253">
      <c r="A253" s="20" t="inlineStr">
        <is>
          <t>GTerminal</t>
        </is>
      </c>
      <c r="B253" s="21" t="n">
        <v>455485</v>
      </c>
      <c r="C253" s="21" t="n">
        <v>455485</v>
      </c>
      <c r="D253" s="21" t="inlineStr">
        <is>
          <t>0.008010</t>
        </is>
      </c>
      <c r="E253" s="21" t="inlineStr">
        <is>
          <t>0.500 SOL</t>
        </is>
      </c>
      <c r="F253" s="21" t="inlineStr">
        <is>
          <t>0.426 SOL</t>
        </is>
      </c>
      <c r="G253" s="25" t="inlineStr">
        <is>
          <t>-0.082 SOL</t>
        </is>
      </c>
      <c r="H253" s="25" t="inlineStr">
        <is>
          <t>-16.13%</t>
        </is>
      </c>
      <c r="I253" s="21" t="inlineStr">
        <is>
          <t>N/A</t>
        </is>
      </c>
      <c r="J253" s="21" t="n">
        <v>1</v>
      </c>
      <c r="K253" s="21" t="n">
        <v>1</v>
      </c>
      <c r="L253" s="21" t="inlineStr">
        <is>
          <t>24.10.2024 10:03:28</t>
        </is>
      </c>
      <c r="M253" s="21" t="inlineStr">
        <is>
          <t>5 min</t>
        </is>
      </c>
      <c r="N253" s="21" t="inlineStr">
        <is>
          <t xml:space="preserve">        193K           165K            10K</t>
        </is>
      </c>
      <c r="O253" s="21" t="inlineStr">
        <is>
          <t>BP9uo1NFoh8dh7TeeDswyCwj2BUaNL57U8tPCCRFpump</t>
        </is>
      </c>
      <c r="P253" s="21">
        <f>HYPERLINK("https://dexscreener.com/solana/BP9uo1NFoh8dh7TeeDswyCwj2BUaNL57U8tPCCRFpump", "View")</f>
        <v/>
      </c>
    </row>
    <row r="254">
      <c r="A254" s="16" t="inlineStr">
        <is>
          <t>g0at</t>
        </is>
      </c>
      <c r="B254" s="17" t="n">
        <v>2255533</v>
      </c>
      <c r="C254" s="17" t="n">
        <v>2255533</v>
      </c>
      <c r="D254" s="17" t="inlineStr">
        <is>
          <t>0.008010</t>
        </is>
      </c>
      <c r="E254" s="17" t="inlineStr">
        <is>
          <t>0.537 SOL</t>
        </is>
      </c>
      <c r="F254" s="17" t="inlineStr">
        <is>
          <t>0.347 SOL</t>
        </is>
      </c>
      <c r="G254" s="25" t="inlineStr">
        <is>
          <t>-0.198 SOL</t>
        </is>
      </c>
      <c r="H254" s="25" t="inlineStr">
        <is>
          <t>-36.28%</t>
        </is>
      </c>
      <c r="I254" s="17" t="inlineStr">
        <is>
          <t>N/A</t>
        </is>
      </c>
      <c r="J254" s="17" t="n">
        <v>1</v>
      </c>
      <c r="K254" s="17" t="n">
        <v>1</v>
      </c>
      <c r="L254" s="17" t="inlineStr">
        <is>
          <t>24.10.2024 09:50:45</t>
        </is>
      </c>
      <c r="M254" s="17" t="inlineStr">
        <is>
          <t>4 min</t>
        </is>
      </c>
      <c r="N254" s="17" t="inlineStr">
        <is>
          <t xml:space="preserve">         42K            26K             9K</t>
        </is>
      </c>
      <c r="O254" s="17" t="inlineStr">
        <is>
          <t>44cdaSsGYWAU1HxosBzkBRVcq22TtAQ4windjxr8pump</t>
        </is>
      </c>
      <c r="P254" s="17">
        <f>HYPERLINK("https://photon-sol.tinyastro.io/en/lp/44cdaSsGYWAU1HxosBzkBRVcq22TtAQ4windjxr8pump?handle=676050794bc1b1657a56b", "View")</f>
        <v/>
      </c>
    </row>
    <row r="255">
      <c r="A255" s="20" t="inlineStr">
        <is>
          <t>BLOCKS</t>
        </is>
      </c>
      <c r="B255" s="21" t="n">
        <v>32434036</v>
      </c>
      <c r="C255" s="21" t="n">
        <v>32434036</v>
      </c>
      <c r="D255" s="21" t="inlineStr">
        <is>
          <t>0.036050</t>
        </is>
      </c>
      <c r="E255" s="21" t="inlineStr">
        <is>
          <t>1.550 SOL</t>
        </is>
      </c>
      <c r="F255" s="21" t="inlineStr">
        <is>
          <t>5.181 SOL</t>
        </is>
      </c>
      <c r="G255" s="24" t="inlineStr">
        <is>
          <t>3.595 SOL</t>
        </is>
      </c>
      <c r="H255" s="24" t="inlineStr">
        <is>
          <t>226.63%</t>
        </is>
      </c>
      <c r="I255" s="21" t="inlineStr">
        <is>
          <t>N/A</t>
        </is>
      </c>
      <c r="J255" s="21" t="n">
        <v>2</v>
      </c>
      <c r="K255" s="21" t="n">
        <v>7</v>
      </c>
      <c r="L255" s="21" t="inlineStr">
        <is>
          <t>24.10.2024 09:28:50</t>
        </is>
      </c>
      <c r="M255" s="21" t="inlineStr">
        <is>
          <t>47 min</t>
        </is>
      </c>
      <c r="N255" s="21" t="inlineStr">
        <is>
          <t xml:space="preserve">          9K            21K             5K</t>
        </is>
      </c>
      <c r="O255" s="21" t="inlineStr">
        <is>
          <t>229C2FyMR1TFRQJn2TVAJ2KdPLNEwsSbmYM7koUqpump</t>
        </is>
      </c>
      <c r="P255" s="21">
        <f>HYPERLINK("https://photon-sol.tinyastro.io/en/lp/229C2FyMR1TFRQJn2TVAJ2KdPLNEwsSbmYM7koUqpump?handle=676050794bc1b1657a56b", "View")</f>
        <v/>
      </c>
    </row>
    <row r="256">
      <c r="A256" s="16" t="inlineStr">
        <is>
          <t>ANNA</t>
        </is>
      </c>
      <c r="B256" s="17" t="n">
        <v>2917378</v>
      </c>
      <c r="C256" s="17" t="n">
        <v>2917378</v>
      </c>
      <c r="D256" s="17" t="inlineStr">
        <is>
          <t>0.008010</t>
        </is>
      </c>
      <c r="E256" s="17" t="inlineStr">
        <is>
          <t>0.530 SOL</t>
        </is>
      </c>
      <c r="F256" s="17" t="inlineStr">
        <is>
          <t>0.490 SOL</t>
        </is>
      </c>
      <c r="G256" s="25" t="inlineStr">
        <is>
          <t>-0.048 SOL</t>
        </is>
      </c>
      <c r="H256" s="25" t="inlineStr">
        <is>
          <t>-8.99%</t>
        </is>
      </c>
      <c r="I256" s="17" t="inlineStr">
        <is>
          <t>N/A</t>
        </is>
      </c>
      <c r="J256" s="17" t="n">
        <v>1</v>
      </c>
      <c r="K256" s="17" t="n">
        <v>1</v>
      </c>
      <c r="L256" s="17" t="inlineStr">
        <is>
          <t>24.10.2024 09:04:54</t>
        </is>
      </c>
      <c r="M256" s="19" t="inlineStr">
        <is>
          <t>6 sec</t>
        </is>
      </c>
      <c r="N256" s="17" t="inlineStr">
        <is>
          <t xml:space="preserve">         16K            15K             6K</t>
        </is>
      </c>
      <c r="O256" s="17" t="inlineStr">
        <is>
          <t>4yVyAGykWwuExnoqh1fvofPLuxPRdtCEKoeTgPGzXKJk</t>
        </is>
      </c>
      <c r="P256" s="17">
        <f>HYPERLINK("https://photon-sol.tinyastro.io/en/lp/4yVyAGykWwuExnoqh1fvofPLuxPRdtCEKoeTgPGzXKJk?handle=676050794bc1b1657a56b", "View")</f>
        <v/>
      </c>
    </row>
    <row r="257">
      <c r="A257" s="20" t="inlineStr">
        <is>
          <t>OPEANAI</t>
        </is>
      </c>
      <c r="B257" s="21" t="n">
        <v>4983998</v>
      </c>
      <c r="C257" s="21" t="n">
        <v>4983998</v>
      </c>
      <c r="D257" s="21" t="inlineStr">
        <is>
          <t>0.008010</t>
        </is>
      </c>
      <c r="E257" s="21" t="inlineStr">
        <is>
          <t>0.521 SOL</t>
        </is>
      </c>
      <c r="F257" s="21" t="inlineStr">
        <is>
          <t>0.272 SOL</t>
        </is>
      </c>
      <c r="G257" s="25" t="inlineStr">
        <is>
          <t>-0.258 SOL</t>
        </is>
      </c>
      <c r="H257" s="25" t="inlineStr">
        <is>
          <t>-48.68%</t>
        </is>
      </c>
      <c r="I257" s="21" t="inlineStr">
        <is>
          <t>N/A</t>
        </is>
      </c>
      <c r="J257" s="21" t="n">
        <v>1</v>
      </c>
      <c r="K257" s="21" t="n">
        <v>1</v>
      </c>
      <c r="L257" s="21" t="inlineStr">
        <is>
          <t>24.10.2024 07:09:45</t>
        </is>
      </c>
      <c r="M257" s="21" t="inlineStr">
        <is>
          <t>3 min</t>
        </is>
      </c>
      <c r="N257" s="21" t="inlineStr">
        <is>
          <t xml:space="preserve">         18K             9K             5K</t>
        </is>
      </c>
      <c r="O257" s="21" t="inlineStr">
        <is>
          <t>3kgh1kZosBDMZAxUiZnDvnRsgDoaBy4mHT9VBfRnpump</t>
        </is>
      </c>
      <c r="P257" s="21">
        <f>HYPERLINK("https://photon-sol.tinyastro.io/en/lp/3kgh1kZosBDMZAxUiZnDvnRsgDoaBy4mHT9VBfRnpump?handle=676050794bc1b1657a56b", "View")</f>
        <v/>
      </c>
    </row>
    <row r="258">
      <c r="A258" s="16" t="inlineStr">
        <is>
          <t>straw</t>
        </is>
      </c>
      <c r="B258" s="17" t="n">
        <v>1861688</v>
      </c>
      <c r="C258" s="17" t="n">
        <v>1861688</v>
      </c>
      <c r="D258" s="17" t="inlineStr">
        <is>
          <t>0.028040</t>
        </is>
      </c>
      <c r="E258" s="17" t="inlineStr">
        <is>
          <t>0.521 SOL</t>
        </is>
      </c>
      <c r="F258" s="17" t="inlineStr">
        <is>
          <t>0.907 SOL</t>
        </is>
      </c>
      <c r="G258" s="24" t="inlineStr">
        <is>
          <t>0.358 SOL</t>
        </is>
      </c>
      <c r="H258" s="24" t="inlineStr">
        <is>
          <t>65.16%</t>
        </is>
      </c>
      <c r="I258" s="17" t="inlineStr">
        <is>
          <t>N/A</t>
        </is>
      </c>
      <c r="J258" s="17" t="n">
        <v>1</v>
      </c>
      <c r="K258" s="17" t="n">
        <v>6</v>
      </c>
      <c r="L258" s="17" t="inlineStr">
        <is>
          <t>24.10.2024 06:58:46</t>
        </is>
      </c>
      <c r="M258" s="17" t="inlineStr">
        <is>
          <t>7 min</t>
        </is>
      </c>
      <c r="N258" s="17" t="inlineStr">
        <is>
          <t xml:space="preserve">         39K            18K             4K</t>
        </is>
      </c>
      <c r="O258" s="17" t="inlineStr">
        <is>
          <t>Ezyr58ZWq1jMUX9Ae5DakWebQvhr87Vt9E554xTxpump</t>
        </is>
      </c>
      <c r="P258" s="17">
        <f>HYPERLINK("https://photon-sol.tinyastro.io/en/lp/Ezyr58ZWq1jMUX9Ae5DakWebQvhr87Vt9E554xTxpump?handle=676050794bc1b1657a56b", "View")</f>
        <v/>
      </c>
    </row>
    <row r="259">
      <c r="A259" s="20" t="inlineStr">
        <is>
          <t>SCOOP</t>
        </is>
      </c>
      <c r="B259" s="21" t="n">
        <v>4737</v>
      </c>
      <c r="C259" s="21" t="n">
        <v>4737</v>
      </c>
      <c r="D259" s="21" t="inlineStr">
        <is>
          <t>0.008010</t>
        </is>
      </c>
      <c r="E259" s="21" t="inlineStr">
        <is>
          <t>0.500 SOL</t>
        </is>
      </c>
      <c r="F259" s="21" t="inlineStr">
        <is>
          <t>0.422 SOL</t>
        </is>
      </c>
      <c r="G259" s="25" t="inlineStr">
        <is>
          <t>-0.086 SOL</t>
        </is>
      </c>
      <c r="H259" s="25" t="inlineStr">
        <is>
          <t>-16.88%</t>
        </is>
      </c>
      <c r="I259" s="21" t="inlineStr">
        <is>
          <t>N/A</t>
        </is>
      </c>
      <c r="J259" s="21" t="n">
        <v>1</v>
      </c>
      <c r="K259" s="21" t="n">
        <v>1</v>
      </c>
      <c r="L259" s="21" t="inlineStr">
        <is>
          <t>23.10.2024 23:59:30</t>
        </is>
      </c>
      <c r="M259" s="21" t="inlineStr">
        <is>
          <t>3 min</t>
        </is>
      </c>
      <c r="N259" s="21" t="inlineStr">
        <is>
          <t xml:space="preserve">         19M            16M           516K</t>
        </is>
      </c>
      <c r="O259" s="21" t="inlineStr">
        <is>
          <t>4TcqMXdZBjxirf2vtYikWt1ix3YoHJoFAZwrqe39pump</t>
        </is>
      </c>
      <c r="P259" s="21">
        <f>HYPERLINK("https://dexscreener.com/solana/4TcqMXdZBjxirf2vtYikWt1ix3YoHJoFAZwrqe39pump", "View")</f>
        <v/>
      </c>
    </row>
    <row r="260">
      <c r="A260" s="16" t="inlineStr">
        <is>
          <t>$HURRIKANE</t>
        </is>
      </c>
      <c r="B260" s="17" t="n">
        <v>895489</v>
      </c>
      <c r="C260" s="17" t="n">
        <v>895489</v>
      </c>
      <c r="D260" s="17" t="inlineStr">
        <is>
          <t>0.008010</t>
        </is>
      </c>
      <c r="E260" s="17" t="inlineStr">
        <is>
          <t>0.500 SOL</t>
        </is>
      </c>
      <c r="F260" s="17" t="inlineStr">
        <is>
          <t>0.488 SOL</t>
        </is>
      </c>
      <c r="G260" s="25" t="inlineStr">
        <is>
          <t>-0.020 SOL</t>
        </is>
      </c>
      <c r="H260" s="25" t="inlineStr">
        <is>
          <t>-3.95%</t>
        </is>
      </c>
      <c r="I260" s="17" t="inlineStr">
        <is>
          <t>N/A</t>
        </is>
      </c>
      <c r="J260" s="17" t="n">
        <v>1</v>
      </c>
      <c r="K260" s="17" t="n">
        <v>1</v>
      </c>
      <c r="L260" s="17" t="inlineStr">
        <is>
          <t>23.10.2024 23:32:21</t>
        </is>
      </c>
      <c r="M260" s="17" t="inlineStr">
        <is>
          <t>2 min</t>
        </is>
      </c>
      <c r="N260" s="17" t="inlineStr">
        <is>
          <t xml:space="preserve">         98K            95K             9K</t>
        </is>
      </c>
      <c r="O260" s="17" t="inlineStr">
        <is>
          <t>CdxpACLD8yfHVpkYAuVdXnRMbnAdDtP2qeMeJaNbpump</t>
        </is>
      </c>
      <c r="P260" s="17">
        <f>HYPERLINK("https://dexscreener.com/solana/CdxpACLD8yfHVpkYAuVdXnRMbnAdDtP2qeMeJaNbpump", "View")</f>
        <v/>
      </c>
    </row>
    <row r="261">
      <c r="A261" s="20" t="inlineStr">
        <is>
          <t>CHIMERA</t>
        </is>
      </c>
      <c r="B261" s="21" t="n">
        <v>7354943</v>
      </c>
      <c r="C261" s="21" t="n">
        <v>7354943</v>
      </c>
      <c r="D261" s="21" t="inlineStr">
        <is>
          <t>0.008010</t>
        </is>
      </c>
      <c r="E261" s="21" t="inlineStr">
        <is>
          <t>0.521 SOL</t>
        </is>
      </c>
      <c r="F261" s="21" t="inlineStr">
        <is>
          <t>0.245 SOL</t>
        </is>
      </c>
      <c r="G261" s="23" t="inlineStr">
        <is>
          <t>-0.284 SOL</t>
        </is>
      </c>
      <c r="H261" s="23" t="inlineStr">
        <is>
          <t>-53.64%</t>
        </is>
      </c>
      <c r="I261" s="21" t="inlineStr">
        <is>
          <t>N/A</t>
        </is>
      </c>
      <c r="J261" s="21" t="n">
        <v>1</v>
      </c>
      <c r="K261" s="21" t="n">
        <v>1</v>
      </c>
      <c r="L261" s="21" t="inlineStr">
        <is>
          <t>23.10.2024 20:44:05</t>
        </is>
      </c>
      <c r="M261" s="19" t="inlineStr">
        <is>
          <t>14 sec</t>
        </is>
      </c>
      <c r="N261" s="21" t="inlineStr">
        <is>
          <t xml:space="preserve">         12K             5K             5K</t>
        </is>
      </c>
      <c r="O261" s="21" t="inlineStr">
        <is>
          <t>FExxLwtqL3T7h76SfEENvTGRwa3Z8EjzMYYJfAedpump</t>
        </is>
      </c>
      <c r="P261" s="21">
        <f>HYPERLINK("https://photon-sol.tinyastro.io/en/lp/FExxLwtqL3T7h76SfEENvTGRwa3Z8EjzMYYJfAedpump?handle=676050794bc1b1657a56b", "View")</f>
        <v/>
      </c>
    </row>
    <row r="262">
      <c r="A262" s="16" t="inlineStr">
        <is>
          <t>Potato</t>
        </is>
      </c>
      <c r="B262" s="17" t="n">
        <v>9907748</v>
      </c>
      <c r="C262" s="17" t="n">
        <v>9907748</v>
      </c>
      <c r="D262" s="17" t="inlineStr">
        <is>
          <t>0.008010</t>
        </is>
      </c>
      <c r="E262" s="17" t="inlineStr">
        <is>
          <t>0.482 SOL</t>
        </is>
      </c>
      <c r="F262" s="17" t="inlineStr">
        <is>
          <t>0.356 SOL</t>
        </is>
      </c>
      <c r="G262" s="25" t="inlineStr">
        <is>
          <t>-0.134 SOL</t>
        </is>
      </c>
      <c r="H262" s="25" t="inlineStr">
        <is>
          <t>-27.38%</t>
        </is>
      </c>
      <c r="I262" s="17" t="inlineStr">
        <is>
          <t>N/A</t>
        </is>
      </c>
      <c r="J262" s="17" t="n">
        <v>1</v>
      </c>
      <c r="K262" s="17" t="n">
        <v>1</v>
      </c>
      <c r="L262" s="17" t="inlineStr">
        <is>
          <t>23.10.2024 19:23:51</t>
        </is>
      </c>
      <c r="M262" s="17" t="inlineStr">
        <is>
          <t>1 min</t>
        </is>
      </c>
      <c r="N262" s="17" t="inlineStr">
        <is>
          <t xml:space="preserve">          9K             7K             5K</t>
        </is>
      </c>
      <c r="O262" s="17" t="inlineStr">
        <is>
          <t>7zugorW3Nuwkfc4ZpCMHeYRsTF2X2H7efLubBGtipump</t>
        </is>
      </c>
      <c r="P262" s="17">
        <f>HYPERLINK("https://photon-sol.tinyastro.io/en/lp/7zugorW3Nuwkfc4ZpCMHeYRsTF2X2H7efLubBGtipump?handle=676050794bc1b1657a56b", "View")</f>
        <v/>
      </c>
    </row>
    <row r="263">
      <c r="A263" s="20" t="inlineStr">
        <is>
          <t>DAWGS</t>
        </is>
      </c>
      <c r="B263" s="21" t="n">
        <v>10888508</v>
      </c>
      <c r="C263" s="21" t="n">
        <v>10888508</v>
      </c>
      <c r="D263" s="21" t="inlineStr">
        <is>
          <t>0.016020</t>
        </is>
      </c>
      <c r="E263" s="21" t="inlineStr">
        <is>
          <t>0.521 SOL</t>
        </is>
      </c>
      <c r="F263" s="21" t="inlineStr">
        <is>
          <t>1.234 SOL</t>
        </is>
      </c>
      <c r="G263" s="24" t="inlineStr">
        <is>
          <t>0.697 SOL</t>
        </is>
      </c>
      <c r="H263" s="24" t="inlineStr">
        <is>
          <t>129.75%</t>
        </is>
      </c>
      <c r="I263" s="21" t="inlineStr">
        <is>
          <t>N/A</t>
        </is>
      </c>
      <c r="J263" s="21" t="n">
        <v>1</v>
      </c>
      <c r="K263" s="21" t="n">
        <v>3</v>
      </c>
      <c r="L263" s="21" t="inlineStr">
        <is>
          <t>23.10.2024 19:16:52</t>
        </is>
      </c>
      <c r="M263" s="21" t="inlineStr">
        <is>
          <t>58 min</t>
        </is>
      </c>
      <c r="N263" s="21" t="inlineStr">
        <is>
          <t xml:space="preserve">          8K            24K             6K</t>
        </is>
      </c>
      <c r="O263" s="21" t="inlineStr">
        <is>
          <t>G9d2xzomPtkBmwpdYmwsdJCzkSsuE2xLCyd4Yoaipump</t>
        </is>
      </c>
      <c r="P263" s="21">
        <f>HYPERLINK("https://photon-sol.tinyastro.io/en/lp/G9d2xzomPtkBmwpdYmwsdJCzkSsuE2xLCyd4Yoaipump?handle=676050794bc1b1657a56b", "View")</f>
        <v/>
      </c>
    </row>
    <row r="264">
      <c r="A264" s="16" t="inlineStr">
        <is>
          <t>ASCEND</t>
        </is>
      </c>
      <c r="B264" s="17" t="n">
        <v>343931</v>
      </c>
      <c r="C264" s="17" t="n">
        <v>343931</v>
      </c>
      <c r="D264" s="17" t="inlineStr">
        <is>
          <t>0.008010</t>
        </is>
      </c>
      <c r="E264" s="17" t="inlineStr">
        <is>
          <t>0.500 SOL</t>
        </is>
      </c>
      <c r="F264" s="17" t="inlineStr">
        <is>
          <t>0.380 SOL</t>
        </is>
      </c>
      <c r="G264" s="25" t="inlineStr">
        <is>
          <t>-0.128 SOL</t>
        </is>
      </c>
      <c r="H264" s="25" t="inlineStr">
        <is>
          <t>-25.22%</t>
        </is>
      </c>
      <c r="I264" s="17" t="inlineStr">
        <is>
          <t>N/A</t>
        </is>
      </c>
      <c r="J264" s="17" t="n">
        <v>1</v>
      </c>
      <c r="K264" s="17" t="n">
        <v>1</v>
      </c>
      <c r="L264" s="17" t="inlineStr">
        <is>
          <t>22.10.2024 22:34:55</t>
        </is>
      </c>
      <c r="M264" s="19" t="inlineStr">
        <is>
          <t>30 sec</t>
        </is>
      </c>
      <c r="N264" s="17" t="inlineStr">
        <is>
          <t xml:space="preserve">        255K           193K             3K</t>
        </is>
      </c>
      <c r="O264" s="17" t="inlineStr">
        <is>
          <t>6sJNRK42Y5Uk9NY98VAy73g1FiM2WrXi4cjPbsaM9GSc</t>
        </is>
      </c>
      <c r="P264" s="17">
        <f>HYPERLINK("https://dexscreener.com/solana/6sJNRK42Y5Uk9NY98VAy73g1FiM2WrXi4cjPbsaM9GSc", "View")</f>
        <v/>
      </c>
    </row>
    <row r="265">
      <c r="A265" s="20" t="inlineStr">
        <is>
          <t>twttr</t>
        </is>
      </c>
      <c r="B265" s="21" t="n">
        <v>3085955</v>
      </c>
      <c r="C265" s="21" t="n">
        <v>3085955</v>
      </c>
      <c r="D265" s="21" t="inlineStr">
        <is>
          <t>0.008010</t>
        </is>
      </c>
      <c r="E265" s="21" t="inlineStr">
        <is>
          <t>0.569 SOL</t>
        </is>
      </c>
      <c r="F265" s="21" t="inlineStr">
        <is>
          <t>0.665 SOL</t>
        </is>
      </c>
      <c r="G265" s="22" t="inlineStr">
        <is>
          <t>0.089 SOL</t>
        </is>
      </c>
      <c r="H265" s="22" t="inlineStr">
        <is>
          <t>15.41%</t>
        </is>
      </c>
      <c r="I265" s="21" t="inlineStr">
        <is>
          <t>N/A</t>
        </is>
      </c>
      <c r="J265" s="21" t="n">
        <v>1</v>
      </c>
      <c r="K265" s="21" t="n">
        <v>1</v>
      </c>
      <c r="L265" s="21" t="inlineStr">
        <is>
          <t>22.10.2024 21:45:58</t>
        </is>
      </c>
      <c r="M265" s="21" t="inlineStr">
        <is>
          <t>1 min</t>
        </is>
      </c>
      <c r="N265" s="21" t="inlineStr">
        <is>
          <t xml:space="preserve">         32K            39K             3K</t>
        </is>
      </c>
      <c r="O265" s="21" t="inlineStr">
        <is>
          <t>6wReJnHrsRTtAg9k2TcbDvmVm8rosWaX8GFKta5kVb9w</t>
        </is>
      </c>
      <c r="P265" s="21">
        <f>HYPERLINK("https://photon-sol.tinyastro.io/en/lp/6wReJnHrsRTtAg9k2TcbDvmVm8rosWaX8GFKta5kVb9w?handle=676050794bc1b1657a56b", "View")</f>
        <v/>
      </c>
    </row>
    <row r="266">
      <c r="A266" s="16" t="inlineStr">
        <is>
          <t>ToTBody</t>
        </is>
      </c>
      <c r="B266" s="17" t="n">
        <v>7523403</v>
      </c>
      <c r="C266" s="17" t="n">
        <v>7523403</v>
      </c>
      <c r="D266" s="17" t="inlineStr">
        <is>
          <t>0.008010</t>
        </is>
      </c>
      <c r="E266" s="17" t="inlineStr">
        <is>
          <t>0.521 SOL</t>
        </is>
      </c>
      <c r="F266" s="17" t="inlineStr">
        <is>
          <t>0.542 SOL</t>
        </is>
      </c>
      <c r="G266" s="22" t="inlineStr">
        <is>
          <t>0.012 SOL</t>
        </is>
      </c>
      <c r="H266" s="22" t="inlineStr">
        <is>
          <t>2.36%</t>
        </is>
      </c>
      <c r="I266" s="17" t="inlineStr">
        <is>
          <t>N/A</t>
        </is>
      </c>
      <c r="J266" s="17" t="n">
        <v>1</v>
      </c>
      <c r="K266" s="17" t="n">
        <v>1</v>
      </c>
      <c r="L266" s="17" t="inlineStr">
        <is>
          <t>22.10.2024 20:00:02</t>
        </is>
      </c>
      <c r="M266" s="17" t="inlineStr">
        <is>
          <t>2 min</t>
        </is>
      </c>
      <c r="N266" s="17" t="inlineStr">
        <is>
          <t xml:space="preserve">         12K            12K             6K</t>
        </is>
      </c>
      <c r="O266" s="17" t="inlineStr">
        <is>
          <t>FWXvBL6sSXMnccpZvsQoxZQQ8pZifs1RhU68Xjb9pump</t>
        </is>
      </c>
      <c r="P266" s="17">
        <f>HYPERLINK("https://photon-sol.tinyastro.io/en/lp/FWXvBL6sSXMnccpZvsQoxZQQ8pZifs1RhU68Xjb9pump?handle=676050794bc1b1657a56b", "View")</f>
        <v/>
      </c>
    </row>
    <row r="267">
      <c r="A267" s="20" t="inlineStr">
        <is>
          <t>believe</t>
        </is>
      </c>
      <c r="B267" s="21" t="n">
        <v>2444798</v>
      </c>
      <c r="C267" s="21" t="n">
        <v>2444798</v>
      </c>
      <c r="D267" s="21" t="inlineStr">
        <is>
          <t>0.008010</t>
        </is>
      </c>
      <c r="E267" s="21" t="inlineStr">
        <is>
          <t>0.547 SOL</t>
        </is>
      </c>
      <c r="F267" s="21" t="inlineStr">
        <is>
          <t>0.634 SOL</t>
        </is>
      </c>
      <c r="G267" s="22" t="inlineStr">
        <is>
          <t>0.080 SOL</t>
        </is>
      </c>
      <c r="H267" s="22" t="inlineStr">
        <is>
          <t>14.39%</t>
        </is>
      </c>
      <c r="I267" s="21" t="inlineStr">
        <is>
          <t>N/A</t>
        </is>
      </c>
      <c r="J267" s="21" t="n">
        <v>1</v>
      </c>
      <c r="K267" s="21" t="n">
        <v>1</v>
      </c>
      <c r="L267" s="21" t="inlineStr">
        <is>
          <t>22.10.2024 19:51:04</t>
        </is>
      </c>
      <c r="M267" s="21" t="inlineStr">
        <is>
          <t>4 min</t>
        </is>
      </c>
      <c r="N267" s="21" t="inlineStr">
        <is>
          <t xml:space="preserve">         39K            46K             5K</t>
        </is>
      </c>
      <c r="O267" s="21" t="inlineStr">
        <is>
          <t>CScQZEvvfBUu4QBRCzQga2cdb7vX9L5njvC9g8r7pump</t>
        </is>
      </c>
      <c r="P267" s="21">
        <f>HYPERLINK("https://photon-sol.tinyastro.io/en/lp/CScQZEvvfBUu4QBRCzQga2cdb7vX9L5njvC9g8r7pump?handle=676050794bc1b1657a56b", "View")</f>
        <v/>
      </c>
    </row>
    <row r="268">
      <c r="A268" s="16" t="inlineStr">
        <is>
          <t>COPYTRADER</t>
        </is>
      </c>
      <c r="B268" s="17" t="n">
        <v>4596742</v>
      </c>
      <c r="C268" s="17" t="n">
        <v>4596742</v>
      </c>
      <c r="D268" s="17" t="inlineStr">
        <is>
          <t>0.008010</t>
        </is>
      </c>
      <c r="E268" s="17" t="inlineStr">
        <is>
          <t>0.540 SOL</t>
        </is>
      </c>
      <c r="F268" s="17" t="inlineStr">
        <is>
          <t>0.369 SOL</t>
        </is>
      </c>
      <c r="G268" s="25" t="inlineStr">
        <is>
          <t>-0.178 SOL</t>
        </is>
      </c>
      <c r="H268" s="25" t="inlineStr">
        <is>
          <t>-32.57%</t>
        </is>
      </c>
      <c r="I268" s="17" t="inlineStr">
        <is>
          <t>N/A</t>
        </is>
      </c>
      <c r="J268" s="17" t="n">
        <v>1</v>
      </c>
      <c r="K268" s="17" t="n">
        <v>1</v>
      </c>
      <c r="L268" s="17" t="inlineStr">
        <is>
          <t>22.10.2024 19:43:29</t>
        </is>
      </c>
      <c r="M268" s="17" t="inlineStr">
        <is>
          <t>2 min</t>
        </is>
      </c>
      <c r="N268" s="17" t="inlineStr">
        <is>
          <t xml:space="preserve">        N/A           N/A           N/A</t>
        </is>
      </c>
      <c r="O268" s="17" t="inlineStr">
        <is>
          <t>5Ky54j9CF8TrcN4sHYk5Mco4GjHtEy7CvP2QHZfNpump</t>
        </is>
      </c>
      <c r="P268" s="17">
        <f>HYPERLINK("https://photon-sol.tinyastro.io/en/lp/5Ky54j9CF8TrcN4sHYk5Mco4GjHtEy7CvP2QHZfNpump?handle=676050794bc1b1657a56b", "View")</f>
        <v/>
      </c>
    </row>
    <row r="269">
      <c r="A269" s="20" t="inlineStr">
        <is>
          <t>AiX</t>
        </is>
      </c>
      <c r="B269" s="21" t="n">
        <v>968396</v>
      </c>
      <c r="C269" s="21" t="n">
        <v>968396</v>
      </c>
      <c r="D269" s="21" t="inlineStr">
        <is>
          <t>0.012020</t>
        </is>
      </c>
      <c r="E269" s="21" t="inlineStr">
        <is>
          <t>1.000 SOL</t>
        </is>
      </c>
      <c r="F269" s="21" t="inlineStr">
        <is>
          <t>0.392 SOL</t>
        </is>
      </c>
      <c r="G269" s="23" t="inlineStr">
        <is>
          <t>-0.620 SOL</t>
        </is>
      </c>
      <c r="H269" s="23" t="inlineStr">
        <is>
          <t>-61.29%</t>
        </is>
      </c>
      <c r="I269" s="21" t="inlineStr">
        <is>
          <t>N/A</t>
        </is>
      </c>
      <c r="J269" s="21" t="n">
        <v>2</v>
      </c>
      <c r="K269" s="21" t="n">
        <v>1</v>
      </c>
      <c r="L269" s="21" t="inlineStr">
        <is>
          <t>22.10.2024 18:59:21</t>
        </is>
      </c>
      <c r="M269" s="21" t="inlineStr">
        <is>
          <t>2 min</t>
        </is>
      </c>
      <c r="N269" s="21" t="inlineStr">
        <is>
          <t xml:space="preserve">        235K            70K             5K</t>
        </is>
      </c>
      <c r="O269" s="21" t="inlineStr">
        <is>
          <t>6UPADnAowcC9cuaj1KeBxt2ZhnuTGEFih7m83t2Spump</t>
        </is>
      </c>
      <c r="P269" s="21">
        <f>HYPERLINK("https://dexscreener.com/solana/6UPADnAowcC9cuaj1KeBxt2ZhnuTGEFih7m83t2Spump", "View")</f>
        <v/>
      </c>
    </row>
    <row r="270">
      <c r="A270" s="16" t="inlineStr">
        <is>
          <t>Ranni</t>
        </is>
      </c>
      <c r="B270" s="17" t="n">
        <v>306029</v>
      </c>
      <c r="C270" s="17" t="n">
        <v>306029</v>
      </c>
      <c r="D270" s="17" t="inlineStr">
        <is>
          <t>0.008010</t>
        </is>
      </c>
      <c r="E270" s="17" t="inlineStr">
        <is>
          <t>0.500 SOL</t>
        </is>
      </c>
      <c r="F270" s="17" t="inlineStr">
        <is>
          <t>0.403 SOL</t>
        </is>
      </c>
      <c r="G270" s="25" t="inlineStr">
        <is>
          <t>-0.105 SOL</t>
        </is>
      </c>
      <c r="H270" s="25" t="inlineStr">
        <is>
          <t>-20.74%</t>
        </is>
      </c>
      <c r="I270" s="17" t="inlineStr">
        <is>
          <t>N/A</t>
        </is>
      </c>
      <c r="J270" s="17" t="n">
        <v>1</v>
      </c>
      <c r="K270" s="17" t="n">
        <v>1</v>
      </c>
      <c r="L270" s="17" t="inlineStr">
        <is>
          <t>22.10.2024 18:48:16</t>
        </is>
      </c>
      <c r="M270" s="17" t="inlineStr">
        <is>
          <t>1 min</t>
        </is>
      </c>
      <c r="N270" s="17" t="inlineStr">
        <is>
          <t xml:space="preserve">        286K           232K             8K</t>
        </is>
      </c>
      <c r="O270" s="17" t="inlineStr">
        <is>
          <t>HA1ktBSWW1sqrPCRYtLoeQtPypAJEGt6oQUG7q7TVrEC</t>
        </is>
      </c>
      <c r="P270" s="17">
        <f>HYPERLINK("https://dexscreener.com/solana/HA1ktBSWW1sqrPCRYtLoeQtPypAJEGt6oQUG7q7TVrEC", "View")</f>
        <v/>
      </c>
    </row>
    <row r="271">
      <c r="A271" s="20" t="inlineStr">
        <is>
          <t>ROSE</t>
        </is>
      </c>
      <c r="B271" s="21" t="n">
        <v>15846637</v>
      </c>
      <c r="C271" s="21" t="n">
        <v>15846637</v>
      </c>
      <c r="D271" s="21" t="inlineStr">
        <is>
          <t>0.008010</t>
        </is>
      </c>
      <c r="E271" s="21" t="inlineStr">
        <is>
          <t>0.526 SOL</t>
        </is>
      </c>
      <c r="F271" s="21" t="inlineStr">
        <is>
          <t>0.464 SOL</t>
        </is>
      </c>
      <c r="G271" s="25" t="inlineStr">
        <is>
          <t>-0.070 SOL</t>
        </is>
      </c>
      <c r="H271" s="25" t="inlineStr">
        <is>
          <t>-13.09%</t>
        </is>
      </c>
      <c r="I271" s="21" t="inlineStr">
        <is>
          <t>N/A</t>
        </is>
      </c>
      <c r="J271" s="21" t="n">
        <v>1</v>
      </c>
      <c r="K271" s="21" t="n">
        <v>1</v>
      </c>
      <c r="L271" s="21" t="inlineStr">
        <is>
          <t>22.10.2024 18:39:02</t>
        </is>
      </c>
      <c r="M271" s="21" t="inlineStr">
        <is>
          <t>7 min</t>
        </is>
      </c>
      <c r="N271" s="21" t="inlineStr">
        <is>
          <t xml:space="preserve">          5K             5K             5K</t>
        </is>
      </c>
      <c r="O271" s="21" t="inlineStr">
        <is>
          <t>F87rzEJA3926VhhJ6iQiHqNUJiUoYRbcY9kSvjE3pump</t>
        </is>
      </c>
      <c r="P271" s="21">
        <f>HYPERLINK("https://photon-sol.tinyastro.io/en/lp/F87rzEJA3926VhhJ6iQiHqNUJiUoYRbcY9kSvjE3pump?handle=676050794bc1b1657a56b", "View")</f>
        <v/>
      </c>
    </row>
    <row r="272">
      <c r="A272" s="16" t="inlineStr">
        <is>
          <t>NOVA</t>
        </is>
      </c>
      <c r="B272" s="17" t="n">
        <v>1614012</v>
      </c>
      <c r="C272" s="17" t="n">
        <v>1614012</v>
      </c>
      <c r="D272" s="17" t="inlineStr">
        <is>
          <t>0.008010</t>
        </is>
      </c>
      <c r="E272" s="17" t="inlineStr">
        <is>
          <t>0.500 SOL</t>
        </is>
      </c>
      <c r="F272" s="17" t="inlineStr">
        <is>
          <t>0.292 SOL</t>
        </is>
      </c>
      <c r="G272" s="25" t="inlineStr">
        <is>
          <t>-0.216 SOL</t>
        </is>
      </c>
      <c r="H272" s="25" t="inlineStr">
        <is>
          <t>-42.51%</t>
        </is>
      </c>
      <c r="I272" s="17" t="inlineStr">
        <is>
          <t>N/A</t>
        </is>
      </c>
      <c r="J272" s="17" t="n">
        <v>1</v>
      </c>
      <c r="K272" s="17" t="n">
        <v>1</v>
      </c>
      <c r="L272" s="17" t="inlineStr">
        <is>
          <t>22.10.2024 18:26:38</t>
        </is>
      </c>
      <c r="M272" s="19" t="inlineStr">
        <is>
          <t>39 sec</t>
        </is>
      </c>
      <c r="N272" s="17" t="inlineStr">
        <is>
          <t xml:space="preserve">         54K            32K             3K</t>
        </is>
      </c>
      <c r="O272" s="17" t="inlineStr">
        <is>
          <t>2hW8PoHcodn4SLPpMyLuxdkw2MffFZLwVuaS1FJmpump</t>
        </is>
      </c>
      <c r="P272" s="17">
        <f>HYPERLINK("https://dexscreener.com/solana/2hW8PoHcodn4SLPpMyLuxdkw2MffFZLwVuaS1FJmpump", "View")</f>
        <v/>
      </c>
    </row>
    <row r="273">
      <c r="A273" s="20" t="inlineStr">
        <is>
          <t>damage</t>
        </is>
      </c>
      <c r="B273" s="21" t="n">
        <v>8886701</v>
      </c>
      <c r="C273" s="21" t="n">
        <v>8886701</v>
      </c>
      <c r="D273" s="21" t="inlineStr">
        <is>
          <t>0.008010</t>
        </is>
      </c>
      <c r="E273" s="21" t="inlineStr">
        <is>
          <t>0.689 SOL</t>
        </is>
      </c>
      <c r="F273" s="21" t="inlineStr">
        <is>
          <t>0.807 SOL</t>
        </is>
      </c>
      <c r="G273" s="22" t="inlineStr">
        <is>
          <t>0.110 SOL</t>
        </is>
      </c>
      <c r="H273" s="22" t="inlineStr">
        <is>
          <t>15.73%</t>
        </is>
      </c>
      <c r="I273" s="21" t="inlineStr">
        <is>
          <t>N/A</t>
        </is>
      </c>
      <c r="J273" s="21" t="n">
        <v>1</v>
      </c>
      <c r="K273" s="21" t="n">
        <v>1</v>
      </c>
      <c r="L273" s="21" t="inlineStr">
        <is>
          <t>22.10.2024 18:24:00</t>
        </is>
      </c>
      <c r="M273" s="19" t="inlineStr">
        <is>
          <t>22 sec</t>
        </is>
      </c>
      <c r="N273" s="21" t="inlineStr">
        <is>
          <t xml:space="preserve">         14K            16K             5K</t>
        </is>
      </c>
      <c r="O273" s="21" t="inlineStr">
        <is>
          <t>33CzwaYoeFMW7fHdTjC6eCFH8giJWrPRGXeRxBdWpump</t>
        </is>
      </c>
      <c r="P273" s="21">
        <f>HYPERLINK("https://photon-sol.tinyastro.io/en/lp/33CzwaYoeFMW7fHdTjC6eCFH8giJWrPRGXeRxBdWpump?handle=676050794bc1b1657a56b", "View")</f>
        <v/>
      </c>
    </row>
    <row r="274">
      <c r="A274" s="16" t="inlineStr">
        <is>
          <t>SSX505</t>
        </is>
      </c>
      <c r="B274" s="17" t="n">
        <v>4387913</v>
      </c>
      <c r="C274" s="17" t="n">
        <v>4387913</v>
      </c>
      <c r="D274" s="17" t="inlineStr">
        <is>
          <t>0.008010</t>
        </is>
      </c>
      <c r="E274" s="17" t="inlineStr">
        <is>
          <t>0.514 SOL</t>
        </is>
      </c>
      <c r="F274" s="17" t="inlineStr">
        <is>
          <t>0.289 SOL</t>
        </is>
      </c>
      <c r="G274" s="25" t="inlineStr">
        <is>
          <t>-0.232 SOL</t>
        </is>
      </c>
      <c r="H274" s="25" t="inlineStr">
        <is>
          <t>-44.53%</t>
        </is>
      </c>
      <c r="I274" s="17" t="inlineStr">
        <is>
          <t>N/A</t>
        </is>
      </c>
      <c r="J274" s="17" t="n">
        <v>1</v>
      </c>
      <c r="K274" s="17" t="n">
        <v>1</v>
      </c>
      <c r="L274" s="17" t="inlineStr">
        <is>
          <t>22.10.2024 18:10:44</t>
        </is>
      </c>
      <c r="M274" s="17" t="inlineStr">
        <is>
          <t>1 min</t>
        </is>
      </c>
      <c r="N274" s="17" t="inlineStr">
        <is>
          <t xml:space="preserve">         21K            12K             5K</t>
        </is>
      </c>
      <c r="O274" s="17" t="inlineStr">
        <is>
          <t>5HSWu5ZSh5N1LbEYbTeQ8jMSELLhDG5og9qNGVAjpump</t>
        </is>
      </c>
      <c r="P274" s="17">
        <f>HYPERLINK("https://photon-sol.tinyastro.io/en/lp/5HSWu5ZSh5N1LbEYbTeQ8jMSELLhDG5og9qNGVAjpump?handle=676050794bc1b1657a56b", "View")</f>
        <v/>
      </c>
    </row>
    <row r="275">
      <c r="A275" s="20" t="inlineStr">
        <is>
          <t>SonicAI</t>
        </is>
      </c>
      <c r="B275" s="21" t="n">
        <v>3941989</v>
      </c>
      <c r="C275" s="21" t="n">
        <v>3941989</v>
      </c>
      <c r="D275" s="21" t="inlineStr">
        <is>
          <t>0.016020</t>
        </is>
      </c>
      <c r="E275" s="21" t="inlineStr">
        <is>
          <t>0.841 SOL</t>
        </is>
      </c>
      <c r="F275" s="21" t="inlineStr">
        <is>
          <t>0.739 SOL</t>
        </is>
      </c>
      <c r="G275" s="25" t="inlineStr">
        <is>
          <t>-0.119 SOL</t>
        </is>
      </c>
      <c r="H275" s="25" t="inlineStr">
        <is>
          <t>-13.84%</t>
        </is>
      </c>
      <c r="I275" s="21" t="inlineStr">
        <is>
          <t>N/A</t>
        </is>
      </c>
      <c r="J275" s="21" t="n">
        <v>2</v>
      </c>
      <c r="K275" s="21" t="n">
        <v>2</v>
      </c>
      <c r="L275" s="21" t="inlineStr">
        <is>
          <t>22.10.2024 18:10:20</t>
        </is>
      </c>
      <c r="M275" s="21" t="inlineStr">
        <is>
          <t>8 min</t>
        </is>
      </c>
      <c r="N275" s="21" t="inlineStr">
        <is>
          <t xml:space="preserve">         39K            26K             5K</t>
        </is>
      </c>
      <c r="O275" s="21" t="inlineStr">
        <is>
          <t>8cJPv2QGhQu4NWWHMSa7ssKZSFVJt7ngSeNSFQMqpump</t>
        </is>
      </c>
      <c r="P275" s="21">
        <f>HYPERLINK("https://photon-sol.tinyastro.io/en/lp/8cJPv2QGhQu4NWWHMSa7ssKZSFVJt7ngSeNSFQMqpump?handle=676050794bc1b1657a56b", "View")</f>
        <v/>
      </c>
    </row>
    <row r="276">
      <c r="A276" s="16" t="inlineStr">
        <is>
          <t>Koto</t>
        </is>
      </c>
      <c r="B276" s="17" t="n">
        <v>8048462</v>
      </c>
      <c r="C276" s="17" t="n">
        <v>8048462</v>
      </c>
      <c r="D276" s="17" t="inlineStr">
        <is>
          <t>0.064080</t>
        </is>
      </c>
      <c r="E276" s="17" t="inlineStr">
        <is>
          <t>0.522 SOL</t>
        </is>
      </c>
      <c r="F276" s="17" t="inlineStr">
        <is>
          <t>2.939 SOL</t>
        </is>
      </c>
      <c r="G276" s="24" t="inlineStr">
        <is>
          <t>2.353 SOL</t>
        </is>
      </c>
      <c r="H276" s="24" t="inlineStr">
        <is>
          <t>401.42%</t>
        </is>
      </c>
      <c r="I276" s="17" t="inlineStr">
        <is>
          <t>N/A</t>
        </is>
      </c>
      <c r="J276" s="17" t="n">
        <v>1</v>
      </c>
      <c r="K276" s="17" t="n">
        <v>15</v>
      </c>
      <c r="L276" s="17" t="inlineStr">
        <is>
          <t>22.10.2024 18:08:44</t>
        </is>
      </c>
      <c r="M276" s="17" t="inlineStr">
        <is>
          <t>1 hours</t>
        </is>
      </c>
      <c r="N276" s="17" t="inlineStr">
        <is>
          <t xml:space="preserve">         11K            47K             7K</t>
        </is>
      </c>
      <c r="O276" s="17" t="inlineStr">
        <is>
          <t>7L9M2o26R8G9poY8PQD9GPhiL14sabsFk6MVeW1opump</t>
        </is>
      </c>
      <c r="P276" s="17">
        <f>HYPERLINK("https://photon-sol.tinyastro.io/en/lp/7L9M2o26R8G9poY8PQD9GPhiL14sabsFk6MVeW1opump?handle=676050794bc1b1657a56b", "View")</f>
        <v/>
      </c>
    </row>
    <row r="277">
      <c r="A277" s="20" t="inlineStr">
        <is>
          <t>newsletter</t>
        </is>
      </c>
      <c r="B277" s="21" t="n">
        <v>3671558</v>
      </c>
      <c r="C277" s="21" t="n">
        <v>3671558</v>
      </c>
      <c r="D277" s="21" t="inlineStr">
        <is>
          <t>0.008010</t>
        </is>
      </c>
      <c r="E277" s="21" t="inlineStr">
        <is>
          <t>0.539 SOL</t>
        </is>
      </c>
      <c r="F277" s="21" t="inlineStr">
        <is>
          <t>0.106 SOL</t>
        </is>
      </c>
      <c r="G277" s="23" t="inlineStr">
        <is>
          <t>-0.441 SOL</t>
        </is>
      </c>
      <c r="H277" s="23" t="inlineStr">
        <is>
          <t>-80.58%</t>
        </is>
      </c>
      <c r="I277" s="21" t="inlineStr">
        <is>
          <t>N/A</t>
        </is>
      </c>
      <c r="J277" s="21" t="n">
        <v>1</v>
      </c>
      <c r="K277" s="21" t="n">
        <v>1</v>
      </c>
      <c r="L277" s="21" t="inlineStr">
        <is>
          <t>22.10.2024 18:08:15</t>
        </is>
      </c>
      <c r="M277" s="21" t="inlineStr">
        <is>
          <t>1 min</t>
        </is>
      </c>
      <c r="N277" s="21" t="inlineStr">
        <is>
          <t xml:space="preserve">         26K             5K             5K</t>
        </is>
      </c>
      <c r="O277" s="21" t="inlineStr">
        <is>
          <t>FpxHig6NpkKaAZtqqb42YQyaPmndtQcG3LxaE5WC5d5n</t>
        </is>
      </c>
      <c r="P277" s="21">
        <f>HYPERLINK("https://photon-sol.tinyastro.io/en/lp/FpxHig6NpkKaAZtqqb42YQyaPmndtQcG3LxaE5WC5d5n?handle=676050794bc1b1657a56b", "View")</f>
        <v/>
      </c>
    </row>
    <row r="278">
      <c r="A278" s="16" t="inlineStr">
        <is>
          <t>CUM</t>
        </is>
      </c>
      <c r="B278" s="17" t="n">
        <v>1427791</v>
      </c>
      <c r="C278" s="17" t="n">
        <v>1427791</v>
      </c>
      <c r="D278" s="17" t="inlineStr">
        <is>
          <t>0.020030</t>
        </is>
      </c>
      <c r="E278" s="17" t="inlineStr">
        <is>
          <t>0.500 SOL</t>
        </is>
      </c>
      <c r="F278" s="17" t="inlineStr">
        <is>
          <t>0.958 SOL</t>
        </is>
      </c>
      <c r="G278" s="24" t="inlineStr">
        <is>
          <t>0.438 SOL</t>
        </is>
      </c>
      <c r="H278" s="24" t="inlineStr">
        <is>
          <t>84.28%</t>
        </is>
      </c>
      <c r="I278" s="17" t="inlineStr">
        <is>
          <t>N/A</t>
        </is>
      </c>
      <c r="J278" s="17" t="n">
        <v>1</v>
      </c>
      <c r="K278" s="17" t="n">
        <v>4</v>
      </c>
      <c r="L278" s="17" t="inlineStr">
        <is>
          <t>22.10.2024 17:57:07</t>
        </is>
      </c>
      <c r="M278" s="17" t="inlineStr">
        <is>
          <t>7 min</t>
        </is>
      </c>
      <c r="N278" s="17" t="inlineStr">
        <is>
          <t xml:space="preserve">         61K           105K            13K</t>
        </is>
      </c>
      <c r="O278" s="17" t="inlineStr">
        <is>
          <t>CUM4gccKdaPiyaEU8YX13ZFufPA2MFqyk3zUnVa7p11p</t>
        </is>
      </c>
      <c r="P278" s="17">
        <f>HYPERLINK("https://dexscreener.com/solana/CUM4gccKdaPiyaEU8YX13ZFufPA2MFqyk3zUnVa7p11p", "View")</f>
        <v/>
      </c>
    </row>
    <row r="279">
      <c r="A279" s="20" t="inlineStr">
        <is>
          <t>fabian</t>
        </is>
      </c>
      <c r="B279" s="21" t="n">
        <v>2929016</v>
      </c>
      <c r="C279" s="21" t="n">
        <v>2929016</v>
      </c>
      <c r="D279" s="21" t="inlineStr">
        <is>
          <t>0.008010</t>
        </is>
      </c>
      <c r="E279" s="21" t="inlineStr">
        <is>
          <t>0.500 SOL</t>
        </is>
      </c>
      <c r="F279" s="21" t="inlineStr">
        <is>
          <t>0.224 SOL</t>
        </is>
      </c>
      <c r="G279" s="23" t="inlineStr">
        <is>
          <t>-0.284 SOL</t>
        </is>
      </c>
      <c r="H279" s="23" t="inlineStr">
        <is>
          <t>-56.00%</t>
        </is>
      </c>
      <c r="I279" s="21" t="inlineStr">
        <is>
          <t>N/A</t>
        </is>
      </c>
      <c r="J279" s="21" t="n">
        <v>1</v>
      </c>
      <c r="K279" s="21" t="n">
        <v>1</v>
      </c>
      <c r="L279" s="21" t="inlineStr">
        <is>
          <t>22.10.2024 17:45:49</t>
        </is>
      </c>
      <c r="M279" s="19" t="inlineStr">
        <is>
          <t>44 sec</t>
        </is>
      </c>
      <c r="N279" s="21" t="inlineStr">
        <is>
          <t xml:space="preserve">         30K            14K             6K</t>
        </is>
      </c>
      <c r="O279" s="21" t="inlineStr">
        <is>
          <t>Hej96eAZNrdTPvZQe9b91311BJMWMqJRHztmYCjay8qb</t>
        </is>
      </c>
      <c r="P279" s="21">
        <f>HYPERLINK("https://dexscreener.com/solana/Hej96eAZNrdTPvZQe9b91311BJMWMqJRHztmYCjay8qb", "View")</f>
        <v/>
      </c>
    </row>
    <row r="280">
      <c r="A280" s="16" t="inlineStr">
        <is>
          <t>NCHAD</t>
        </is>
      </c>
      <c r="B280" s="17" t="n">
        <v>235952</v>
      </c>
      <c r="C280" s="17" t="n">
        <v>235952</v>
      </c>
      <c r="D280" s="17" t="inlineStr">
        <is>
          <t>0.016020</t>
        </is>
      </c>
      <c r="E280" s="17" t="inlineStr">
        <is>
          <t>1.000 SOL</t>
        </is>
      </c>
      <c r="F280" s="17" t="inlineStr">
        <is>
          <t>0.806 SOL</t>
        </is>
      </c>
      <c r="G280" s="25" t="inlineStr">
        <is>
          <t>-0.210 SOL</t>
        </is>
      </c>
      <c r="H280" s="25" t="inlineStr">
        <is>
          <t>-20.64%</t>
        </is>
      </c>
      <c r="I280" s="17" t="inlineStr">
        <is>
          <t>N/A</t>
        </is>
      </c>
      <c r="J280" s="17" t="n">
        <v>2</v>
      </c>
      <c r="K280" s="17" t="n">
        <v>2</v>
      </c>
      <c r="L280" s="17" t="inlineStr">
        <is>
          <t>22.10.2024 16:19:54</t>
        </is>
      </c>
      <c r="M280" s="17" t="inlineStr">
        <is>
          <t>6 min</t>
        </is>
      </c>
      <c r="N280" s="17" t="inlineStr">
        <is>
          <t xml:space="preserve">        856K           497K             8K</t>
        </is>
      </c>
      <c r="O280" s="17" t="inlineStr">
        <is>
          <t>9pJ2SaBgN4k3pH1Ygj2Tu16WeDaptVcTcqqXfDNDpump</t>
        </is>
      </c>
      <c r="P280" s="17">
        <f>HYPERLINK("https://dexscreener.com/solana/9pJ2SaBgN4k3pH1Ygj2Tu16WeDaptVcTcqqXfDNDpump", "View")</f>
        <v/>
      </c>
    </row>
    <row r="281">
      <c r="A281" s="20" t="inlineStr">
        <is>
          <t>METALINGUA</t>
        </is>
      </c>
      <c r="B281" s="21" t="n">
        <v>4142026</v>
      </c>
      <c r="C281" s="21" t="n">
        <v>4142026</v>
      </c>
      <c r="D281" s="21" t="inlineStr">
        <is>
          <t>0.016020</t>
        </is>
      </c>
      <c r="E281" s="21" t="inlineStr">
        <is>
          <t>0.894 SOL</t>
        </is>
      </c>
      <c r="F281" s="21" t="inlineStr">
        <is>
          <t>1.594 SOL</t>
        </is>
      </c>
      <c r="G281" s="24" t="inlineStr">
        <is>
          <t>0.684 SOL</t>
        </is>
      </c>
      <c r="H281" s="24" t="inlineStr">
        <is>
          <t>75.19%</t>
        </is>
      </c>
      <c r="I281" s="21" t="inlineStr">
        <is>
          <t>N/A</t>
        </is>
      </c>
      <c r="J281" s="21" t="n">
        <v>1</v>
      </c>
      <c r="K281" s="21" t="n">
        <v>3</v>
      </c>
      <c r="L281" s="21" t="inlineStr">
        <is>
          <t>22.10.2024 16:05:38</t>
        </is>
      </c>
      <c r="M281" s="21" t="inlineStr">
        <is>
          <t>4 min</t>
        </is>
      </c>
      <c r="N281" s="21" t="inlineStr">
        <is>
          <t xml:space="preserve">         39K            53K             4K</t>
        </is>
      </c>
      <c r="O281" s="21" t="inlineStr">
        <is>
          <t>9Che3LP5gPa3XjsTU9kgb8ey6sMEJegA1Ea6KAvDpump</t>
        </is>
      </c>
      <c r="P281" s="21">
        <f>HYPERLINK("https://photon-sol.tinyastro.io/en/lp/9Che3LP5gPa3XjsTU9kgb8ey6sMEJegA1Ea6KAvDpump?handle=676050794bc1b1657a56b", "View")</f>
        <v/>
      </c>
    </row>
    <row r="282">
      <c r="A282" s="16" t="inlineStr">
        <is>
          <t>GMTR</t>
        </is>
      </c>
      <c r="B282" s="17" t="n">
        <v>7383894</v>
      </c>
      <c r="C282" s="17" t="n">
        <v>7383894</v>
      </c>
      <c r="D282" s="17" t="inlineStr">
        <is>
          <t>0.008010</t>
        </is>
      </c>
      <c r="E282" s="17" t="inlineStr">
        <is>
          <t>0.401 SOL</t>
        </is>
      </c>
      <c r="F282" s="17" t="inlineStr">
        <is>
          <t>0.354 SOL</t>
        </is>
      </c>
      <c r="G282" s="25" t="inlineStr">
        <is>
          <t>-0.055 SOL</t>
        </is>
      </c>
      <c r="H282" s="25" t="inlineStr">
        <is>
          <t>-13.36%</t>
        </is>
      </c>
      <c r="I282" s="17" t="inlineStr">
        <is>
          <t>N/A</t>
        </is>
      </c>
      <c r="J282" s="17" t="n">
        <v>1</v>
      </c>
      <c r="K282" s="17" t="n">
        <v>1</v>
      </c>
      <c r="L282" s="17" t="inlineStr">
        <is>
          <t>22.10.2024 15:58:17</t>
        </is>
      </c>
      <c r="M282" s="19" t="inlineStr">
        <is>
          <t>38 sec</t>
        </is>
      </c>
      <c r="N282" s="17" t="inlineStr">
        <is>
          <t xml:space="preserve">          9K             9K             5K</t>
        </is>
      </c>
      <c r="O282" s="17" t="inlineStr">
        <is>
          <t>2mE5yLeUYWMwYYMzf6JVsjuErAoPtfsx2rvyCDFBpump</t>
        </is>
      </c>
      <c r="P282" s="17">
        <f>HYPERLINK("https://photon-sol.tinyastro.io/en/lp/2mE5yLeUYWMwYYMzf6JVsjuErAoPtfsx2rvyCDFBpump?handle=676050794bc1b1657a56b", "View")</f>
        <v/>
      </c>
    </row>
    <row r="283">
      <c r="A283" s="20" t="inlineStr">
        <is>
          <t>koto</t>
        </is>
      </c>
      <c r="B283" s="21" t="n">
        <v>86343</v>
      </c>
      <c r="C283" s="21" t="n">
        <v>86343</v>
      </c>
      <c r="D283" s="21" t="inlineStr">
        <is>
          <t>0.008010</t>
        </is>
      </c>
      <c r="E283" s="21" t="inlineStr">
        <is>
          <t>0.500 SOL</t>
        </is>
      </c>
      <c r="F283" s="21" t="inlineStr">
        <is>
          <t>0.458 SOL</t>
        </is>
      </c>
      <c r="G283" s="25" t="inlineStr">
        <is>
          <t>-0.050 SOL</t>
        </is>
      </c>
      <c r="H283" s="25" t="inlineStr">
        <is>
          <t>-9.87%</t>
        </is>
      </c>
      <c r="I283" s="21" t="inlineStr">
        <is>
          <t>N/A</t>
        </is>
      </c>
      <c r="J283" s="21" t="n">
        <v>1</v>
      </c>
      <c r="K283" s="21" t="n">
        <v>1</v>
      </c>
      <c r="L283" s="21" t="inlineStr">
        <is>
          <t>22.10.2024 15:57:14</t>
        </is>
      </c>
      <c r="M283" s="21" t="inlineStr">
        <is>
          <t>1 min</t>
        </is>
      </c>
      <c r="N283" s="21" t="inlineStr">
        <is>
          <t xml:space="preserve">        992K           908K             2M</t>
        </is>
      </c>
      <c r="O283" s="21" t="inlineStr">
        <is>
          <t>BfdVHnbt9LSNAFCZU9kvTjbrH3jX78sv2siLKGQ7pump</t>
        </is>
      </c>
      <c r="P283" s="21">
        <f>HYPERLINK("https://dexscreener.com/solana/BfdVHnbt9LSNAFCZU9kvTjbrH3jX78sv2siLKGQ7pump", "View")</f>
        <v/>
      </c>
    </row>
    <row r="284">
      <c r="A284" s="16" t="inlineStr">
        <is>
          <t>LEMONS</t>
        </is>
      </c>
      <c r="B284" s="17" t="n">
        <v>584623</v>
      </c>
      <c r="C284" s="17" t="n">
        <v>584623</v>
      </c>
      <c r="D284" s="17" t="inlineStr">
        <is>
          <t>0.008010</t>
        </is>
      </c>
      <c r="E284" s="17" t="inlineStr">
        <is>
          <t>0.500 SOL</t>
        </is>
      </c>
      <c r="F284" s="17" t="inlineStr">
        <is>
          <t>0.046 SOL</t>
        </is>
      </c>
      <c r="G284" s="23" t="inlineStr">
        <is>
          <t>-0.462 SOL</t>
        </is>
      </c>
      <c r="H284" s="23" t="inlineStr">
        <is>
          <t>-90.91%</t>
        </is>
      </c>
      <c r="I284" s="17" t="inlineStr">
        <is>
          <t>N/A</t>
        </is>
      </c>
      <c r="J284" s="17" t="n">
        <v>1</v>
      </c>
      <c r="K284" s="17" t="n">
        <v>1</v>
      </c>
      <c r="L284" s="17" t="inlineStr">
        <is>
          <t>22.10.2024 15:48:08</t>
        </is>
      </c>
      <c r="M284" s="17" t="inlineStr">
        <is>
          <t>6 min</t>
        </is>
      </c>
      <c r="N284" s="17" t="inlineStr">
        <is>
          <t xml:space="preserve">        151K            14K             4K</t>
        </is>
      </c>
      <c r="O284" s="17" t="inlineStr">
        <is>
          <t>ADUrr7hKNbZR6FuoYFP2ph5boh6rRNhfy4bWHbRfpump</t>
        </is>
      </c>
      <c r="P284" s="17">
        <f>HYPERLINK("https://dexscreener.com/solana/ADUrr7hKNbZR6FuoYFP2ph5boh6rRNhfy4bWHbRfpump", "View")</f>
        <v/>
      </c>
    </row>
    <row r="285">
      <c r="A285" s="20" t="inlineStr">
        <is>
          <t>ROBF</t>
        </is>
      </c>
      <c r="B285" s="21" t="n">
        <v>4087534</v>
      </c>
      <c r="C285" s="21" t="n">
        <v>4087534</v>
      </c>
      <c r="D285" s="21" t="inlineStr">
        <is>
          <t>0.008010</t>
        </is>
      </c>
      <c r="E285" s="21" t="inlineStr">
        <is>
          <t>0.538 SOL</t>
        </is>
      </c>
      <c r="F285" s="21" t="inlineStr">
        <is>
          <t>0.277 SOL</t>
        </is>
      </c>
      <c r="G285" s="25" t="inlineStr">
        <is>
          <t>-0.269 SOL</t>
        </is>
      </c>
      <c r="H285" s="25" t="inlineStr">
        <is>
          <t>-49.23%</t>
        </is>
      </c>
      <c r="I285" s="21" t="inlineStr">
        <is>
          <t>N/A</t>
        </is>
      </c>
      <c r="J285" s="21" t="n">
        <v>1</v>
      </c>
      <c r="K285" s="21" t="n">
        <v>1</v>
      </c>
      <c r="L285" s="21" t="inlineStr">
        <is>
          <t>22.10.2024 15:47:53</t>
        </is>
      </c>
      <c r="M285" s="21" t="inlineStr">
        <is>
          <t>1 min</t>
        </is>
      </c>
      <c r="N285" s="21" t="inlineStr">
        <is>
          <t xml:space="preserve">         23K            12K             5K</t>
        </is>
      </c>
      <c r="O285" s="21" t="inlineStr">
        <is>
          <t>HYedqNfL711SXf9NrB2NL4UByNseBR9CV98yfQd5pump</t>
        </is>
      </c>
      <c r="P285" s="21">
        <f>HYPERLINK("https://photon-sol.tinyastro.io/en/lp/HYedqNfL711SXf9NrB2NL4UByNseBR9CV98yfQd5pump?handle=676050794bc1b1657a56b", "View")</f>
        <v/>
      </c>
    </row>
    <row r="286">
      <c r="A286" s="16" t="inlineStr">
        <is>
          <t>PENG</t>
        </is>
      </c>
      <c r="B286" s="17" t="n">
        <v>9237375</v>
      </c>
      <c r="C286" s="17" t="n">
        <v>9237375</v>
      </c>
      <c r="D286" s="17" t="inlineStr">
        <is>
          <t>0.008010</t>
        </is>
      </c>
      <c r="E286" s="17" t="inlineStr">
        <is>
          <t>0.558 SOL</t>
        </is>
      </c>
      <c r="F286" s="17" t="inlineStr">
        <is>
          <t>0.523 SOL</t>
        </is>
      </c>
      <c r="G286" s="25" t="inlineStr">
        <is>
          <t>-0.043 SOL</t>
        </is>
      </c>
      <c r="H286" s="25" t="inlineStr">
        <is>
          <t>-7.52%</t>
        </is>
      </c>
      <c r="I286" s="17" t="inlineStr">
        <is>
          <t>N/A</t>
        </is>
      </c>
      <c r="J286" s="17" t="n">
        <v>1</v>
      </c>
      <c r="K286" s="17" t="n">
        <v>1</v>
      </c>
      <c r="L286" s="17" t="inlineStr">
        <is>
          <t>22.10.2024 15:28:23</t>
        </is>
      </c>
      <c r="M286" s="19" t="inlineStr">
        <is>
          <t>52 sec</t>
        </is>
      </c>
      <c r="N286" s="17" t="inlineStr">
        <is>
          <t xml:space="preserve">         11K            11K             5K</t>
        </is>
      </c>
      <c r="O286" s="17" t="inlineStr">
        <is>
          <t>8sV5yhu2hmPKZcN7gkqqdThKn2KxWMvePxWwN9Qdpump</t>
        </is>
      </c>
      <c r="P286" s="17">
        <f>HYPERLINK("https://photon-sol.tinyastro.io/en/lp/8sV5yhu2hmPKZcN7gkqqdThKn2KxWMvePxWwN9Qdpump?handle=676050794bc1b1657a56b", "View")</f>
        <v/>
      </c>
    </row>
    <row r="287">
      <c r="A287" s="20" t="inlineStr">
        <is>
          <t>ozzy</t>
        </is>
      </c>
      <c r="B287" s="21" t="n">
        <v>4165906</v>
      </c>
      <c r="C287" s="21" t="n">
        <v>4165906</v>
      </c>
      <c r="D287" s="21" t="inlineStr">
        <is>
          <t>0.008010</t>
        </is>
      </c>
      <c r="E287" s="21" t="inlineStr">
        <is>
          <t>0.501 SOL</t>
        </is>
      </c>
      <c r="F287" s="21" t="inlineStr">
        <is>
          <t>0.253 SOL</t>
        </is>
      </c>
      <c r="G287" s="23" t="inlineStr">
        <is>
          <t>-0.256 SOL</t>
        </is>
      </c>
      <c r="H287" s="23" t="inlineStr">
        <is>
          <t>-50.34%</t>
        </is>
      </c>
      <c r="I287" s="21" t="inlineStr">
        <is>
          <t>N/A</t>
        </is>
      </c>
      <c r="J287" s="21" t="n">
        <v>1</v>
      </c>
      <c r="K287" s="21" t="n">
        <v>1</v>
      </c>
      <c r="L287" s="21" t="inlineStr">
        <is>
          <t>22.10.2024 06:40:20</t>
        </is>
      </c>
      <c r="M287" s="21" t="inlineStr">
        <is>
          <t>1 min</t>
        </is>
      </c>
      <c r="N287" s="21" t="inlineStr">
        <is>
          <t xml:space="preserve">         21K            11K             5K</t>
        </is>
      </c>
      <c r="O287" s="21" t="inlineStr">
        <is>
          <t>Jn9QCd8kuNwVzGCNm37Hv3Q8rx1ZJjH5Rso86jupump</t>
        </is>
      </c>
      <c r="P287" s="21">
        <f>HYPERLINK("https://photon-sol.tinyastro.io/en/lp/Jn9QCd8kuNwVzGCNm37Hv3Q8rx1ZJjH5Rso86jupump?handle=676050794bc1b1657a56b", "View")</f>
        <v/>
      </c>
    </row>
    <row r="288">
      <c r="A288" s="16" t="inlineStr">
        <is>
          <t>CTOw</t>
        </is>
      </c>
      <c r="B288" s="17" t="n">
        <v>4637822</v>
      </c>
      <c r="C288" s="17" t="n">
        <v>4637822</v>
      </c>
      <c r="D288" s="17" t="inlineStr">
        <is>
          <t>0.008010</t>
        </is>
      </c>
      <c r="E288" s="17" t="inlineStr">
        <is>
          <t>0.521 SOL</t>
        </is>
      </c>
      <c r="F288" s="17" t="inlineStr">
        <is>
          <t>0.390 SOL</t>
        </is>
      </c>
      <c r="G288" s="25" t="inlineStr">
        <is>
          <t>-0.139 SOL</t>
        </is>
      </c>
      <c r="H288" s="25" t="inlineStr">
        <is>
          <t>-26.29%</t>
        </is>
      </c>
      <c r="I288" s="17" t="inlineStr">
        <is>
          <t>N/A</t>
        </is>
      </c>
      <c r="J288" s="17" t="n">
        <v>1</v>
      </c>
      <c r="K288" s="17" t="n">
        <v>1</v>
      </c>
      <c r="L288" s="17" t="inlineStr">
        <is>
          <t>22.10.2024 06:35:58</t>
        </is>
      </c>
      <c r="M288" s="19" t="inlineStr">
        <is>
          <t>41 sec</t>
        </is>
      </c>
      <c r="N288" s="17" t="inlineStr">
        <is>
          <t xml:space="preserve">         19K            14K             5K</t>
        </is>
      </c>
      <c r="O288" s="17" t="inlineStr">
        <is>
          <t>DV1GQYRoUFwFEndboUDh5z1N55va7Y6YZQFd3zZfpump</t>
        </is>
      </c>
      <c r="P288" s="17">
        <f>HYPERLINK("https://photon-sol.tinyastro.io/en/lp/DV1GQYRoUFwFEndboUDh5z1N55va7Y6YZQFd3zZfpump?handle=676050794bc1b1657a56b", "View")</f>
        <v/>
      </c>
    </row>
    <row r="289">
      <c r="A289" s="20" t="inlineStr">
        <is>
          <t>GOBLIN</t>
        </is>
      </c>
      <c r="B289" s="21" t="n">
        <v>6633551</v>
      </c>
      <c r="C289" s="21" t="n">
        <v>6633551</v>
      </c>
      <c r="D289" s="21" t="inlineStr">
        <is>
          <t>0.008010</t>
        </is>
      </c>
      <c r="E289" s="21" t="inlineStr">
        <is>
          <t>0.521 SOL</t>
        </is>
      </c>
      <c r="F289" s="21" t="inlineStr">
        <is>
          <t>0.286 SOL</t>
        </is>
      </c>
      <c r="G289" s="25" t="inlineStr">
        <is>
          <t>-0.243 SOL</t>
        </is>
      </c>
      <c r="H289" s="25" t="inlineStr">
        <is>
          <t>-45.90%</t>
        </is>
      </c>
      <c r="I289" s="21" t="inlineStr">
        <is>
          <t>N/A</t>
        </is>
      </c>
      <c r="J289" s="21" t="n">
        <v>1</v>
      </c>
      <c r="K289" s="21" t="n">
        <v>1</v>
      </c>
      <c r="L289" s="21" t="inlineStr">
        <is>
          <t>22.10.2024 06:17:48</t>
        </is>
      </c>
      <c r="M289" s="21" t="inlineStr">
        <is>
          <t>3 min</t>
        </is>
      </c>
      <c r="N289" s="21" t="inlineStr">
        <is>
          <t xml:space="preserve">         14K             7K             5K</t>
        </is>
      </c>
      <c r="O289" s="21" t="inlineStr">
        <is>
          <t>5tovSU5gn6xiLbuqtdD4sjTyCucs7tpZ3zEyN9HJpump</t>
        </is>
      </c>
      <c r="P289" s="21">
        <f>HYPERLINK("https://photon-sol.tinyastro.io/en/lp/5tovSU5gn6xiLbuqtdD4sjTyCucs7tpZ3zEyN9HJpump?handle=676050794bc1b1657a56b", "View")</f>
        <v/>
      </c>
    </row>
    <row r="290">
      <c r="A290" s="16" t="inlineStr">
        <is>
          <t>Dog2</t>
        </is>
      </c>
      <c r="B290" s="17" t="n">
        <v>4718048</v>
      </c>
      <c r="C290" s="17" t="n">
        <v>4718048</v>
      </c>
      <c r="D290" s="17" t="inlineStr">
        <is>
          <t>0.008010</t>
        </is>
      </c>
      <c r="E290" s="17" t="inlineStr">
        <is>
          <t>0.518 SOL</t>
        </is>
      </c>
      <c r="F290" s="17" t="inlineStr">
        <is>
          <t>0.423 SOL</t>
        </is>
      </c>
      <c r="G290" s="25" t="inlineStr">
        <is>
          <t>-0.103 SOL</t>
        </is>
      </c>
      <c r="H290" s="25" t="inlineStr">
        <is>
          <t>-19.56%</t>
        </is>
      </c>
      <c r="I290" s="17" t="inlineStr">
        <is>
          <t>N/A</t>
        </is>
      </c>
      <c r="J290" s="17" t="n">
        <v>1</v>
      </c>
      <c r="K290" s="17" t="n">
        <v>1</v>
      </c>
      <c r="L290" s="17" t="inlineStr">
        <is>
          <t>22.10.2024 06:02:57</t>
        </is>
      </c>
      <c r="M290" s="19" t="inlineStr">
        <is>
          <t>20 sec</t>
        </is>
      </c>
      <c r="N290" s="17" t="inlineStr">
        <is>
          <t xml:space="preserve">         19K            16K             5K</t>
        </is>
      </c>
      <c r="O290" s="17" t="inlineStr">
        <is>
          <t>45jX56iQcGRwp3gMcsqm3S121kaL2voic9PLjpGkpump</t>
        </is>
      </c>
      <c r="P290" s="17">
        <f>HYPERLINK("https://photon-sol.tinyastro.io/en/lp/45jX56iQcGRwp3gMcsqm3S121kaL2voic9PLjpGkpump?handle=676050794bc1b1657a56b", "View")</f>
        <v/>
      </c>
    </row>
    <row r="291">
      <c r="A291" s="20" t="inlineStr">
        <is>
          <t>Robot</t>
        </is>
      </c>
      <c r="B291" s="21" t="n">
        <v>2479095</v>
      </c>
      <c r="C291" s="21" t="n">
        <v>2479095</v>
      </c>
      <c r="D291" s="21" t="inlineStr">
        <is>
          <t>0.012010</t>
        </is>
      </c>
      <c r="E291" s="21" t="inlineStr">
        <is>
          <t>0.551 SOL</t>
        </is>
      </c>
      <c r="F291" s="21" t="inlineStr">
        <is>
          <t>0.581 SOL</t>
        </is>
      </c>
      <c r="G291" s="22" t="inlineStr">
        <is>
          <t>0.018 SOL</t>
        </is>
      </c>
      <c r="H291" s="22" t="inlineStr">
        <is>
          <t>3.28%</t>
        </is>
      </c>
      <c r="I291" s="21" t="inlineStr">
        <is>
          <t>N/A</t>
        </is>
      </c>
      <c r="J291" s="21" t="n">
        <v>1</v>
      </c>
      <c r="K291" s="21" t="n">
        <v>2</v>
      </c>
      <c r="L291" s="21" t="inlineStr">
        <is>
          <t>22.10.2024 05:59:17</t>
        </is>
      </c>
      <c r="M291" s="21" t="inlineStr">
        <is>
          <t>4 min</t>
        </is>
      </c>
      <c r="N291" s="21" t="inlineStr">
        <is>
          <t xml:space="preserve">         39K            30K             3K</t>
        </is>
      </c>
      <c r="O291" s="21" t="inlineStr">
        <is>
          <t>Dt6cKjVxj8ZLTu2vg4uqqXYMkr4qGxxCcypcrj82pump</t>
        </is>
      </c>
      <c r="P291" s="21">
        <f>HYPERLINK("https://photon-sol.tinyastro.io/en/lp/Dt6cKjVxj8ZLTu2vg4uqqXYMkr4qGxxCcypcrj82pump?handle=676050794bc1b1657a56b", "View")</f>
        <v/>
      </c>
    </row>
    <row r="292">
      <c r="A292" s="16" t="inlineStr">
        <is>
          <t>🥔</t>
        </is>
      </c>
      <c r="B292" s="17" t="n">
        <v>14104000</v>
      </c>
      <c r="C292" s="17" t="n">
        <v>14104000</v>
      </c>
      <c r="D292" s="17" t="inlineStr">
        <is>
          <t>0.008010</t>
        </is>
      </c>
      <c r="E292" s="17" t="inlineStr">
        <is>
          <t>0.521 SOL</t>
        </is>
      </c>
      <c r="F292" s="17" t="inlineStr">
        <is>
          <t>0.644 SOL</t>
        </is>
      </c>
      <c r="G292" s="22" t="inlineStr">
        <is>
          <t>0.115 SOL</t>
        </is>
      </c>
      <c r="H292" s="22" t="inlineStr">
        <is>
          <t>21.65%</t>
        </is>
      </c>
      <c r="I292" s="17" t="inlineStr">
        <is>
          <t>N/A</t>
        </is>
      </c>
      <c r="J292" s="17" t="n">
        <v>1</v>
      </c>
      <c r="K292" s="17" t="n">
        <v>1</v>
      </c>
      <c r="L292" s="17" t="inlineStr">
        <is>
          <t>21.10.2024 19:11:51</t>
        </is>
      </c>
      <c r="M292" s="17" t="inlineStr">
        <is>
          <t>15 min</t>
        </is>
      </c>
      <c r="N292" s="17" t="inlineStr">
        <is>
          <t xml:space="preserve">          7K             9K             7K</t>
        </is>
      </c>
      <c r="O292" s="17" t="inlineStr">
        <is>
          <t>2rVVN3MK7JzUSU3ZGSYm8hyC6Rb7Ut6XUoScLpCdpump</t>
        </is>
      </c>
      <c r="P292" s="17">
        <f>HYPERLINK("https://photon-sol.tinyastro.io/en/lp/2rVVN3MK7JzUSU3ZGSYm8hyC6Rb7Ut6XUoScLpCdpump?handle=676050794bc1b1657a56b", "View")</f>
        <v/>
      </c>
    </row>
    <row r="293">
      <c r="A293" s="20" t="inlineStr">
        <is>
          <t>KTY</t>
        </is>
      </c>
      <c r="B293" s="21" t="n">
        <v>455100</v>
      </c>
      <c r="C293" s="21" t="n">
        <v>455100</v>
      </c>
      <c r="D293" s="21" t="inlineStr">
        <is>
          <t>0.008010</t>
        </is>
      </c>
      <c r="E293" s="21" t="inlineStr">
        <is>
          <t>0.500 SOL</t>
        </is>
      </c>
      <c r="F293" s="21" t="inlineStr">
        <is>
          <t>0.163 SOL</t>
        </is>
      </c>
      <c r="G293" s="23" t="inlineStr">
        <is>
          <t>-0.345 SOL</t>
        </is>
      </c>
      <c r="H293" s="23" t="inlineStr">
        <is>
          <t>-67.96%</t>
        </is>
      </c>
      <c r="I293" s="21" t="inlineStr">
        <is>
          <t>N/A</t>
        </is>
      </c>
      <c r="J293" s="21" t="n">
        <v>1</v>
      </c>
      <c r="K293" s="21" t="n">
        <v>1</v>
      </c>
      <c r="L293" s="21" t="inlineStr">
        <is>
          <t>21.10.2024 17:37:45</t>
        </is>
      </c>
      <c r="M293" s="21" t="inlineStr">
        <is>
          <t>1 min</t>
        </is>
      </c>
      <c r="N293" s="21" t="inlineStr">
        <is>
          <t xml:space="preserve">        193K            63K             5K</t>
        </is>
      </c>
      <c r="O293" s="21" t="inlineStr">
        <is>
          <t>CwQj6vWCVfpRDfuhLELCxcD29mWngm1zVasKKyRGpump</t>
        </is>
      </c>
      <c r="P293" s="21">
        <f>HYPERLINK("https://dexscreener.com/solana/CwQj6vWCVfpRDfuhLELCxcD29mWngm1zVasKKyRGpump", "View")</f>
        <v/>
      </c>
    </row>
    <row r="294">
      <c r="A294" s="16" t="inlineStr">
        <is>
          <t>BRUTUS</t>
        </is>
      </c>
      <c r="B294" s="17" t="n">
        <v>5562464</v>
      </c>
      <c r="C294" s="17" t="n">
        <v>5562464</v>
      </c>
      <c r="D294" s="17" t="inlineStr">
        <is>
          <t>0.016020</t>
        </is>
      </c>
      <c r="E294" s="17" t="inlineStr">
        <is>
          <t>0.683 SOL</t>
        </is>
      </c>
      <c r="F294" s="17" t="inlineStr">
        <is>
          <t>1.112 SOL</t>
        </is>
      </c>
      <c r="G294" s="24" t="inlineStr">
        <is>
          <t>0.413 SOL</t>
        </is>
      </c>
      <c r="H294" s="24" t="inlineStr">
        <is>
          <t>59.00%</t>
        </is>
      </c>
      <c r="I294" s="17" t="inlineStr">
        <is>
          <t>N/A</t>
        </is>
      </c>
      <c r="J294" s="17" t="n">
        <v>1</v>
      </c>
      <c r="K294" s="17" t="n">
        <v>3</v>
      </c>
      <c r="L294" s="17" t="inlineStr">
        <is>
          <t>21.10.2024 17:24:54</t>
        </is>
      </c>
      <c r="M294" s="17" t="inlineStr">
        <is>
          <t>8 min</t>
        </is>
      </c>
      <c r="N294" s="17" t="inlineStr">
        <is>
          <t xml:space="preserve">         21K            21K             4K</t>
        </is>
      </c>
      <c r="O294" s="17" t="inlineStr">
        <is>
          <t>3i4pLN2DvMEmmGMpRn3RUsu2LGLGYH3R8QHFiKzJpump</t>
        </is>
      </c>
      <c r="P294" s="17">
        <f>HYPERLINK("https://photon-sol.tinyastro.io/en/lp/3i4pLN2DvMEmmGMpRn3RUsu2LGLGYH3R8QHFiKzJpump?handle=676050794bc1b1657a56b", "View")</f>
        <v/>
      </c>
    </row>
    <row r="295">
      <c r="A295" s="20" t="inlineStr">
        <is>
          <t>terminal</t>
        </is>
      </c>
      <c r="B295" s="21" t="n">
        <v>4712685</v>
      </c>
      <c r="C295" s="21" t="n">
        <v>4712685</v>
      </c>
      <c r="D295" s="21" t="inlineStr">
        <is>
          <t>0.008010</t>
        </is>
      </c>
      <c r="E295" s="21" t="inlineStr">
        <is>
          <t>0.490 SOL</t>
        </is>
      </c>
      <c r="F295" s="21" t="inlineStr">
        <is>
          <t>0.306 SOL</t>
        </is>
      </c>
      <c r="G295" s="25" t="inlineStr">
        <is>
          <t>-0.192 SOL</t>
        </is>
      </c>
      <c r="H295" s="25" t="inlineStr">
        <is>
          <t>-38.51%</t>
        </is>
      </c>
      <c r="I295" s="21" t="inlineStr">
        <is>
          <t>N/A</t>
        </is>
      </c>
      <c r="J295" s="21" t="n">
        <v>1</v>
      </c>
      <c r="K295" s="21" t="n">
        <v>1</v>
      </c>
      <c r="L295" s="21" t="inlineStr">
        <is>
          <t>21.10.2024 15:35:44</t>
        </is>
      </c>
      <c r="M295" s="21" t="inlineStr">
        <is>
          <t>1 min</t>
        </is>
      </c>
      <c r="N295" s="21" t="inlineStr">
        <is>
          <t xml:space="preserve">         18K            11K             5K</t>
        </is>
      </c>
      <c r="O295" s="21" t="inlineStr">
        <is>
          <t>HgVF22EM2yQupYQV2f8ZQrPPjYRY9Vupr4poxfQ5pump</t>
        </is>
      </c>
      <c r="P295" s="21">
        <f>HYPERLINK("https://photon-sol.tinyastro.io/en/lp/HgVF22EM2yQupYQV2f8ZQrPPjYRY9Vupr4poxfQ5pump?handle=676050794bc1b1657a56b", "View")</f>
        <v/>
      </c>
    </row>
    <row r="296">
      <c r="A296" s="16" t="inlineStr">
        <is>
          <t>FRAUD</t>
        </is>
      </c>
      <c r="B296" s="17" t="n">
        <v>134185</v>
      </c>
      <c r="C296" s="17" t="n">
        <v>134185</v>
      </c>
      <c r="D296" s="17" t="inlineStr">
        <is>
          <t>0.016020</t>
        </is>
      </c>
      <c r="E296" s="17" t="inlineStr">
        <is>
          <t>1.000 SOL</t>
        </is>
      </c>
      <c r="F296" s="17" t="inlineStr">
        <is>
          <t>1.046 SOL</t>
        </is>
      </c>
      <c r="G296" s="22" t="inlineStr">
        <is>
          <t>0.030 SOL</t>
        </is>
      </c>
      <c r="H296" s="22" t="inlineStr">
        <is>
          <t>2.99%</t>
        </is>
      </c>
      <c r="I296" s="17" t="inlineStr">
        <is>
          <t>N/A</t>
        </is>
      </c>
      <c r="J296" s="17" t="n">
        <v>2</v>
      </c>
      <c r="K296" s="17" t="n">
        <v>2</v>
      </c>
      <c r="L296" s="17" t="inlineStr">
        <is>
          <t>21.10.2024 15:30:14</t>
        </is>
      </c>
      <c r="M296" s="17" t="inlineStr">
        <is>
          <t>24 min</t>
        </is>
      </c>
      <c r="N296" s="17" t="inlineStr">
        <is>
          <t xml:space="preserve">        878K             2M            43K</t>
        </is>
      </c>
      <c r="O296" s="17" t="inlineStr">
        <is>
          <t>CUots31KNMDbswxamS4fYQD3g4L3i4g2smT1djitpump</t>
        </is>
      </c>
      <c r="P296" s="17">
        <f>HYPERLINK("https://dexscreener.com/solana/CUots31KNMDbswxamS4fYQD3g4L3i4g2smT1djitpump", "View")</f>
        <v/>
      </c>
    </row>
    <row r="297">
      <c r="A297" s="20" t="inlineStr">
        <is>
          <t>wagmi</t>
        </is>
      </c>
      <c r="B297" s="21" t="n">
        <v>202842</v>
      </c>
      <c r="C297" s="21" t="n">
        <v>202842</v>
      </c>
      <c r="D297" s="21" t="inlineStr">
        <is>
          <t>0.008010</t>
        </is>
      </c>
      <c r="E297" s="21" t="inlineStr">
        <is>
          <t>0.500 SOL</t>
        </is>
      </c>
      <c r="F297" s="21" t="inlineStr">
        <is>
          <t>0.573 SOL</t>
        </is>
      </c>
      <c r="G297" s="22" t="inlineStr">
        <is>
          <t>0.065 SOL</t>
        </is>
      </c>
      <c r="H297" s="22" t="inlineStr">
        <is>
          <t>12.70%</t>
        </is>
      </c>
      <c r="I297" s="21" t="inlineStr">
        <is>
          <t>N/A</t>
        </is>
      </c>
      <c r="J297" s="21" t="n">
        <v>1</v>
      </c>
      <c r="K297" s="21" t="n">
        <v>1</v>
      </c>
      <c r="L297" s="21" t="inlineStr">
        <is>
          <t>21.10.2024 15:27:00</t>
        </is>
      </c>
      <c r="M297" s="21" t="inlineStr">
        <is>
          <t>1 min</t>
        </is>
      </c>
      <c r="N297" s="21" t="inlineStr">
        <is>
          <t xml:space="preserve">        432K           495K           202K</t>
        </is>
      </c>
      <c r="O297" s="21" t="inlineStr">
        <is>
          <t>AQtgbbJNXg2T7s6BFU15NhDtSsphKRX2Ro86J2AtgQ2D</t>
        </is>
      </c>
      <c r="P297" s="21">
        <f>HYPERLINK("https://dexscreener.com/solana/AQtgbbJNXg2T7s6BFU15NhDtSsphKRX2Ro86J2AtgQ2D", "View")</f>
        <v/>
      </c>
    </row>
    <row r="298">
      <c r="A298" s="16" t="inlineStr">
        <is>
          <t>dabloon</t>
        </is>
      </c>
      <c r="B298" s="17" t="n">
        <v>4495339</v>
      </c>
      <c r="C298" s="17" t="n">
        <v>4495339</v>
      </c>
      <c r="D298" s="17" t="inlineStr">
        <is>
          <t>0.024030</t>
        </is>
      </c>
      <c r="E298" s="17" t="inlineStr">
        <is>
          <t>0.519 SOL</t>
        </is>
      </c>
      <c r="F298" s="17" t="inlineStr">
        <is>
          <t>1.208 SOL</t>
        </is>
      </c>
      <c r="G298" s="24" t="inlineStr">
        <is>
          <t>0.665 SOL</t>
        </is>
      </c>
      <c r="H298" s="24" t="inlineStr">
        <is>
          <t>122.47%</t>
        </is>
      </c>
      <c r="I298" s="17" t="inlineStr">
        <is>
          <t>N/A</t>
        </is>
      </c>
      <c r="J298" s="17" t="n">
        <v>1</v>
      </c>
      <c r="K298" s="17" t="n">
        <v>5</v>
      </c>
      <c r="L298" s="17" t="inlineStr">
        <is>
          <t>21.10.2024 14:52:38</t>
        </is>
      </c>
      <c r="M298" s="17" t="inlineStr">
        <is>
          <t>4 min</t>
        </is>
      </c>
      <c r="N298" s="17" t="inlineStr">
        <is>
          <t xml:space="preserve">         21K            44K             3K</t>
        </is>
      </c>
      <c r="O298" s="17" t="inlineStr">
        <is>
          <t>Ci3uRgyhfiBhiEKc4SGz6TKHBjHtxhwMueyn7ncdpump</t>
        </is>
      </c>
      <c r="P298" s="17">
        <f>HYPERLINK("https://photon-sol.tinyastro.io/en/lp/Ci3uRgyhfiBhiEKc4SGz6TKHBjHtxhwMueyn7ncdpump?handle=676050794bc1b1657a56b", "View")</f>
        <v/>
      </c>
    </row>
    <row r="299">
      <c r="A299" s="20" t="inlineStr">
        <is>
          <t>Tulpa</t>
        </is>
      </c>
      <c r="B299" s="21" t="n">
        <v>1173356</v>
      </c>
      <c r="C299" s="21" t="n">
        <v>1173356</v>
      </c>
      <c r="D299" s="21" t="inlineStr">
        <is>
          <t>0.008010</t>
        </is>
      </c>
      <c r="E299" s="21" t="inlineStr">
        <is>
          <t>0.500 SOL</t>
        </is>
      </c>
      <c r="F299" s="21" t="inlineStr">
        <is>
          <t>0.630 SOL</t>
        </is>
      </c>
      <c r="G299" s="22" t="inlineStr">
        <is>
          <t>0.122 SOL</t>
        </is>
      </c>
      <c r="H299" s="22" t="inlineStr">
        <is>
          <t>24.05%</t>
        </is>
      </c>
      <c r="I299" s="21" t="inlineStr">
        <is>
          <t>N/A</t>
        </is>
      </c>
      <c r="J299" s="21" t="n">
        <v>1</v>
      </c>
      <c r="K299" s="21" t="n">
        <v>1</v>
      </c>
      <c r="L299" s="21" t="inlineStr">
        <is>
          <t>21.10.2024 14:45:22</t>
        </is>
      </c>
      <c r="M299" s="19" t="inlineStr">
        <is>
          <t>25 sec</t>
        </is>
      </c>
      <c r="N299" s="21" t="inlineStr">
        <is>
          <t xml:space="preserve">         75K            94K            10K</t>
        </is>
      </c>
      <c r="O299" s="21" t="inlineStr">
        <is>
          <t>6BTJwR27dvEtvan1vJWiiyv6CocPeALGu31EMx6fpump</t>
        </is>
      </c>
      <c r="P299" s="21">
        <f>HYPERLINK("https://dexscreener.com/solana/6BTJwR27dvEtvan1vJWiiyv6CocPeALGu31EMx6fpump", "View")</f>
        <v/>
      </c>
    </row>
    <row r="300">
      <c r="A300" s="16" t="inlineStr">
        <is>
          <t>$BASI</t>
        </is>
      </c>
      <c r="B300" s="17" t="n">
        <v>1494808</v>
      </c>
      <c r="C300" s="17" t="n">
        <v>1494808</v>
      </c>
      <c r="D300" s="17" t="inlineStr">
        <is>
          <t>0.012020</t>
        </is>
      </c>
      <c r="E300" s="17" t="inlineStr">
        <is>
          <t>1.000 SOL</t>
        </is>
      </c>
      <c r="F300" s="17" t="inlineStr">
        <is>
          <t>1.248 SOL</t>
        </is>
      </c>
      <c r="G300" s="22" t="inlineStr">
        <is>
          <t>0.236 SOL</t>
        </is>
      </c>
      <c r="H300" s="22" t="inlineStr">
        <is>
          <t>23.32%</t>
        </is>
      </c>
      <c r="I300" s="17" t="inlineStr">
        <is>
          <t>N/A</t>
        </is>
      </c>
      <c r="J300" s="17" t="n">
        <v>2</v>
      </c>
      <c r="K300" s="17" t="n">
        <v>1</v>
      </c>
      <c r="L300" s="17" t="inlineStr">
        <is>
          <t>21.10.2024 14:30:45</t>
        </is>
      </c>
      <c r="M300" s="17" t="inlineStr">
        <is>
          <t>3 min</t>
        </is>
      </c>
      <c r="N300" s="17" t="inlineStr">
        <is>
          <t xml:space="preserve">        183K           146K             5K</t>
        </is>
      </c>
      <c r="O300" s="17" t="inlineStr">
        <is>
          <t>mAhve2iAaV6XXixNXZdwRGDTTHBUp2sb8tD41rHpump</t>
        </is>
      </c>
      <c r="P300" s="17">
        <f>HYPERLINK("https://dexscreener.com/solana/mAhve2iAaV6XXixNXZdwRGDTTHBUp2sb8tD41rHpump", "View")</f>
        <v/>
      </c>
    </row>
    <row r="301">
      <c r="A301" s="20" t="inlineStr">
        <is>
          <t>PRGM</t>
        </is>
      </c>
      <c r="B301" s="21" t="n">
        <v>2672622</v>
      </c>
      <c r="C301" s="21" t="n">
        <v>2672622</v>
      </c>
      <c r="D301" s="21" t="inlineStr">
        <is>
          <t>0.008010</t>
        </is>
      </c>
      <c r="E301" s="21" t="inlineStr">
        <is>
          <t>0.521 SOL</t>
        </is>
      </c>
      <c r="F301" s="21" t="inlineStr">
        <is>
          <t>0.359 SOL</t>
        </is>
      </c>
      <c r="G301" s="25" t="inlineStr">
        <is>
          <t>-0.170 SOL</t>
        </is>
      </c>
      <c r="H301" s="25" t="inlineStr">
        <is>
          <t>-32.20%</t>
        </is>
      </c>
      <c r="I301" s="21" t="inlineStr">
        <is>
          <t>N/A</t>
        </is>
      </c>
      <c r="J301" s="21" t="n">
        <v>1</v>
      </c>
      <c r="K301" s="21" t="n">
        <v>1</v>
      </c>
      <c r="L301" s="21" t="inlineStr">
        <is>
          <t>21.10.2024 06:09:48</t>
        </is>
      </c>
      <c r="M301" s="21" t="inlineStr">
        <is>
          <t>1 hours</t>
        </is>
      </c>
      <c r="N301" s="21" t="inlineStr">
        <is>
          <t xml:space="preserve">         33K            23K             7K</t>
        </is>
      </c>
      <c r="O301" s="21" t="inlineStr">
        <is>
          <t>En3kViAo4ezri6eaA2qVdA41SJJn6pKJuxA74oPvpump</t>
        </is>
      </c>
      <c r="P301" s="21">
        <f>HYPERLINK("https://photon-sol.tinyastro.io/en/lp/En3kViAo4ezri6eaA2qVdA41SJJn6pKJuxA74oPvpump?handle=676050794bc1b1657a56b", "View")</f>
        <v/>
      </c>
    </row>
    <row r="302">
      <c r="A302" s="16" t="inlineStr">
        <is>
          <t>with</t>
        </is>
      </c>
      <c r="B302" s="17" t="n">
        <v>808015</v>
      </c>
      <c r="C302" s="17" t="n">
        <v>808015</v>
      </c>
      <c r="D302" s="17" t="inlineStr">
        <is>
          <t>0.008010</t>
        </is>
      </c>
      <c r="E302" s="17" t="inlineStr">
        <is>
          <t>0.500 SOL</t>
        </is>
      </c>
      <c r="F302" s="17" t="inlineStr">
        <is>
          <t>0.701 SOL</t>
        </is>
      </c>
      <c r="G302" s="22" t="inlineStr">
        <is>
          <t>0.193 SOL</t>
        </is>
      </c>
      <c r="H302" s="22" t="inlineStr">
        <is>
          <t>38.02%</t>
        </is>
      </c>
      <c r="I302" s="17" t="inlineStr">
        <is>
          <t>N/A</t>
        </is>
      </c>
      <c r="J302" s="17" t="n">
        <v>1</v>
      </c>
      <c r="K302" s="17" t="n">
        <v>1</v>
      </c>
      <c r="L302" s="17" t="inlineStr">
        <is>
          <t>20.10.2024 15:24:40</t>
        </is>
      </c>
      <c r="M302" s="17" t="inlineStr">
        <is>
          <t>2 min</t>
        </is>
      </c>
      <c r="N302" s="17" t="inlineStr">
        <is>
          <t xml:space="preserve">        109K           153K             4K</t>
        </is>
      </c>
      <c r="O302" s="17" t="inlineStr">
        <is>
          <t>3rCFMbCNZhXmUgTR316HFUH5KN8oTCR3LVXVHogJpump</t>
        </is>
      </c>
      <c r="P302" s="17">
        <f>HYPERLINK("https://dexscreener.com/solana/3rCFMbCNZhXmUgTR316HFUH5KN8oTCR3LVXVHogJpump", "View")</f>
        <v/>
      </c>
    </row>
    <row r="303">
      <c r="A303" s="20" t="inlineStr">
        <is>
          <t>MIMI</t>
        </is>
      </c>
      <c r="B303" s="21" t="n">
        <v>1255954</v>
      </c>
      <c r="C303" s="21" t="n">
        <v>1255954</v>
      </c>
      <c r="D303" s="21" t="inlineStr">
        <is>
          <t>0.016020</t>
        </is>
      </c>
      <c r="E303" s="21" t="inlineStr">
        <is>
          <t>1.000 SOL</t>
        </is>
      </c>
      <c r="F303" s="21" t="inlineStr">
        <is>
          <t>1.112 SOL</t>
        </is>
      </c>
      <c r="G303" s="22" t="inlineStr">
        <is>
          <t>0.096 SOL</t>
        </is>
      </c>
      <c r="H303" s="22" t="inlineStr">
        <is>
          <t>9.44%</t>
        </is>
      </c>
      <c r="I303" s="21" t="inlineStr">
        <is>
          <t>N/A</t>
        </is>
      </c>
      <c r="J303" s="21" t="n">
        <v>2</v>
      </c>
      <c r="K303" s="21" t="n">
        <v>2</v>
      </c>
      <c r="L303" s="21" t="inlineStr">
        <is>
          <t>20.10.2024 15:16:47</t>
        </is>
      </c>
      <c r="M303" s="21" t="inlineStr">
        <is>
          <t>10 min</t>
        </is>
      </c>
      <c r="N303" s="21" t="inlineStr">
        <is>
          <t xml:space="preserve">        146K           167K            31K</t>
        </is>
      </c>
      <c r="O303" s="21" t="inlineStr">
        <is>
          <t>9iuze1ULYZhfVyBwuNu2B2opAWphD5XYsyrfWV5Gpump</t>
        </is>
      </c>
      <c r="P303" s="21">
        <f>HYPERLINK("https://dexscreener.com/solana/9iuze1ULYZhfVyBwuNu2B2opAWphD5XYsyrfWV5Gpump", "View")</f>
        <v/>
      </c>
    </row>
    <row r="304">
      <c r="A304" s="16" t="inlineStr">
        <is>
          <t>cryptid</t>
        </is>
      </c>
      <c r="B304" s="17" t="n">
        <v>241116</v>
      </c>
      <c r="C304" s="17" t="n">
        <v>241116</v>
      </c>
      <c r="D304" s="17" t="inlineStr">
        <is>
          <t>0.008010</t>
        </is>
      </c>
      <c r="E304" s="17" t="inlineStr">
        <is>
          <t>0.500 SOL</t>
        </is>
      </c>
      <c r="F304" s="17" t="inlineStr">
        <is>
          <t>0.482 SOL</t>
        </is>
      </c>
      <c r="G304" s="25" t="inlineStr">
        <is>
          <t>-0.026 SOL</t>
        </is>
      </c>
      <c r="H304" s="25" t="inlineStr">
        <is>
          <t>-5.03%</t>
        </is>
      </c>
      <c r="I304" s="17" t="inlineStr">
        <is>
          <t>N/A</t>
        </is>
      </c>
      <c r="J304" s="17" t="n">
        <v>1</v>
      </c>
      <c r="K304" s="17" t="n">
        <v>1</v>
      </c>
      <c r="L304" s="17" t="inlineStr">
        <is>
          <t>20.10.2024 10:18:25</t>
        </is>
      </c>
      <c r="M304" s="17" t="inlineStr">
        <is>
          <t>1 min</t>
        </is>
      </c>
      <c r="N304" s="17" t="inlineStr">
        <is>
          <t xml:space="preserve">        363K           351K            14K</t>
        </is>
      </c>
      <c r="O304" s="17" t="inlineStr">
        <is>
          <t>8BFNreX5cd1KUAN1ct75xn4qv74uBJNqLxTfSbKPpump</t>
        </is>
      </c>
      <c r="P304" s="17">
        <f>HYPERLINK("https://dexscreener.com/solana/8BFNreX5cd1KUAN1ct75xn4qv74uBJNqLxTfSbKPpump", "View")</f>
        <v/>
      </c>
    </row>
    <row r="305">
      <c r="A305" s="20" t="inlineStr">
        <is>
          <t>LOVEAI</t>
        </is>
      </c>
      <c r="B305" s="21" t="n">
        <v>3491497</v>
      </c>
      <c r="C305" s="21" t="n">
        <v>3491497</v>
      </c>
      <c r="D305" s="21" t="inlineStr">
        <is>
          <t>0.008010</t>
        </is>
      </c>
      <c r="E305" s="21" t="inlineStr">
        <is>
          <t>0.526 SOL</t>
        </is>
      </c>
      <c r="F305" s="21" t="inlineStr">
        <is>
          <t>0.516 SOL</t>
        </is>
      </c>
      <c r="G305" s="25" t="inlineStr">
        <is>
          <t>-0.018 SOL</t>
        </is>
      </c>
      <c r="H305" s="25" t="inlineStr">
        <is>
          <t>-3.34%</t>
        </is>
      </c>
      <c r="I305" s="21" t="inlineStr">
        <is>
          <t>N/A</t>
        </is>
      </c>
      <c r="J305" s="21" t="n">
        <v>1</v>
      </c>
      <c r="K305" s="21" t="n">
        <v>1</v>
      </c>
      <c r="L305" s="21" t="inlineStr">
        <is>
          <t>20.10.2024 10:09:54</t>
        </is>
      </c>
      <c r="M305" s="21" t="inlineStr">
        <is>
          <t>4 min</t>
        </is>
      </c>
      <c r="N305" s="21" t="inlineStr">
        <is>
          <t xml:space="preserve">         26K            26K             5K</t>
        </is>
      </c>
      <c r="O305" s="21" t="inlineStr">
        <is>
          <t>GP8f6PbVvvm2SSRoHpB7GRT6L6Rb8yxnTDJsqVZVpump</t>
        </is>
      </c>
      <c r="P305" s="21">
        <f>HYPERLINK("https://photon-sol.tinyastro.io/en/lp/GP8f6PbVvvm2SSRoHpB7GRT6L6Rb8yxnTDJsqVZVpump?handle=676050794bc1b1657a56b", "View")</f>
        <v/>
      </c>
    </row>
    <row r="306">
      <c r="A306" s="16" t="inlineStr">
        <is>
          <t>Stoicism</t>
        </is>
      </c>
      <c r="B306" s="17" t="n">
        <v>5327369</v>
      </c>
      <c r="C306" s="17" t="n">
        <v>5327369</v>
      </c>
      <c r="D306" s="17" t="inlineStr">
        <is>
          <t>0.008010</t>
        </is>
      </c>
      <c r="E306" s="17" t="inlineStr">
        <is>
          <t>0.521 SOL</t>
        </is>
      </c>
      <c r="F306" s="17" t="inlineStr">
        <is>
          <t>0.569 SOL</t>
        </is>
      </c>
      <c r="G306" s="22" t="inlineStr">
        <is>
          <t>0.040 SOL</t>
        </is>
      </c>
      <c r="H306" s="22" t="inlineStr">
        <is>
          <t>7.59%</t>
        </is>
      </c>
      <c r="I306" s="17" t="inlineStr">
        <is>
          <t>N/A</t>
        </is>
      </c>
      <c r="J306" s="17" t="n">
        <v>1</v>
      </c>
      <c r="K306" s="17" t="n">
        <v>1</v>
      </c>
      <c r="L306" s="17" t="inlineStr">
        <is>
          <t>20.10.2024 08:30:36</t>
        </is>
      </c>
      <c r="M306" s="17" t="inlineStr">
        <is>
          <t>2 min</t>
        </is>
      </c>
      <c r="N306" s="17" t="inlineStr">
        <is>
          <t xml:space="preserve">         18K            19K             5K</t>
        </is>
      </c>
      <c r="O306" s="17" t="inlineStr">
        <is>
          <t>7tDjS2zfGeEJkGwtCxDUzdG9hZKt3hdBsN84fXMrpump</t>
        </is>
      </c>
      <c r="P306" s="17">
        <f>HYPERLINK("https://photon-sol.tinyastro.io/en/lp/7tDjS2zfGeEJkGwtCxDUzdG9hZKt3hdBsN84fXMrpump?handle=676050794bc1b1657a56b", "View")</f>
        <v/>
      </c>
    </row>
    <row r="307">
      <c r="A307" s="20" t="inlineStr">
        <is>
          <t>MILONG</t>
        </is>
      </c>
      <c r="B307" s="21" t="n">
        <v>4080469</v>
      </c>
      <c r="C307" s="21" t="n">
        <v>4080469</v>
      </c>
      <c r="D307" s="21" t="inlineStr">
        <is>
          <t>0.008010</t>
        </is>
      </c>
      <c r="E307" s="21" t="inlineStr">
        <is>
          <t>0.521 SOL</t>
        </is>
      </c>
      <c r="F307" s="21" t="inlineStr">
        <is>
          <t>0.302 SOL</t>
        </is>
      </c>
      <c r="G307" s="25" t="inlineStr">
        <is>
          <t>-0.228 SOL</t>
        </is>
      </c>
      <c r="H307" s="25" t="inlineStr">
        <is>
          <t>-43.00%</t>
        </is>
      </c>
      <c r="I307" s="21" t="inlineStr">
        <is>
          <t>N/A</t>
        </is>
      </c>
      <c r="J307" s="21" t="n">
        <v>1</v>
      </c>
      <c r="K307" s="21" t="n">
        <v>1</v>
      </c>
      <c r="L307" s="21" t="inlineStr">
        <is>
          <t>20.10.2024 07:43:39</t>
        </is>
      </c>
      <c r="M307" s="21" t="inlineStr">
        <is>
          <t>3 min</t>
        </is>
      </c>
      <c r="N307" s="21" t="inlineStr">
        <is>
          <t xml:space="preserve">        N/A           N/A           N/A</t>
        </is>
      </c>
      <c r="O307" s="21" t="inlineStr">
        <is>
          <t>48mNui1WEh7UAVLXeCsM2UjjUKjLYX4e3xUPvyhaWrSR</t>
        </is>
      </c>
      <c r="P307" s="21">
        <f>HYPERLINK("https://photon-sol.tinyastro.io/en/lp/48mNui1WEh7UAVLXeCsM2UjjUKjLYX4e3xUPvyhaWrSR?handle=676050794bc1b1657a56b", "View")</f>
        <v/>
      </c>
    </row>
    <row r="308">
      <c r="A308" s="16" t="inlineStr">
        <is>
          <t>Ψ</t>
        </is>
      </c>
      <c r="B308" s="17" t="n">
        <v>19432390</v>
      </c>
      <c r="C308" s="17" t="n">
        <v>19432390</v>
      </c>
      <c r="D308" s="17" t="inlineStr">
        <is>
          <t>0.008010</t>
        </is>
      </c>
      <c r="E308" s="17" t="inlineStr">
        <is>
          <t>1.036 SOL</t>
        </is>
      </c>
      <c r="F308" s="17" t="inlineStr">
        <is>
          <t>0.797 SOL</t>
        </is>
      </c>
      <c r="G308" s="25" t="inlineStr">
        <is>
          <t>-0.247 SOL</t>
        </is>
      </c>
      <c r="H308" s="25" t="inlineStr">
        <is>
          <t>-23.65%</t>
        </is>
      </c>
      <c r="I308" s="17" t="inlineStr">
        <is>
          <t>N/A</t>
        </is>
      </c>
      <c r="J308" s="17" t="n">
        <v>1</v>
      </c>
      <c r="K308" s="17" t="n">
        <v>1</v>
      </c>
      <c r="L308" s="17" t="inlineStr">
        <is>
          <t>20.10.2024 07:20:36</t>
        </is>
      </c>
      <c r="M308" s="19" t="inlineStr">
        <is>
          <t>14 sec</t>
        </is>
      </c>
      <c r="N308" s="17" t="inlineStr">
        <is>
          <t xml:space="preserve">          9K             7K             5K</t>
        </is>
      </c>
      <c r="O308" s="17" t="inlineStr">
        <is>
          <t>2Y1rr1cb9eA2SRnT2A9KiycxYq42Cbm5e9QFzTigpump</t>
        </is>
      </c>
      <c r="P308" s="17">
        <f>HYPERLINK("https://photon-sol.tinyastro.io/en/lp/2Y1rr1cb9eA2SRnT2A9KiycxYq42Cbm5e9QFzTigpump?handle=676050794bc1b1657a56b", "View")</f>
        <v/>
      </c>
    </row>
    <row r="309">
      <c r="A309" s="20" t="inlineStr">
        <is>
          <t>DEVILCAT</t>
        </is>
      </c>
      <c r="B309" s="21" t="n">
        <v>9899645</v>
      </c>
      <c r="C309" s="21" t="n">
        <v>9899645</v>
      </c>
      <c r="D309" s="21" t="inlineStr">
        <is>
          <t>0.008010</t>
        </is>
      </c>
      <c r="E309" s="21" t="inlineStr">
        <is>
          <t>0.521 SOL</t>
        </is>
      </c>
      <c r="F309" s="21" t="inlineStr">
        <is>
          <t>0.625 SOL</t>
        </is>
      </c>
      <c r="G309" s="22" t="inlineStr">
        <is>
          <t>0.096 SOL</t>
        </is>
      </c>
      <c r="H309" s="22" t="inlineStr">
        <is>
          <t>18.05%</t>
        </is>
      </c>
      <c r="I309" s="21" t="inlineStr">
        <is>
          <t>N/A</t>
        </is>
      </c>
      <c r="J309" s="21" t="n">
        <v>1</v>
      </c>
      <c r="K309" s="21" t="n">
        <v>1</v>
      </c>
      <c r="L309" s="21" t="inlineStr">
        <is>
          <t>20.10.2024 07:07:51</t>
        </is>
      </c>
      <c r="M309" s="21" t="inlineStr">
        <is>
          <t>1 min</t>
        </is>
      </c>
      <c r="N309" s="21" t="inlineStr">
        <is>
          <t xml:space="preserve">          9K            11K             5K</t>
        </is>
      </c>
      <c r="O309" s="21" t="inlineStr">
        <is>
          <t>EUzV3E8oTwYeKkhowQaf8HYybve6SNNv9tQFKfb3pump</t>
        </is>
      </c>
      <c r="P309" s="21">
        <f>HYPERLINK("https://photon-sol.tinyastro.io/en/lp/EUzV3E8oTwYeKkhowQaf8HYybve6SNNv9tQFKfb3pump?handle=676050794bc1b1657a56b", "View")</f>
        <v/>
      </c>
    </row>
    <row r="310">
      <c r="A310" s="16" t="inlineStr">
        <is>
          <t>AUTISM</t>
        </is>
      </c>
      <c r="B310" s="17" t="n">
        <v>3908606</v>
      </c>
      <c r="C310" s="17" t="n">
        <v>3908606</v>
      </c>
      <c r="D310" s="17" t="inlineStr">
        <is>
          <t>0.024030</t>
        </is>
      </c>
      <c r="E310" s="17" t="inlineStr">
        <is>
          <t>1.500 SOL</t>
        </is>
      </c>
      <c r="F310" s="17" t="inlineStr">
        <is>
          <t>2.195 SOL</t>
        </is>
      </c>
      <c r="G310" s="22" t="inlineStr">
        <is>
          <t>0.671 SOL</t>
        </is>
      </c>
      <c r="H310" s="22" t="inlineStr">
        <is>
          <t>44.03%</t>
        </is>
      </c>
      <c r="I310" s="17" t="inlineStr">
        <is>
          <t>N/A</t>
        </is>
      </c>
      <c r="J310" s="17" t="n">
        <v>3</v>
      </c>
      <c r="K310" s="17" t="n">
        <v>3</v>
      </c>
      <c r="L310" s="17" t="inlineStr">
        <is>
          <t>20.10.2024 07:00:17</t>
        </is>
      </c>
      <c r="M310" s="17" t="inlineStr">
        <is>
          <t>40 min</t>
        </is>
      </c>
      <c r="N310" s="17" t="inlineStr">
        <is>
          <t xml:space="preserve">         63K            84K             4K</t>
        </is>
      </c>
      <c r="O310" s="17" t="inlineStr">
        <is>
          <t>2iyzYLvv6vgpESHPR1Ti5r4fCKjzLaHwDLpbApnDpump</t>
        </is>
      </c>
      <c r="P310" s="17">
        <f>HYPERLINK("https://dexscreener.com/solana/2iyzYLvv6vgpESHPR1Ti5r4fCKjzLaHwDLpbApnDpump", "View")</f>
        <v/>
      </c>
    </row>
    <row r="311">
      <c r="A311" s="20" t="inlineStr">
        <is>
          <t>Luddites</t>
        </is>
      </c>
      <c r="B311" s="21" t="n">
        <v>90926</v>
      </c>
      <c r="C311" s="21" t="n">
        <v>90926</v>
      </c>
      <c r="D311" s="21" t="inlineStr">
        <is>
          <t>0.008010</t>
        </is>
      </c>
      <c r="E311" s="21" t="inlineStr">
        <is>
          <t>0.500 SOL</t>
        </is>
      </c>
      <c r="F311" s="21" t="inlineStr">
        <is>
          <t>0.417 SOL</t>
        </is>
      </c>
      <c r="G311" s="25" t="inlineStr">
        <is>
          <t>-0.091 SOL</t>
        </is>
      </c>
      <c r="H311" s="25" t="inlineStr">
        <is>
          <t>-17.82%</t>
        </is>
      </c>
      <c r="I311" s="21" t="inlineStr">
        <is>
          <t>N/A</t>
        </is>
      </c>
      <c r="J311" s="21" t="n">
        <v>1</v>
      </c>
      <c r="K311" s="21" t="n">
        <v>1</v>
      </c>
      <c r="L311" s="21" t="inlineStr">
        <is>
          <t>19.10.2024 19:34:19</t>
        </is>
      </c>
      <c r="M311" s="19" t="inlineStr">
        <is>
          <t>35 sec</t>
        </is>
      </c>
      <c r="N311" s="21" t="inlineStr">
        <is>
          <t xml:space="preserve">        966K           806K            16K</t>
        </is>
      </c>
      <c r="O311" s="21" t="inlineStr">
        <is>
          <t>BrN9aQu6XAk36aRMsZMVjkFsmSBhXoFvathsbBiYpump</t>
        </is>
      </c>
      <c r="P311" s="21">
        <f>HYPERLINK("https://dexscreener.com/solana/BrN9aQu6XAk36aRMsZMVjkFsmSBhXoFvathsbBiYpump", "View")</f>
        <v/>
      </c>
    </row>
    <row r="312">
      <c r="A312" s="16" t="inlineStr">
        <is>
          <t>🥩</t>
        </is>
      </c>
      <c r="B312" s="17" t="n">
        <v>1248860</v>
      </c>
      <c r="C312" s="17" t="n">
        <v>1248860</v>
      </c>
      <c r="D312" s="17" t="inlineStr">
        <is>
          <t>0.012010</t>
        </is>
      </c>
      <c r="E312" s="17" t="inlineStr">
        <is>
          <t>0.500 SOL</t>
        </is>
      </c>
      <c r="F312" s="17" t="inlineStr">
        <is>
          <t>0.681 SOL</t>
        </is>
      </c>
      <c r="G312" s="22" t="inlineStr">
        <is>
          <t>0.169 SOL</t>
        </is>
      </c>
      <c r="H312" s="22" t="inlineStr">
        <is>
          <t>33.08%</t>
        </is>
      </c>
      <c r="I312" s="17" t="inlineStr">
        <is>
          <t>N/A</t>
        </is>
      </c>
      <c r="J312" s="17" t="n">
        <v>1</v>
      </c>
      <c r="K312" s="17" t="n">
        <v>2</v>
      </c>
      <c r="L312" s="17" t="inlineStr">
        <is>
          <t>19.10.2024 19:21:47</t>
        </is>
      </c>
      <c r="M312" s="17" t="inlineStr">
        <is>
          <t>3 min</t>
        </is>
      </c>
      <c r="N312" s="17" t="inlineStr">
        <is>
          <t xml:space="preserve">         70K            72K            13K</t>
        </is>
      </c>
      <c r="O312" s="17" t="inlineStr">
        <is>
          <t>46SJKxbS5BWFBdGWx9fyNHTXQih9eiUPjsS6FHjqpump</t>
        </is>
      </c>
      <c r="P312" s="17">
        <f>HYPERLINK("https://dexscreener.com/solana/46SJKxbS5BWFBdGWx9fyNHTXQih9eiUPjsS6FHjqpump", "View")</f>
        <v/>
      </c>
    </row>
    <row r="313">
      <c r="A313" s="20" t="inlineStr">
        <is>
          <t>FROKO</t>
        </is>
      </c>
      <c r="B313" s="21" t="n">
        <v>20157493</v>
      </c>
      <c r="C313" s="21" t="n">
        <v>20157493</v>
      </c>
      <c r="D313" s="21" t="inlineStr">
        <is>
          <t>0.016020</t>
        </is>
      </c>
      <c r="E313" s="21" t="inlineStr">
        <is>
          <t>1.040 SOL</t>
        </is>
      </c>
      <c r="F313" s="21" t="inlineStr">
        <is>
          <t>0.962 SOL</t>
        </is>
      </c>
      <c r="G313" s="25" t="inlineStr">
        <is>
          <t>-0.094 SOL</t>
        </is>
      </c>
      <c r="H313" s="25" t="inlineStr">
        <is>
          <t>-8.90%</t>
        </is>
      </c>
      <c r="I313" s="21" t="inlineStr">
        <is>
          <t>N/A</t>
        </is>
      </c>
      <c r="J313" s="21" t="n">
        <v>2</v>
      </c>
      <c r="K313" s="21" t="n">
        <v>2</v>
      </c>
      <c r="L313" s="21" t="inlineStr">
        <is>
          <t>19.10.2024 18:51:47</t>
        </is>
      </c>
      <c r="M313" s="21" t="inlineStr">
        <is>
          <t>4 min</t>
        </is>
      </c>
      <c r="N313" s="21" t="inlineStr">
        <is>
          <t xml:space="preserve">          9K             9K             5K</t>
        </is>
      </c>
      <c r="O313" s="21" t="inlineStr">
        <is>
          <t>EQxW5iwhzPqxcWsZoi2dn9AAujNb4yftXx2kVxMfpump</t>
        </is>
      </c>
      <c r="P313" s="21">
        <f>HYPERLINK("https://photon-sol.tinyastro.io/en/lp/EQxW5iwhzPqxcWsZoi2dn9AAujNb4yftXx2kVxMfpump?handle=676050794bc1b1657a56b", "View")</f>
        <v/>
      </c>
    </row>
    <row r="314">
      <c r="A314" s="16" t="inlineStr">
        <is>
          <t>nsfa</t>
        </is>
      </c>
      <c r="B314" s="17" t="n">
        <v>890984</v>
      </c>
      <c r="C314" s="17" t="n">
        <v>890984</v>
      </c>
      <c r="D314" s="17" t="inlineStr">
        <is>
          <t>0.008010</t>
        </is>
      </c>
      <c r="E314" s="17" t="inlineStr">
        <is>
          <t>2.000 SOL</t>
        </is>
      </c>
      <c r="F314" s="17" t="inlineStr">
        <is>
          <t>2.041 SOL</t>
        </is>
      </c>
      <c r="G314" s="22" t="inlineStr">
        <is>
          <t>0.033 SOL</t>
        </is>
      </c>
      <c r="H314" s="22" t="inlineStr">
        <is>
          <t>1.62%</t>
        </is>
      </c>
      <c r="I314" s="17" t="inlineStr">
        <is>
          <t>N/A</t>
        </is>
      </c>
      <c r="J314" s="17" t="n">
        <v>1</v>
      </c>
      <c r="K314" s="17" t="n">
        <v>1</v>
      </c>
      <c r="L314" s="17" t="inlineStr">
        <is>
          <t>19.10.2024 18:43:48</t>
        </is>
      </c>
      <c r="M314" s="19" t="inlineStr">
        <is>
          <t>21 sec</t>
        </is>
      </c>
      <c r="N314" s="17" t="inlineStr">
        <is>
          <t xml:space="preserve">        319K           326K            57K</t>
        </is>
      </c>
      <c r="O314" s="17" t="inlineStr">
        <is>
          <t>EodtMbupUYuMkSaAtQEPkVSTVfvuDcRcnDCoCyqqpump</t>
        </is>
      </c>
      <c r="P314" s="17">
        <f>HYPERLINK("https://dexscreener.com/solana/EodtMbupUYuMkSaAtQEPkVSTVfvuDcRcnDCoCyqqpump", "View")</f>
        <v/>
      </c>
    </row>
    <row r="315">
      <c r="A315" s="20" t="inlineStr">
        <is>
          <t>Claudius</t>
        </is>
      </c>
      <c r="B315" s="21" t="n">
        <v>2569987</v>
      </c>
      <c r="C315" s="21" t="n">
        <v>2569987</v>
      </c>
      <c r="D315" s="21" t="inlineStr">
        <is>
          <t>0.008010</t>
        </is>
      </c>
      <c r="E315" s="21" t="inlineStr">
        <is>
          <t>0.524 SOL</t>
        </is>
      </c>
      <c r="F315" s="21" t="inlineStr">
        <is>
          <t>0.227 SOL</t>
        </is>
      </c>
      <c r="G315" s="23" t="inlineStr">
        <is>
          <t>-0.305 SOL</t>
        </is>
      </c>
      <c r="H315" s="23" t="inlineStr">
        <is>
          <t>-57.32%</t>
        </is>
      </c>
      <c r="I315" s="21" t="inlineStr">
        <is>
          <t>N/A</t>
        </is>
      </c>
      <c r="J315" s="21" t="n">
        <v>1</v>
      </c>
      <c r="K315" s="21" t="n">
        <v>1</v>
      </c>
      <c r="L315" s="21" t="inlineStr">
        <is>
          <t>19.10.2024 18:14:00</t>
        </is>
      </c>
      <c r="M315" s="21" t="inlineStr">
        <is>
          <t>2 min</t>
        </is>
      </c>
      <c r="N315" s="21" t="inlineStr">
        <is>
          <t xml:space="preserve">         35K            16K             3K</t>
        </is>
      </c>
      <c r="O315" s="21" t="inlineStr">
        <is>
          <t>EXyyptR69K9bThvvPJbbjse4cUVgN6mPeoc9geQqpump</t>
        </is>
      </c>
      <c r="P315" s="21">
        <f>HYPERLINK("https://photon-sol.tinyastro.io/en/lp/EXyyptR69K9bThvvPJbbjse4cUVgN6mPeoc9geQqpump?handle=676050794bc1b1657a56b", "View")</f>
        <v/>
      </c>
    </row>
    <row r="316">
      <c r="A316" s="16" t="inlineStr">
        <is>
          <t>Red</t>
        </is>
      </c>
      <c r="B316" s="17" t="n">
        <v>4975823</v>
      </c>
      <c r="C316" s="17" t="n">
        <v>4975823</v>
      </c>
      <c r="D316" s="17" t="inlineStr">
        <is>
          <t>0.008010</t>
        </is>
      </c>
      <c r="E316" s="17" t="inlineStr">
        <is>
          <t>0.500 SOL</t>
        </is>
      </c>
      <c r="F316" s="17" t="inlineStr">
        <is>
          <t>0.498 SOL</t>
        </is>
      </c>
      <c r="G316" s="25" t="inlineStr">
        <is>
          <t>-0.010 SOL</t>
        </is>
      </c>
      <c r="H316" s="25" t="inlineStr">
        <is>
          <t>-2.06%</t>
        </is>
      </c>
      <c r="I316" s="17" t="inlineStr">
        <is>
          <t>N/A</t>
        </is>
      </c>
      <c r="J316" s="17" t="n">
        <v>1</v>
      </c>
      <c r="K316" s="17" t="n">
        <v>1</v>
      </c>
      <c r="L316" s="17" t="inlineStr">
        <is>
          <t>19.10.2024 02:25:14</t>
        </is>
      </c>
      <c r="M316" s="19" t="inlineStr">
        <is>
          <t>6 sec</t>
        </is>
      </c>
      <c r="N316" s="17" t="inlineStr">
        <is>
          <t xml:space="preserve">         18K            18K             4K</t>
        </is>
      </c>
      <c r="O316" s="17" t="inlineStr">
        <is>
          <t>AgQtbsiNfuaviLF7xzxSQFnfWBDu7ekhkNBStxaRpump</t>
        </is>
      </c>
      <c r="P316" s="17">
        <f>HYPERLINK("https://dexscreener.com/solana/AgQtbsiNfuaviLF7xzxSQFnfWBDu7ekhkNBStxaRpump", "View")</f>
        <v/>
      </c>
    </row>
    <row r="317">
      <c r="A317" s="20" t="inlineStr">
        <is>
          <t>KEK</t>
        </is>
      </c>
      <c r="B317" s="21" t="n">
        <v>1903574</v>
      </c>
      <c r="C317" s="21" t="n">
        <v>1903574</v>
      </c>
      <c r="D317" s="21" t="inlineStr">
        <is>
          <t>0.008010</t>
        </is>
      </c>
      <c r="E317" s="21" t="inlineStr">
        <is>
          <t>0.483 SOL</t>
        </is>
      </c>
      <c r="F317" s="21" t="inlineStr">
        <is>
          <t>0.143 SOL</t>
        </is>
      </c>
      <c r="G317" s="23" t="inlineStr">
        <is>
          <t>-0.348 SOL</t>
        </is>
      </c>
      <c r="H317" s="23" t="inlineStr">
        <is>
          <t>-70.86%</t>
        </is>
      </c>
      <c r="I317" s="21" t="inlineStr">
        <is>
          <t>N/A</t>
        </is>
      </c>
      <c r="J317" s="21" t="n">
        <v>1</v>
      </c>
      <c r="K317" s="21" t="n">
        <v>1</v>
      </c>
      <c r="L317" s="21" t="inlineStr">
        <is>
          <t>19.10.2024 02:22:27</t>
        </is>
      </c>
      <c r="M317" s="19" t="inlineStr">
        <is>
          <t>21 sec</t>
        </is>
      </c>
      <c r="N317" s="21" t="inlineStr">
        <is>
          <t xml:space="preserve">         44K            14K             5K</t>
        </is>
      </c>
      <c r="O317" s="21" t="inlineStr">
        <is>
          <t>4jfmiT1Htp3zGEGdz3taXsSz4FU1u2Vw8Bug8fqMpump</t>
        </is>
      </c>
      <c r="P317" s="21">
        <f>HYPERLINK("https://photon-sol.tinyastro.io/en/lp/4jfmiT1Htp3zGEGdz3taXsSz4FU1u2Vw8Bug8fqMpump?handle=676050794bc1b1657a56b", "View")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HYPERLINK("https://gmgn.ai/sol/address/6X1jSkx7uDssCkm2PfXAWpvqT7s8ydt4663HF6YNLVZN", "GMGN")</f>
        <v/>
      </c>
    </row>
    <row r="2">
      <c r="A2" s="3" t="inlineStr">
        <is>
          <t>6X1jSkx7uDssCkm2PfXAWpvqT7s8ydt4663HF6YNLVZN</t>
        </is>
      </c>
      <c r="B2" s="3" t="inlineStr">
        <is>
          <t>8.33 SOL</t>
        </is>
      </c>
      <c r="C2" s="3" t="inlineStr">
        <is>
          <t>63%</t>
        </is>
      </c>
      <c r="D2" s="3" t="inlineStr">
        <is>
          <t>134%</t>
        </is>
      </c>
      <c r="E2" s="3" t="inlineStr">
        <is>
          <t>7.91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HYPERLINK("https://solscan.io/account/6X1jSkx7uDssCkm2PfXAWpvqT7s8ydt4663HF6YNLVZN", "Solscan")</f>
        <v/>
      </c>
    </row>
    <row r="3">
      <c r="A3" s="7" t="inlineStr">
        <is>
          <t>Median ROI</t>
        </is>
      </c>
      <c r="B3" s="4" t="inlineStr">
        <is>
          <t>39.78%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HYPERLINK("https://birdeye.so/profile/6X1jSkx7uDssCkm2PfXAWpvqT7s8ydt4663HF6YNLVZN", "Birdeye")</f>
        <v/>
      </c>
    </row>
    <row r="4">
      <c r="A4" s="7" t="inlineStr">
        <is>
          <t>Rockets percent</t>
        </is>
      </c>
      <c r="B4" s="3" t="inlineStr">
        <is>
          <t>25%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1</v>
      </c>
      <c r="E10" s="7" t="n">
        <v>2</v>
      </c>
      <c r="F10" s="7" t="n">
        <v>2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12.5%</t>
        </is>
      </c>
      <c r="D11" s="7" t="inlineStr">
        <is>
          <t>12.5%</t>
        </is>
      </c>
      <c r="E11" s="7" t="inlineStr">
        <is>
          <t>25.0%</t>
        </is>
      </c>
      <c r="F11" s="7" t="inlineStr">
        <is>
          <t>25.0%</t>
        </is>
      </c>
      <c r="G11" s="7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6.7 SOL</t>
        </is>
      </c>
      <c r="C12" s="7" t="inlineStr">
        <is>
          <t>0.8 SOL</t>
        </is>
      </c>
      <c r="D12" s="7" t="inlineStr">
        <is>
          <t>0.7 SOL</t>
        </is>
      </c>
      <c r="E12" s="7" t="inlineStr">
        <is>
          <t>0.5 SOL</t>
        </is>
      </c>
      <c r="F12" s="7" t="inlineStr">
        <is>
          <t>-0.7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11.5K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0.546 SOL</t>
        </is>
      </c>
      <c r="F20" s="17" t="inlineStr">
        <is>
          <t>0.738 SOL</t>
        </is>
      </c>
      <c r="G20" s="22" t="inlineStr">
        <is>
          <t>0.172 SOL</t>
        </is>
      </c>
      <c r="H20" s="22" t="inlineStr">
        <is>
          <t>30.27%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17:34:53</t>
        </is>
      </c>
      <c r="M20" s="17" t="inlineStr">
        <is>
          <t>3 min</t>
        </is>
      </c>
      <c r="N20" s="17" t="inlineStr">
        <is>
          <t xml:space="preserve">         11K            11K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0.190090</t>
        </is>
      </c>
      <c r="E21" s="21" t="inlineStr">
        <is>
          <t>0.467 SOL</t>
        </is>
      </c>
      <c r="F21" s="21" t="inlineStr">
        <is>
          <t>1.475 SOL</t>
        </is>
      </c>
      <c r="G21" s="24" t="inlineStr">
        <is>
          <t>0.818 SOL</t>
        </is>
      </c>
      <c r="H21" s="24" t="inlineStr">
        <is>
          <t>124.46%</t>
        </is>
      </c>
      <c r="I21" s="21" t="inlineStr">
        <is>
          <t>N/A</t>
        </is>
      </c>
      <c r="J21" s="21" t="n">
        <v>1</v>
      </c>
      <c r="K21" s="21" t="n">
        <v>18</v>
      </c>
      <c r="L21" s="21" t="inlineStr">
        <is>
          <t>30.10.2024 13:20:51</t>
        </is>
      </c>
      <c r="M21" s="21" t="inlineStr">
        <is>
          <t>4 min</t>
        </is>
      </c>
      <c r="N21" s="21" t="inlineStr">
        <is>
          <t xml:space="preserve">          9K             9K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0.610300</t>
        </is>
      </c>
      <c r="E22" s="17" t="inlineStr">
        <is>
          <t>0.491 SOL</t>
        </is>
      </c>
      <c r="F22" s="17" t="inlineStr">
        <is>
          <t>7.812 SOL</t>
        </is>
      </c>
      <c r="G22" s="24" t="inlineStr">
        <is>
          <t>6.711 SOL</t>
        </is>
      </c>
      <c r="H22" s="24" t="inlineStr">
        <is>
          <t>609.43%</t>
        </is>
      </c>
      <c r="I22" s="17" t="inlineStr">
        <is>
          <t>N/A</t>
        </is>
      </c>
      <c r="J22" s="17" t="n">
        <v>1</v>
      </c>
      <c r="K22" s="17" t="n">
        <v>60</v>
      </c>
      <c r="L22" s="17" t="inlineStr">
        <is>
          <t>30.10.2024 06:17:46</t>
        </is>
      </c>
      <c r="M22" s="17" t="inlineStr">
        <is>
          <t>7 min</t>
        </is>
      </c>
      <c r="N22" s="17" t="inlineStr">
        <is>
          <t xml:space="preserve">         11K           100K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Butters</t>
        </is>
      </c>
      <c r="B23" s="21" t="n">
        <v>7929767</v>
      </c>
      <c r="C23" s="21" t="n">
        <v>7929767</v>
      </c>
      <c r="D23" s="21" t="inlineStr">
        <is>
          <t>0.020010</t>
        </is>
      </c>
      <c r="E23" s="21" t="inlineStr">
        <is>
          <t>0.549 SOL</t>
        </is>
      </c>
      <c r="F23" s="21" t="inlineStr">
        <is>
          <t>0.850 SOL</t>
        </is>
      </c>
      <c r="G23" s="22" t="inlineStr">
        <is>
          <t>0.281 SOL</t>
        </is>
      </c>
      <c r="H23" s="22" t="inlineStr">
        <is>
          <t>49.28%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18:24:57</t>
        </is>
      </c>
      <c r="M23" s="21" t="inlineStr">
        <is>
          <t>7 min</t>
        </is>
      </c>
      <c r="N23" s="21" t="inlineStr">
        <is>
          <t xml:space="preserve">         12K            19K             4K</t>
        </is>
      </c>
      <c r="O23" s="21" t="inlineStr">
        <is>
          <t>BFc3G2JaqZA3eCJzWiSMhGZp7aXwonXETtr2Nudppump</t>
        </is>
      </c>
      <c r="P23" s="21">
        <f>HYPERLINK("https://photon-sol.tinyastro.io/en/lp/BFc3G2JaqZA3eCJzWiSMhGZp7aXwonXETtr2Nudppump?handle=676050794bc1b1657a56b", "View")</f>
        <v/>
      </c>
    </row>
    <row r="24">
      <c r="A24" s="16" t="inlineStr">
        <is>
          <t>Nina</t>
        </is>
      </c>
      <c r="B24" s="17" t="n">
        <v>11778199</v>
      </c>
      <c r="C24" s="17" t="n">
        <v>11778199</v>
      </c>
      <c r="D24" s="17" t="inlineStr">
        <is>
          <t>0.020010</t>
        </is>
      </c>
      <c r="E24" s="17" t="inlineStr">
        <is>
          <t>0.993 SOL</t>
        </is>
      </c>
      <c r="F24" s="17" t="inlineStr">
        <is>
          <t>0.616 SOL</t>
        </is>
      </c>
      <c r="G24" s="25" t="inlineStr">
        <is>
          <t>-0.397 SOL</t>
        </is>
      </c>
      <c r="H24" s="25" t="inlineStr">
        <is>
          <t>-39.16%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15:47:07</t>
        </is>
      </c>
      <c r="M24" s="17" t="inlineStr">
        <is>
          <t>4 min</t>
        </is>
      </c>
      <c r="N24" s="17" t="inlineStr">
        <is>
          <t xml:space="preserve">         14K             9K             5K</t>
        </is>
      </c>
      <c r="O24" s="17" t="inlineStr">
        <is>
          <t>CDkwBE7pPovZLJC2KxM7jvWXkyygR1Y1u2R7f6hmpump</t>
        </is>
      </c>
      <c r="P24" s="17">
        <f>HYPERLINK("https://photon-sol.tinyastro.io/en/lp/CDkwBE7pPovZLJC2KxM7jvWXkyygR1Y1u2R7f6hmpump?handle=676050794bc1b1657a56b", "View")</f>
        <v/>
      </c>
    </row>
    <row r="25">
      <c r="A25" s="20" t="inlineStr">
        <is>
          <t>MOLANG</t>
        </is>
      </c>
      <c r="B25" s="21" t="n">
        <v>1793028</v>
      </c>
      <c r="C25" s="21" t="n">
        <v>1793028</v>
      </c>
      <c r="D25" s="21" t="inlineStr">
        <is>
          <t>0.220020</t>
        </is>
      </c>
      <c r="E25" s="21" t="inlineStr">
        <is>
          <t>0.546 SOL</t>
        </is>
      </c>
      <c r="F25" s="21" t="inlineStr">
        <is>
          <t>0.476 SOL</t>
        </is>
      </c>
      <c r="G25" s="25" t="inlineStr">
        <is>
          <t>-0.290 SOL</t>
        </is>
      </c>
      <c r="H25" s="25" t="inlineStr">
        <is>
          <t>-37.84%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14:48:15</t>
        </is>
      </c>
      <c r="M25" s="21" t="inlineStr">
        <is>
          <t>10 min</t>
        </is>
      </c>
      <c r="N25" s="21" t="inlineStr">
        <is>
          <t xml:space="preserve">         56K            32K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Trina</t>
        </is>
      </c>
      <c r="B26" s="17" t="n">
        <v>11384893</v>
      </c>
      <c r="C26" s="17" t="n">
        <v>11384893</v>
      </c>
      <c r="D26" s="17" t="inlineStr">
        <is>
          <t>0.410160</t>
        </is>
      </c>
      <c r="E26" s="17" t="inlineStr">
        <is>
          <t>0.580 SOL</t>
        </is>
      </c>
      <c r="F26" s="17" t="inlineStr">
        <is>
          <t>1.728 SOL</t>
        </is>
      </c>
      <c r="G26" s="24" t="inlineStr">
        <is>
          <t>0.737 SOL</t>
        </is>
      </c>
      <c r="H26" s="24" t="inlineStr">
        <is>
          <t>74.44%</t>
        </is>
      </c>
      <c r="I26" s="17" t="inlineStr">
        <is>
          <t>N/A</t>
        </is>
      </c>
      <c r="J26" s="17" t="n">
        <v>1</v>
      </c>
      <c r="K26" s="17" t="n">
        <v>31</v>
      </c>
      <c r="L26" s="17" t="inlineStr">
        <is>
          <t>29.10.2024 13:33:43</t>
        </is>
      </c>
      <c r="M26" s="17" t="inlineStr">
        <is>
          <t>10 min</t>
        </is>
      </c>
      <c r="N26" s="17" t="inlineStr">
        <is>
          <t xml:space="preserve">          9K             9K             4K</t>
        </is>
      </c>
      <c r="O26" s="17" t="inlineStr">
        <is>
          <t>DirQ7FDi1C5SZCy8ai1GTSvnm9o8MDf9s4C4cExzpump</t>
        </is>
      </c>
      <c r="P26" s="17">
        <f>HYPERLINK("https://photon-sol.tinyastro.io/en/lp/DirQ7FDi1C5SZCy8ai1GTSvnm9o8MDf9s4C4cExzpump?handle=676050794bc1b1657a56b", "View")</f>
        <v/>
      </c>
    </row>
    <row r="27">
      <c r="A27" s="20" t="inlineStr">
        <is>
          <t>Trina</t>
        </is>
      </c>
      <c r="B27" s="21" t="n">
        <v>585788</v>
      </c>
      <c r="C27" s="21" t="n">
        <v>585788</v>
      </c>
      <c r="D27" s="21" t="inlineStr">
        <is>
          <t>0.110010</t>
        </is>
      </c>
      <c r="E27" s="21" t="inlineStr">
        <is>
          <t>0.131 SOL</t>
        </is>
      </c>
      <c r="F27" s="21" t="inlineStr">
        <is>
          <t>0.119 SOL</t>
        </is>
      </c>
      <c r="G27" s="23" t="inlineStr">
        <is>
          <t>-0.123 SOL</t>
        </is>
      </c>
      <c r="H27" s="23" t="inlineStr">
        <is>
          <t>-50.82%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13:22:12</t>
        </is>
      </c>
      <c r="M27" s="21" t="inlineStr">
        <is>
          <t>8 min</t>
        </is>
      </c>
      <c r="N27" s="21" t="inlineStr">
        <is>
          <t xml:space="preserve">         39K            35K             5K</t>
        </is>
      </c>
      <c r="O27" s="21" t="inlineStr">
        <is>
          <t>CsT44i2W2MWp23WQ2EqjorxZVVzuN4niw1cj1Qr5pump</t>
        </is>
      </c>
      <c r="P27" s="21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HYPERLINK("https://gmgn.ai/sol/address/9UHGG5A73zsxE5uB5ZB67wc3p7zoNEer8assxVpJ7w3t", "GMGN")</f>
        <v/>
      </c>
    </row>
    <row r="2">
      <c r="A2" s="3" t="inlineStr">
        <is>
          <t>9UHGG5A73zsxE5uB5ZB67wc3p7zoNEer8assxVpJ7w3t</t>
        </is>
      </c>
      <c r="B2" s="3" t="inlineStr">
        <is>
          <t>10.86 SOL</t>
        </is>
      </c>
      <c r="C2" s="3" t="inlineStr">
        <is>
          <t>56%</t>
        </is>
      </c>
      <c r="D2" s="3" t="inlineStr">
        <is>
          <t>86%</t>
        </is>
      </c>
      <c r="E2" s="3" t="inlineStr">
        <is>
          <t>8.27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3 days</t>
        </is>
      </c>
      <c r="K2" s="3" t="inlineStr">
        <is>
          <t>4 min</t>
        </is>
      </c>
      <c r="L2" s="3" t="n">
        <v>9</v>
      </c>
      <c r="M2" s="3" t="n">
        <v>2</v>
      </c>
      <c r="N2" s="3">
        <f>HYPERLINK("https://solscan.io/account/9UHGG5A73zsxE5uB5ZB67wc3p7zoNEer8assxVpJ7w3t", "Solscan")</f>
        <v/>
      </c>
    </row>
    <row r="3">
      <c r="A3" s="7" t="inlineStr">
        <is>
          <t>Median ROI</t>
        </is>
      </c>
      <c r="B3" s="4" t="inlineStr">
        <is>
          <t>18.32%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HYPERLINK("https://birdeye.so/profile/9UHGG5A73zsxE5uB5ZB67wc3p7zoNEer8assxVpJ7w3t", "Birdeye")</f>
        <v/>
      </c>
    </row>
    <row r="4">
      <c r="A4" s="7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3</v>
      </c>
      <c r="D10" s="7" t="n">
        <v>1</v>
      </c>
      <c r="E10" s="7" t="n">
        <v>1</v>
      </c>
      <c r="F10" s="7" t="n">
        <v>2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33.3%</t>
        </is>
      </c>
      <c r="D11" s="7" t="inlineStr">
        <is>
          <t>11.1%</t>
        </is>
      </c>
      <c r="E11" s="7" t="inlineStr">
        <is>
          <t>11.1%</t>
        </is>
      </c>
      <c r="F11" s="7" t="inlineStr">
        <is>
          <t>22.2%</t>
        </is>
      </c>
      <c r="G11" s="7" t="inlineStr">
        <is>
          <t>22.2%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8.6 SOL</t>
        </is>
      </c>
      <c r="D12" s="7" t="inlineStr">
        <is>
          <t>1.3 SOL</t>
        </is>
      </c>
      <c r="E12" s="7" t="inlineStr">
        <is>
          <t>0.2 SOL</t>
        </is>
      </c>
      <c r="F12" s="7" t="inlineStr">
        <is>
          <t>-0.4 SOL</t>
        </is>
      </c>
      <c r="G12" s="7" t="inlineStr">
        <is>
          <t>-1.5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17.0K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SHINE</t>
        </is>
      </c>
      <c r="B20" s="17" t="n">
        <v>7921667</v>
      </c>
      <c r="C20" s="17" t="n">
        <v>7921667</v>
      </c>
      <c r="D20" s="17" t="inlineStr">
        <is>
          <t>0.060010</t>
        </is>
      </c>
      <c r="E20" s="17" t="inlineStr">
        <is>
          <t>0.809 SOL</t>
        </is>
      </c>
      <c r="F20" s="17" t="inlineStr">
        <is>
          <t>0.569 SOL</t>
        </is>
      </c>
      <c r="G20" s="25" t="inlineStr">
        <is>
          <t>-0.300 SOL</t>
        </is>
      </c>
      <c r="H20" s="25" t="inlineStr">
        <is>
          <t>-34.48%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17:17:12</t>
        </is>
      </c>
      <c r="M20" s="17" t="inlineStr">
        <is>
          <t>3 min</t>
        </is>
      </c>
      <c r="N20" s="17" t="inlineStr">
        <is>
          <t xml:space="preserve">         18K            18K             4K</t>
        </is>
      </c>
      <c r="O20" s="17" t="inlineStr">
        <is>
          <t>7WzjS8eRhoVb495GKwJZEKkTCP3v7Ymjh4yCy3rVpump</t>
        </is>
      </c>
      <c r="P20" s="17">
        <f>HYPERLINK("https://photon-sol.tinyastro.io/en/lp/7WzjS8eRhoVb495GKwJZEKkTCP3v7Ymjh4yCy3rVpump?handle=676050794bc1b1657a56b", "View")</f>
        <v/>
      </c>
    </row>
    <row r="21">
      <c r="A21" s="20" t="inlineStr">
        <is>
          <t>ZEN</t>
        </is>
      </c>
      <c r="B21" s="21" t="n">
        <v>9438978</v>
      </c>
      <c r="C21" s="21" t="n">
        <v>9438978</v>
      </c>
      <c r="D21" s="21" t="inlineStr">
        <is>
          <t>0.220010</t>
        </is>
      </c>
      <c r="E21" s="21" t="inlineStr">
        <is>
          <t>0.924 SOL</t>
        </is>
      </c>
      <c r="F21" s="21" t="inlineStr">
        <is>
          <t>1.354 SOL</t>
        </is>
      </c>
      <c r="G21" s="22" t="inlineStr">
        <is>
          <t>0.210 SOL</t>
        </is>
      </c>
      <c r="H21" s="22" t="inlineStr">
        <is>
          <t>18.32%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16:41:56</t>
        </is>
      </c>
      <c r="M21" s="21" t="inlineStr">
        <is>
          <t>3 min</t>
        </is>
      </c>
      <c r="N21" s="21" t="inlineStr">
        <is>
          <t xml:space="preserve">        N/A           N/A           N/A</t>
        </is>
      </c>
      <c r="O21" s="21" t="inlineStr">
        <is>
          <t>4KdmmBF845nJknS1DpWWdL8CsjKExFoUmiEnzHrtpump</t>
        </is>
      </c>
      <c r="P21" s="21">
        <f>HYPERLINK("https://photon-sol.tinyastro.io/en/lp/4KdmmBF845nJknS1DpWWdL8CsjKExFoUmiEnzHrtpump?handle=676050794bc1b1657a56b", "View")</f>
        <v/>
      </c>
    </row>
    <row r="22">
      <c r="A22" s="16" t="inlineStr">
        <is>
          <t>SPARKY</t>
        </is>
      </c>
      <c r="B22" s="17" t="n">
        <v>4834750</v>
      </c>
      <c r="C22" s="17" t="n">
        <v>4834750</v>
      </c>
      <c r="D22" s="17" t="inlineStr">
        <is>
          <t>0.240010</t>
        </is>
      </c>
      <c r="E22" s="17" t="inlineStr">
        <is>
          <t>1.395 SOL</t>
        </is>
      </c>
      <c r="F22" s="17" t="inlineStr">
        <is>
          <t>0.634 SOL</t>
        </is>
      </c>
      <c r="G22" s="23" t="inlineStr">
        <is>
          <t>-1.001 SOL</t>
        </is>
      </c>
      <c r="H22" s="23" t="inlineStr">
        <is>
          <t>-61.21%</t>
        </is>
      </c>
      <c r="I22" s="17" t="inlineStr">
        <is>
          <t>N/A</t>
        </is>
      </c>
      <c r="J22" s="17" t="n">
        <v>1</v>
      </c>
      <c r="K22" s="17" t="n">
        <v>2</v>
      </c>
      <c r="L22" s="17" t="inlineStr">
        <is>
          <t>30.10.2024 13:29:33</t>
        </is>
      </c>
      <c r="M22" s="17" t="inlineStr">
        <is>
          <t>1 min</t>
        </is>
      </c>
      <c r="N22" s="17" t="inlineStr">
        <is>
          <t xml:space="preserve">         51K             5K             5K</t>
        </is>
      </c>
      <c r="O22" s="17" t="inlineStr">
        <is>
          <t>ChhFGDYQ5n6UkCcsX3NDXHfdgoFbjBMn1msye5HDpump</t>
        </is>
      </c>
      <c r="P22" s="17">
        <f>HYPERLINK("https://photon-sol.tinyastro.io/en/lp/ChhFGDYQ5n6UkCcsX3NDXHfdgoFbjBMn1msye5HDpump?handle=676050794bc1b1657a56b", "View")</f>
        <v/>
      </c>
    </row>
    <row r="23">
      <c r="A23" s="20" t="inlineStr">
        <is>
          <t>SOAR</t>
        </is>
      </c>
      <c r="B23" s="21" t="n">
        <v>8410960</v>
      </c>
      <c r="C23" s="21" t="n">
        <v>8410960</v>
      </c>
      <c r="D23" s="21" t="inlineStr">
        <is>
          <t>0.220010</t>
        </is>
      </c>
      <c r="E23" s="21" t="inlineStr">
        <is>
          <t>0.731 SOL</t>
        </is>
      </c>
      <c r="F23" s="21" t="inlineStr">
        <is>
          <t>3.713 SOL</t>
        </is>
      </c>
      <c r="G23" s="24" t="inlineStr">
        <is>
          <t>2.762 SOL</t>
        </is>
      </c>
      <c r="H23" s="24" t="inlineStr">
        <is>
          <t>290.47%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12:48:08</t>
        </is>
      </c>
      <c r="M23" s="21" t="inlineStr">
        <is>
          <t>3 min</t>
        </is>
      </c>
      <c r="N23" s="21" t="inlineStr">
        <is>
          <t xml:space="preserve">         16K            16K             4K</t>
        </is>
      </c>
      <c r="O23" s="21" t="inlineStr">
        <is>
          <t>DSMBxacyzGiqNgmadjZPMMGY2EEjRriH4HMbFDbRpump</t>
        </is>
      </c>
      <c r="P23" s="21">
        <f>HYPERLINK("https://photon-sol.tinyastro.io/en/lp/DSMBxacyzGiqNgmadjZPMMGY2EEjRriH4HMbFDbRpump?handle=676050794bc1b1657a56b", "View")</f>
        <v/>
      </c>
    </row>
    <row r="24">
      <c r="A24" s="16" t="inlineStr">
        <is>
          <t>RAGE</t>
        </is>
      </c>
      <c r="B24" s="17" t="n">
        <v>8026445</v>
      </c>
      <c r="C24" s="17" t="n">
        <v>8026445</v>
      </c>
      <c r="D24" s="17" t="inlineStr">
        <is>
          <t>0.220010</t>
        </is>
      </c>
      <c r="E24" s="17" t="inlineStr">
        <is>
          <t>0.543 SOL</t>
        </is>
      </c>
      <c r="F24" s="17" t="inlineStr">
        <is>
          <t>0.311 SOL</t>
        </is>
      </c>
      <c r="G24" s="23" t="inlineStr">
        <is>
          <t>-0.453 SOL</t>
        </is>
      </c>
      <c r="H24" s="23" t="inlineStr">
        <is>
          <t>-59.32%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30.10.2024 04:47:07</t>
        </is>
      </c>
      <c r="M24" s="17" t="inlineStr">
        <is>
          <t>4 min</t>
        </is>
      </c>
      <c r="N24" s="17" t="inlineStr">
        <is>
          <t xml:space="preserve">         12K             7K             5K</t>
        </is>
      </c>
      <c r="O24" s="17" t="inlineStr">
        <is>
          <t>H6WfFZ5EjUDmJoGvJpsChUZTiRuNGuMr3xoSRssEpump</t>
        </is>
      </c>
      <c r="P24" s="17">
        <f>HYPERLINK("https://photon-sol.tinyastro.io/en/lp/H6WfFZ5EjUDmJoGvJpsChUZTiRuNGuMr3xoSRssEpump?handle=676050794bc1b1657a56b", "View")</f>
        <v/>
      </c>
    </row>
    <row r="25">
      <c r="A25" s="20" t="inlineStr">
        <is>
          <t>MOLANG</t>
        </is>
      </c>
      <c r="B25" s="21" t="n">
        <v>9915954</v>
      </c>
      <c r="C25" s="21" t="n">
        <v>9915954</v>
      </c>
      <c r="D25" s="21" t="inlineStr">
        <is>
          <t>0.220010</t>
        </is>
      </c>
      <c r="E25" s="21" t="inlineStr">
        <is>
          <t>0.934 SOL</t>
        </is>
      </c>
      <c r="F25" s="21" t="inlineStr">
        <is>
          <t>1.060 SOL</t>
        </is>
      </c>
      <c r="G25" s="25" t="inlineStr">
        <is>
          <t>-0.095 SOL</t>
        </is>
      </c>
      <c r="H25" s="25" t="inlineStr">
        <is>
          <t>-8.20%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14:49:33</t>
        </is>
      </c>
      <c r="M25" s="21" t="inlineStr">
        <is>
          <t>12 min</t>
        </is>
      </c>
      <c r="N25" s="21" t="inlineStr">
        <is>
          <t xml:space="preserve">         16K            19K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SOLO</t>
        </is>
      </c>
      <c r="B26" s="17" t="n">
        <v>9598011</v>
      </c>
      <c r="C26" s="17" t="n">
        <v>9598011</v>
      </c>
      <c r="D26" s="17" t="inlineStr">
        <is>
          <t>0.240010</t>
        </is>
      </c>
      <c r="E26" s="17" t="inlineStr">
        <is>
          <t>0.617 SOL</t>
        </is>
      </c>
      <c r="F26" s="17" t="inlineStr">
        <is>
          <t>3.036 SOL</t>
        </is>
      </c>
      <c r="G26" s="24" t="inlineStr">
        <is>
          <t>2.179 SOL</t>
        </is>
      </c>
      <c r="H26" s="24" t="inlineStr">
        <is>
          <t>254.34%</t>
        </is>
      </c>
      <c r="I26" s="17" t="inlineStr">
        <is>
          <t>N/A</t>
        </is>
      </c>
      <c r="J26" s="17" t="n">
        <v>1</v>
      </c>
      <c r="K26" s="17" t="n">
        <v>2</v>
      </c>
      <c r="L26" s="17" t="inlineStr">
        <is>
          <t>29.10.2024 12:59:50</t>
        </is>
      </c>
      <c r="M26" s="17" t="inlineStr">
        <is>
          <t>4 min</t>
        </is>
      </c>
      <c r="N26" s="17" t="inlineStr">
        <is>
          <t xml:space="preserve">          9K            22K             4K</t>
        </is>
      </c>
      <c r="O26" s="17" t="inlineStr">
        <is>
          <t>GeHMGsBk1SfZSmRccWiUxoGd9ZpYHhTYYqMn95Hapump</t>
        </is>
      </c>
      <c r="P26" s="17">
        <f>HYPERLINK("https://photon-sol.tinyastro.io/en/lp/GeHMGsBk1SfZSmRccWiUxoGd9ZpYHhTYYqMn95Hapump?handle=676050794bc1b1657a56b", "View")</f>
        <v/>
      </c>
    </row>
    <row r="27">
      <c r="A27" s="20" t="inlineStr">
        <is>
          <t>LINK</t>
        </is>
      </c>
      <c r="B27" s="21" t="n">
        <v>6499962</v>
      </c>
      <c r="C27" s="21" t="n">
        <v>6499962</v>
      </c>
      <c r="D27" s="21" t="inlineStr">
        <is>
          <t>0.260020</t>
        </is>
      </c>
      <c r="E27" s="21" t="inlineStr">
        <is>
          <t>0.739 SOL</t>
        </is>
      </c>
      <c r="F27" s="21" t="inlineStr">
        <is>
          <t>4.702 SOL</t>
        </is>
      </c>
      <c r="G27" s="24" t="inlineStr">
        <is>
          <t>3.703 SOL</t>
        </is>
      </c>
      <c r="H27" s="24" t="inlineStr">
        <is>
          <t>370.67%</t>
        </is>
      </c>
      <c r="I27" s="21" t="inlineStr">
        <is>
          <t>N/A</t>
        </is>
      </c>
      <c r="J27" s="21" t="n">
        <v>1</v>
      </c>
      <c r="K27" s="21" t="n">
        <v>3</v>
      </c>
      <c r="L27" s="21" t="inlineStr">
        <is>
          <t>29.10.2024 04:32:02</t>
        </is>
      </c>
      <c r="M27" s="21" t="inlineStr">
        <is>
          <t>6 min</t>
        </is>
      </c>
      <c r="N27" s="21" t="inlineStr">
        <is>
          <t xml:space="preserve">         18K            38K             4K</t>
        </is>
      </c>
      <c r="O27" s="21" t="inlineStr">
        <is>
          <t>BxaRiJpUwPkiUfwUe7bXqMZV5EG8Xx5BZaY6QM3Jpump</t>
        </is>
      </c>
      <c r="P27" s="21">
        <f>HYPERLINK("https://photon-sol.tinyastro.io/en/lp/BxaRiJpUwPkiUfwUe7bXqMZV5EG8Xx5BZaY6QM3Jpump?handle=676050794bc1b1657a56b", "View")</f>
        <v/>
      </c>
    </row>
    <row r="28">
      <c r="A28" s="16" t="inlineStr">
        <is>
          <t>LIZZERD</t>
        </is>
      </c>
      <c r="B28" s="17" t="n">
        <v>5906762</v>
      </c>
      <c r="C28" s="17" t="n">
        <v>5906762</v>
      </c>
      <c r="D28" s="17" t="inlineStr">
        <is>
          <t>0.240020</t>
        </is>
      </c>
      <c r="E28" s="17" t="inlineStr">
        <is>
          <t>1.050 SOL</t>
        </is>
      </c>
      <c r="F28" s="17" t="inlineStr">
        <is>
          <t>2.555 SOL</t>
        </is>
      </c>
      <c r="G28" s="24" t="inlineStr">
        <is>
          <t>1.265 SOL</t>
        </is>
      </c>
      <c r="H28" s="24" t="inlineStr">
        <is>
          <t>98.09%</t>
        </is>
      </c>
      <c r="I28" s="17" t="inlineStr">
        <is>
          <t>N/A</t>
        </is>
      </c>
      <c r="J28" s="17" t="n">
        <v>1</v>
      </c>
      <c r="K28" s="17" t="n">
        <v>4</v>
      </c>
      <c r="L28" s="17" t="inlineStr">
        <is>
          <t>27.10.2024 14:32:03</t>
        </is>
      </c>
      <c r="M28" s="17" t="inlineStr">
        <is>
          <t>23 min</t>
        </is>
      </c>
      <c r="N28" s="17" t="inlineStr">
        <is>
          <t xml:space="preserve">         32K            11K             4K</t>
        </is>
      </c>
      <c r="O28" s="17" t="inlineStr">
        <is>
          <t>7FisD5QTeFBCd2vbAVs5PQ89vefLqz9Qhaqja6XRpump</t>
        </is>
      </c>
      <c r="P28" s="17">
        <f>HYPERLINK("https://photon-sol.tinyastro.io/en/lp/7FisD5QTeFBCd2vbAVs5PQ89vefLqz9Qhaqja6XRpump?handle=676050794bc1b1657a56b", "View")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HYPERLINK("https://gmgn.ai/sol/address/5Y5gmTQe5fKs4VFBAPSDtAxqUehBq7WURcF1gt762LMb", "GMGN")</f>
        <v/>
      </c>
    </row>
    <row r="2">
      <c r="A2" s="3" t="inlineStr">
        <is>
          <t>5Y5gmTQe5fKs4VFBAPSDtAxqUehBq7WURcF1gt762LMb</t>
        </is>
      </c>
      <c r="B2" s="3" t="inlineStr">
        <is>
          <t>1.99 SOL</t>
        </is>
      </c>
      <c r="C2" s="3" t="inlineStr">
        <is>
          <t>71%</t>
        </is>
      </c>
      <c r="D2" s="3" t="inlineStr">
        <is>
          <t>81%</t>
        </is>
      </c>
      <c r="E2" s="3" t="inlineStr">
        <is>
          <t>2.20 SOL</t>
        </is>
      </c>
      <c r="F2" s="3" t="inlineStr">
        <is>
          <t>0 (0%)</t>
        </is>
      </c>
      <c r="G2" s="3" t="inlineStr">
        <is>
          <t>0 (0%)</t>
        </is>
      </c>
      <c r="H2" s="3" t="n">
        <v>7</v>
      </c>
      <c r="I2" s="3" t="n">
        <v>0</v>
      </c>
      <c r="J2" s="3" t="inlineStr">
        <is>
          <t>5 days</t>
        </is>
      </c>
      <c r="K2" s="3" t="inlineStr">
        <is>
          <t>3 h</t>
        </is>
      </c>
      <c r="L2" s="3" t="n">
        <v>1</v>
      </c>
      <c r="M2" s="3" t="n">
        <v>12</v>
      </c>
      <c r="N2" s="3">
        <f>HYPERLINK("https://solscan.io/account/5Y5gmTQe5fKs4VFBAPSDtAxqUehBq7WURcF1gt762LMb", "Solscan")</f>
        <v/>
      </c>
    </row>
    <row r="3">
      <c r="A3" s="7" t="inlineStr">
        <is>
          <t>Median ROI</t>
        </is>
      </c>
      <c r="B3" s="4" t="inlineStr">
        <is>
          <t>69.40%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HYPERLINK("https://birdeye.so/profile/5Y5gmTQe5fKs4VFBAPSDtAxqUehBq7WURcF1gt762LMb", "Birdeye")</f>
        <v/>
      </c>
    </row>
    <row r="4">
      <c r="A4" s="7" t="inlineStr">
        <is>
          <t>Rockets percent</t>
        </is>
      </c>
      <c r="B4" s="3" t="inlineStr">
        <is>
          <t>29%</t>
        </is>
      </c>
      <c r="C4" s="3" t="inlineStr"/>
      <c r="D4" s="3" t="inlineStr">
        <is>
          <t>4%</t>
        </is>
      </c>
      <c r="E4" s="3" t="inlineStr">
        <is>
          <t>0.09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7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1.7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3</v>
      </c>
      <c r="E10" s="7" t="n">
        <v>0</v>
      </c>
      <c r="F10" s="7" t="n">
        <v>1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14.3%</t>
        </is>
      </c>
      <c r="C11" s="7" t="inlineStr">
        <is>
          <t>14.3%</t>
        </is>
      </c>
      <c r="D11" s="7" t="inlineStr">
        <is>
          <t>42.9%</t>
        </is>
      </c>
      <c r="E11" s="7" t="inlineStr">
        <is>
          <t>0.0%</t>
        </is>
      </c>
      <c r="F11" s="7" t="inlineStr">
        <is>
          <t>14.3%</t>
        </is>
      </c>
      <c r="G11" s="7" t="inlineStr">
        <is>
          <t>14.3%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0.8 SOL</t>
        </is>
      </c>
      <c r="C12" s="7" t="inlineStr">
        <is>
          <t>0.9 SOL</t>
        </is>
      </c>
      <c r="D12" s="7" t="inlineStr">
        <is>
          <t>0.8 SOL</t>
        </is>
      </c>
      <c r="E12" s="7" t="inlineStr">
        <is>
          <t>0.0 SOL</t>
        </is>
      </c>
      <c r="F12" s="7" t="inlineStr">
        <is>
          <t>-0.2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5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569.0K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tee_hee_he</t>
        </is>
      </c>
      <c r="B20" s="17" t="n">
        <v>4416642</v>
      </c>
      <c r="C20" s="17" t="n">
        <v>3187417</v>
      </c>
      <c r="D20" s="17" t="inlineStr">
        <is>
          <t>0.001190</t>
        </is>
      </c>
      <c r="E20" s="17" t="inlineStr">
        <is>
          <t>0.518 SOL</t>
        </is>
      </c>
      <c r="F20" s="17" t="inlineStr">
        <is>
          <t>0.779 SOL</t>
        </is>
      </c>
      <c r="G20" s="24" t="inlineStr">
        <is>
          <t>0.260 SOL</t>
        </is>
      </c>
      <c r="H20" s="24" t="inlineStr">
        <is>
          <t>50.17%</t>
        </is>
      </c>
      <c r="I20" s="17" t="inlineStr">
        <is>
          <t>N/A</t>
        </is>
      </c>
      <c r="J20" s="17" t="n">
        <v>2</v>
      </c>
      <c r="K20" s="17" t="n">
        <v>1</v>
      </c>
      <c r="L20" s="17" t="inlineStr">
        <is>
          <t>30.10.2024 03:44:50</t>
        </is>
      </c>
      <c r="M20" s="17" t="inlineStr">
        <is>
          <t>4 hours</t>
        </is>
      </c>
      <c r="N20" s="17" t="inlineStr">
        <is>
          <t xml:space="preserve">         33K            42K            14K</t>
        </is>
      </c>
      <c r="O20" s="17" t="inlineStr">
        <is>
          <t>HAhiXodNYcpQU2EvvxdUpkP3EdbDpZiP4G3jrGeFmKhZ</t>
        </is>
      </c>
      <c r="P20" s="17">
        <f>HYPERLINK("https://photon-sol.tinyastro.io/en/lp/HAhiXodNYcpQU2EvvxdUpkP3EdbDpZiP4G3jrGeFmKhZ?handle=676050794bc1b1657a56b", "View")</f>
        <v/>
      </c>
    </row>
    <row r="21">
      <c r="A21" s="20" t="inlineStr">
        <is>
          <t>LUCE</t>
        </is>
      </c>
      <c r="B21" s="21" t="n">
        <v>5374</v>
      </c>
      <c r="C21" s="21" t="n">
        <v>5374</v>
      </c>
      <c r="D21" s="21" t="inlineStr">
        <is>
          <t>0.001580</t>
        </is>
      </c>
      <c r="E21" s="21" t="inlineStr">
        <is>
          <t>0.690 SOL</t>
        </is>
      </c>
      <c r="F21" s="21" t="inlineStr">
        <is>
          <t>1.608 SOL</t>
        </is>
      </c>
      <c r="G21" s="24" t="inlineStr">
        <is>
          <t>0.917 SOL</t>
        </is>
      </c>
      <c r="H21" s="24" t="inlineStr">
        <is>
          <t>132.56%</t>
        </is>
      </c>
      <c r="I21" s="21" t="inlineStr">
        <is>
          <t>N/A</t>
        </is>
      </c>
      <c r="J21" s="21" t="n">
        <v>3</v>
      </c>
      <c r="K21" s="21" t="n">
        <v>1</v>
      </c>
      <c r="L21" s="21" t="inlineStr">
        <is>
          <t>29.10.2024 22:22:51</t>
        </is>
      </c>
      <c r="M21" s="21" t="inlineStr">
        <is>
          <t>1 days</t>
        </is>
      </c>
      <c r="N21" s="21" t="inlineStr">
        <is>
          <t xml:space="preserve">         14M            53M            57M</t>
        </is>
      </c>
      <c r="O21" s="21" t="inlineStr">
        <is>
          <t>CBdCxKo9QavR9hfShgpEBG3zekorAeD7W1jfq2o3pump</t>
        </is>
      </c>
      <c r="P21" s="21">
        <f>HYPERLINK("https://dexscreener.com/solana/CBdCxKo9QavR9hfShgpEBG3zekorAeD7W1jfq2o3pump", "View")</f>
        <v/>
      </c>
    </row>
    <row r="22">
      <c r="A22" s="16" t="inlineStr">
        <is>
          <t>grr</t>
        </is>
      </c>
      <c r="B22" s="17" t="n">
        <v>149965</v>
      </c>
      <c r="C22" s="17" t="n">
        <v>149965</v>
      </c>
      <c r="D22" s="17" t="inlineStr">
        <is>
          <t>0.001980</t>
        </is>
      </c>
      <c r="E22" s="17" t="inlineStr">
        <is>
          <t>0.540 SOL</t>
        </is>
      </c>
      <c r="F22" s="17" t="inlineStr">
        <is>
          <t>0.344 SOL</t>
        </is>
      </c>
      <c r="G22" s="25" t="inlineStr">
        <is>
          <t>-0.198 SOL</t>
        </is>
      </c>
      <c r="H22" s="25" t="inlineStr">
        <is>
          <t>-36.44%</t>
        </is>
      </c>
      <c r="I22" s="17" t="inlineStr">
        <is>
          <t>N/A</t>
        </is>
      </c>
      <c r="J22" s="17" t="n">
        <v>2</v>
      </c>
      <c r="K22" s="17" t="n">
        <v>3</v>
      </c>
      <c r="L22" s="17" t="inlineStr">
        <is>
          <t>28.10.2024 19:28:12</t>
        </is>
      </c>
      <c r="M22" s="17" t="inlineStr">
        <is>
          <t>3 min</t>
        </is>
      </c>
      <c r="N22" s="17" t="inlineStr">
        <is>
          <t xml:space="preserve">        569K           321K            19K</t>
        </is>
      </c>
      <c r="O22" s="17" t="inlineStr">
        <is>
          <t>Fm6hFGBsyeV5NJMumTkJNSZ8zKKwqdwUBzrkm6ccEUyj</t>
        </is>
      </c>
      <c r="P22" s="17">
        <f>HYPERLINK("https://dexscreener.com/solana/Fm6hFGBsyeV5NJMumTkJNSZ8zKKwqdwUBzrkm6ccEUyj", "View")</f>
        <v/>
      </c>
    </row>
    <row r="23">
      <c r="A23" s="20" t="inlineStr">
        <is>
          <t>KIRA</t>
        </is>
      </c>
      <c r="B23" s="21" t="n">
        <v>14363</v>
      </c>
      <c r="C23" s="21" t="n">
        <v>14363</v>
      </c>
      <c r="D23" s="21" t="inlineStr">
        <is>
          <t>0.000790</t>
        </is>
      </c>
      <c r="E23" s="21" t="inlineStr">
        <is>
          <t>0.270 SOL</t>
        </is>
      </c>
      <c r="F23" s="21" t="inlineStr">
        <is>
          <t>0.526 SOL</t>
        </is>
      </c>
      <c r="G23" s="24" t="inlineStr">
        <is>
          <t>0.255 SOL</t>
        </is>
      </c>
      <c r="H23" s="24" t="inlineStr">
        <is>
          <t>94.16%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27.10.2024 15:55:59</t>
        </is>
      </c>
      <c r="M23" s="21" t="inlineStr">
        <is>
          <t>1 hours</t>
        </is>
      </c>
      <c r="N23" s="21" t="inlineStr">
        <is>
          <t xml:space="preserve">          3M             6M             2M</t>
        </is>
      </c>
      <c r="O23" s="21" t="inlineStr">
        <is>
          <t>CefZxozhhxK88XPJoeWBczYSaBPd35tsKnziTH6Cpump</t>
        </is>
      </c>
      <c r="P23" s="21">
        <f>HYPERLINK("https://dexscreener.com/solana/CefZxozhhxK88XPJoeWBczYSaBPd35tsKnziTH6Cpump", "View")</f>
        <v/>
      </c>
    </row>
    <row r="24">
      <c r="A24" s="16" t="inlineStr">
        <is>
          <t>degenai</t>
        </is>
      </c>
      <c r="B24" s="17" t="n">
        <v>5069</v>
      </c>
      <c r="C24" s="17" t="n">
        <v>5069</v>
      </c>
      <c r="D24" s="17" t="inlineStr">
        <is>
          <t>0.001190</t>
        </is>
      </c>
      <c r="E24" s="17" t="inlineStr">
        <is>
          <t>0.400 SOL</t>
        </is>
      </c>
      <c r="F24" s="17" t="inlineStr">
        <is>
          <t>0.680 SOL</t>
        </is>
      </c>
      <c r="G24" s="24" t="inlineStr">
        <is>
          <t>0.278 SOL</t>
        </is>
      </c>
      <c r="H24" s="24" t="inlineStr">
        <is>
          <t>69.40%</t>
        </is>
      </c>
      <c r="I24" s="17" t="inlineStr">
        <is>
          <t>N/A</t>
        </is>
      </c>
      <c r="J24" s="17" t="n">
        <v>2</v>
      </c>
      <c r="K24" s="17" t="n">
        <v>1</v>
      </c>
      <c r="L24" s="17" t="inlineStr">
        <is>
          <t>27.10.2024 12:29:01</t>
        </is>
      </c>
      <c r="M24" s="17" t="inlineStr">
        <is>
          <t>11 hours</t>
        </is>
      </c>
      <c r="N24" s="17" t="inlineStr">
        <is>
          <t xml:space="preserve">         14M            24M             7M</t>
        </is>
      </c>
      <c r="O24" s="17" t="inlineStr">
        <is>
          <t>Gu3LDkn7Vx3bmCzLafYNKcDxv2mH7YN44NJZFXnypump</t>
        </is>
      </c>
      <c r="P24" s="17">
        <f>HYPERLINK("https://dexscreener.com/solana/Gu3LDkn7Vx3bmCzLafYNKcDxv2mH7YN44NJZFXnypump", "View")</f>
        <v/>
      </c>
    </row>
    <row r="25">
      <c r="A25" s="20" t="inlineStr">
        <is>
          <t>SWIG</t>
        </is>
      </c>
      <c r="B25" s="21" t="n">
        <v>251232</v>
      </c>
      <c r="C25" s="21" t="n">
        <v>251232</v>
      </c>
      <c r="D25" s="21" t="inlineStr">
        <is>
          <t>0.000790</t>
        </is>
      </c>
      <c r="E25" s="21" t="inlineStr">
        <is>
          <t>0.130 SOL</t>
        </is>
      </c>
      <c r="F25" s="21" t="inlineStr">
        <is>
          <t>0.906 SOL</t>
        </is>
      </c>
      <c r="G25" s="24" t="inlineStr">
        <is>
          <t>0.775 SOL</t>
        </is>
      </c>
      <c r="H25" s="24" t="inlineStr">
        <is>
          <t>592.47%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26.10.2024 05:26:47</t>
        </is>
      </c>
      <c r="M25" s="21" t="inlineStr">
        <is>
          <t>20 min</t>
        </is>
      </c>
      <c r="N25" s="21" t="inlineStr">
        <is>
          <t xml:space="preserve">         91K           627K            37K</t>
        </is>
      </c>
      <c r="O25" s="21" t="inlineStr">
        <is>
          <t>3ougYPdtSunmDvxkFb4ZEnahEomRGr936HuNqFoopump</t>
        </is>
      </c>
      <c r="P25" s="21">
        <f>HYPERLINK("https://dexscreener.com/solana/3ougYPdtSunmDvxkFb4ZEnahEomRGr936HuNqFoopump", "View")</f>
        <v/>
      </c>
    </row>
    <row r="26">
      <c r="A26" s="16" t="inlineStr">
        <is>
          <t>KIRK</t>
        </is>
      </c>
      <c r="B26" s="17" t="n">
        <v>54199</v>
      </c>
      <c r="C26" s="17" t="n">
        <v>54199</v>
      </c>
      <c r="D26" s="17" t="inlineStr">
        <is>
          <t>0.000790</t>
        </is>
      </c>
      <c r="E26" s="17" t="inlineStr">
        <is>
          <t>0.130 SOL</t>
        </is>
      </c>
      <c r="F26" s="17" t="inlineStr">
        <is>
          <t>0.037 SOL</t>
        </is>
      </c>
      <c r="G26" s="23" t="inlineStr">
        <is>
          <t>-0.093 SOL</t>
        </is>
      </c>
      <c r="H26" s="23" t="inlineStr">
        <is>
          <t>-71.39%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24.10.2024 16:56:33</t>
        </is>
      </c>
      <c r="M26" s="17" t="inlineStr">
        <is>
          <t>3 hours</t>
        </is>
      </c>
      <c r="N26" s="17" t="inlineStr">
        <is>
          <t xml:space="preserve">        421K           121K            65K</t>
        </is>
      </c>
      <c r="O26" s="17" t="inlineStr">
        <is>
          <t>9CA4oDuvnP5oULiechySPf6FxnNS7JmG1VL19X5spump</t>
        </is>
      </c>
      <c r="P26" s="17">
        <f>HYPERLINK("https://dexscreener.com/solana/9CA4oDuvnP5oULiechySPf6FxnNS7JmG1VL19X5spump", "View")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52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HYPERLINK("https://gmgn.ai/sol/address/8H3xT8L4hHkkVv5B861nVfr81vgw1RuYcbnufBsgxwyk", "GMGN")</f>
        <v/>
      </c>
    </row>
    <row r="2">
      <c r="A2" s="3" t="inlineStr">
        <is>
          <t>8H3xT8L4hHkkVv5B861nVfr81vgw1RuYcbnufBsgxwyk</t>
        </is>
      </c>
      <c r="B2" s="3" t="inlineStr">
        <is>
          <t>5.34 SOL</t>
        </is>
      </c>
      <c r="C2" s="3" t="inlineStr">
        <is>
          <t>45%</t>
        </is>
      </c>
      <c r="D2" s="3" t="inlineStr">
        <is>
          <t>57%</t>
        </is>
      </c>
      <c r="E2" s="3" t="inlineStr">
        <is>
          <t>13.06 SOL</t>
        </is>
      </c>
      <c r="F2" s="3" t="inlineStr">
        <is>
          <t>1 (3%)</t>
        </is>
      </c>
      <c r="G2" s="3" t="inlineStr">
        <is>
          <t>0 (0%)</t>
        </is>
      </c>
      <c r="H2" s="3" t="n">
        <v>33</v>
      </c>
      <c r="I2" s="3" t="n">
        <v>0</v>
      </c>
      <c r="J2" s="3" t="inlineStr">
        <is>
          <t>6 days</t>
        </is>
      </c>
      <c r="K2" s="3" t="inlineStr">
        <is>
          <t>6 min</t>
        </is>
      </c>
      <c r="L2" s="3" t="n">
        <v>24</v>
      </c>
      <c r="M2" s="3" t="n">
        <v>34</v>
      </c>
      <c r="N2" s="3">
        <f>HYPERLINK("https://solscan.io/account/8H3xT8L4hHkkVv5B861nVfr81vgw1RuYcbnufBsgxwyk", "Solscan")</f>
        <v/>
      </c>
    </row>
    <row r="3">
      <c r="A3" s="7" t="inlineStr">
        <is>
          <t>Median ROI</t>
        </is>
      </c>
      <c r="B3" s="5" t="inlineStr">
        <is>
          <t>-12.79%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HYPERLINK("https://birdeye.so/profile/8H3xT8L4hHkkVv5B861nVfr81vgw1RuYcbnufBsgxwyk", "Birdeye")</f>
        <v/>
      </c>
    </row>
    <row r="4">
      <c r="A4" s="7" t="inlineStr">
        <is>
          <t>Rockets percent</t>
        </is>
      </c>
      <c r="B4" s="3" t="inlineStr">
        <is>
          <t>15%</t>
        </is>
      </c>
      <c r="C4" s="3" t="inlineStr"/>
      <c r="D4" s="3" t="inlineStr">
        <is>
          <t>5%</t>
        </is>
      </c>
      <c r="E4" s="3" t="inlineStr">
        <is>
          <t>1.2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6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1.7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5</v>
      </c>
      <c r="D10" s="7" t="n">
        <v>3</v>
      </c>
      <c r="E10" s="7" t="n">
        <v>7</v>
      </c>
      <c r="F10" s="7" t="n">
        <v>10</v>
      </c>
      <c r="G10" s="7" t="n">
        <v>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15.2%</t>
        </is>
      </c>
      <c r="D11" s="7" t="inlineStr">
        <is>
          <t>9.1%</t>
        </is>
      </c>
      <c r="E11" s="7" t="inlineStr">
        <is>
          <t>21.2%</t>
        </is>
      </c>
      <c r="F11" s="7" t="inlineStr">
        <is>
          <t>30.3%</t>
        </is>
      </c>
      <c r="G11" s="7" t="inlineStr">
        <is>
          <t>24.2%</t>
        </is>
      </c>
      <c r="H11" s="3" t="n"/>
      <c r="I11" s="3" t="inlineStr">
        <is>
          <t>5k-30k</t>
        </is>
      </c>
      <c r="J11" s="3" t="inlineStr">
        <is>
          <t>22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11.5 SOL</t>
        </is>
      </c>
      <c r="D12" s="7" t="inlineStr">
        <is>
          <t>1.3 SOL</t>
        </is>
      </c>
      <c r="E12" s="7" t="inlineStr">
        <is>
          <t>2.5 SOL</t>
        </is>
      </c>
      <c r="F12" s="7" t="inlineStr">
        <is>
          <t>-0.7 SOL</t>
        </is>
      </c>
      <c r="G12" s="7" t="inlineStr">
        <is>
          <t>-1.5 SOL</t>
        </is>
      </c>
      <c r="H12" s="3" t="n"/>
      <c r="I12" s="3" t="inlineStr">
        <is>
          <t>30k-100k</t>
        </is>
      </c>
      <c r="J12" s="3" t="inlineStr">
        <is>
          <t>8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16.0K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RPG</t>
        </is>
      </c>
      <c r="B20" s="17" t="n">
        <v>15199914</v>
      </c>
      <c r="C20" s="17" t="n">
        <v>9847309</v>
      </c>
      <c r="D20" s="17" t="inlineStr">
        <is>
          <t>0.060030</t>
        </is>
      </c>
      <c r="E20" s="17" t="inlineStr">
        <is>
          <t>0.844 SOL</t>
        </is>
      </c>
      <c r="F20" s="17" t="inlineStr">
        <is>
          <t>2.161 SOL</t>
        </is>
      </c>
      <c r="G20" s="24" t="inlineStr">
        <is>
          <t>1.257 SOL</t>
        </is>
      </c>
      <c r="H20" s="24" t="inlineStr">
        <is>
          <t>138.95%</t>
        </is>
      </c>
      <c r="I20" s="17" t="inlineStr">
        <is>
          <t>N/A</t>
        </is>
      </c>
      <c r="J20" s="17" t="n">
        <v>2</v>
      </c>
      <c r="K20" s="17" t="n">
        <v>4</v>
      </c>
      <c r="L20" s="17" t="inlineStr">
        <is>
          <t>30.10.2024 19:58:15</t>
        </is>
      </c>
      <c r="M20" s="17" t="inlineStr">
        <is>
          <t>16 min</t>
        </is>
      </c>
      <c r="N20" s="17" t="inlineStr">
        <is>
          <t xml:space="preserve">          7K            11K             7K</t>
        </is>
      </c>
      <c r="O20" s="17" t="inlineStr">
        <is>
          <t>FP8KVrhyWKTAZwiKRPqZyUrErh96qyyeqxjgdyMUpump</t>
        </is>
      </c>
      <c r="P20" s="17">
        <f>HYPERLINK("https://photon-sol.tinyastro.io/en/lp/FP8KVrhyWKTAZwiKRPqZyUrErh96qyyeqxjgdyMUpump?handle=676050794bc1b1657a56b", "View")</f>
        <v/>
      </c>
    </row>
    <row r="21">
      <c r="A21" s="20" t="inlineStr">
        <is>
          <t>⋙⋙⋙</t>
        </is>
      </c>
      <c r="B21" s="21" t="n">
        <v>36131519</v>
      </c>
      <c r="C21" s="21" t="n">
        <v>34587460</v>
      </c>
      <c r="D21" s="21" t="inlineStr">
        <is>
          <t>0.090050</t>
        </is>
      </c>
      <c r="E21" s="21" t="inlineStr">
        <is>
          <t>4.439 SOL</t>
        </is>
      </c>
      <c r="F21" s="21" t="inlineStr">
        <is>
          <t>6.724 SOL</t>
        </is>
      </c>
      <c r="G21" s="22" t="inlineStr">
        <is>
          <t>2.195 SOL</t>
        </is>
      </c>
      <c r="H21" s="22" t="inlineStr">
        <is>
          <t>48.47%</t>
        </is>
      </c>
      <c r="I21" s="21" t="inlineStr">
        <is>
          <t>N/A</t>
        </is>
      </c>
      <c r="J21" s="21" t="n">
        <v>7</v>
      </c>
      <c r="K21" s="21" t="n">
        <v>2</v>
      </c>
      <c r="L21" s="21" t="inlineStr">
        <is>
          <t>30.10.2024 18:17:28</t>
        </is>
      </c>
      <c r="M21" s="21" t="inlineStr">
        <is>
          <t>3 days</t>
        </is>
      </c>
      <c r="N21" s="21" t="inlineStr">
        <is>
          <t xml:space="preserve">         16K            32K             6K</t>
        </is>
      </c>
      <c r="O21" s="21" t="inlineStr">
        <is>
          <t>3qhdDQ8BuMXtcWTrULFfofoJcqCMbE6aDH5WoF34pump</t>
        </is>
      </c>
      <c r="P21" s="21">
        <f>HYPERLINK("https://photon-sol.tinyastro.io/en/lp/3qhdDQ8BuMXtcWTrULFfofoJcqCMbE6aDH5WoF34pump?handle=676050794bc1b1657a56b", "View")</f>
        <v/>
      </c>
    </row>
    <row r="22">
      <c r="A22" s="16" t="inlineStr">
        <is>
          <t>CHOO</t>
        </is>
      </c>
      <c r="B22" s="17" t="n">
        <v>257055</v>
      </c>
      <c r="C22" s="17" t="n">
        <v>257055</v>
      </c>
      <c r="D22" s="17" t="inlineStr">
        <is>
          <t>0.020010</t>
        </is>
      </c>
      <c r="E22" s="17" t="inlineStr">
        <is>
          <t>0.100 SOL</t>
        </is>
      </c>
      <c r="F22" s="17" t="inlineStr">
        <is>
          <t>0.105 SOL</t>
        </is>
      </c>
      <c r="G22" s="25" t="inlineStr">
        <is>
          <t>-0.015 SOL</t>
        </is>
      </c>
      <c r="H22" s="25" t="inlineStr">
        <is>
          <t>-12.79%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13:06:16</t>
        </is>
      </c>
      <c r="M22" s="17" t="inlineStr">
        <is>
          <t>2 min</t>
        </is>
      </c>
      <c r="N22" s="17" t="inlineStr">
        <is>
          <t xml:space="preserve">         68K            72K             7K</t>
        </is>
      </c>
      <c r="O22" s="17" t="inlineStr">
        <is>
          <t>2oVm46bBPHqFfB8YALSdZh6k38t2Xj2Js69fmX6spump</t>
        </is>
      </c>
      <c r="P22" s="17">
        <f>HYPERLINK("https://dexscreener.com/solana/2oVm46bBPHqFfB8YALSdZh6k38t2Xj2Js69fmX6spump", "View")</f>
        <v/>
      </c>
    </row>
    <row r="23">
      <c r="A23" s="20" t="inlineStr">
        <is>
          <t>Done</t>
        </is>
      </c>
      <c r="B23" s="21" t="n">
        <v>241937</v>
      </c>
      <c r="C23" s="21" t="n">
        <v>241937</v>
      </c>
      <c r="D23" s="21" t="inlineStr">
        <is>
          <t>0.020010</t>
        </is>
      </c>
      <c r="E23" s="21" t="inlineStr">
        <is>
          <t>0.100 SOL</t>
        </is>
      </c>
      <c r="F23" s="21" t="inlineStr">
        <is>
          <t>0.033 SOL</t>
        </is>
      </c>
      <c r="G23" s="23" t="inlineStr">
        <is>
          <t>-0.087 SOL</t>
        </is>
      </c>
      <c r="H23" s="23" t="inlineStr">
        <is>
          <t>-72.09%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13:06:01</t>
        </is>
      </c>
      <c r="M23" s="21" t="inlineStr">
        <is>
          <t>4 min</t>
        </is>
      </c>
      <c r="N23" s="21" t="inlineStr">
        <is>
          <t xml:space="preserve">         72K            25K             8K</t>
        </is>
      </c>
      <c r="O23" s="21" t="inlineStr">
        <is>
          <t>S3K1pSwyavRze7uQksNHp4N9w9BqncvFq8SncQ5pump</t>
        </is>
      </c>
      <c r="P23" s="21">
        <f>HYPERLINK("https://dexscreener.com/solana/S3K1pSwyavRze7uQksNHp4N9w9BqncvFq8SncQ5pump", "View")</f>
        <v/>
      </c>
    </row>
    <row r="24">
      <c r="A24" s="16" t="inlineStr">
        <is>
          <t>BIRB</t>
        </is>
      </c>
      <c r="B24" s="17" t="n">
        <v>379247</v>
      </c>
      <c r="C24" s="17" t="n">
        <v>0</v>
      </c>
      <c r="D24" s="17" t="inlineStr">
        <is>
          <t>0.020010</t>
        </is>
      </c>
      <c r="E24" s="17" t="inlineStr">
        <is>
          <t>0.500 SOL</t>
        </is>
      </c>
      <c r="F24" s="17" t="inlineStr">
        <is>
          <t>0.000 SOL</t>
        </is>
      </c>
      <c r="G24" s="18" t="inlineStr">
        <is>
          <t>-0.520 SOL</t>
        </is>
      </c>
      <c r="H24" s="18" t="inlineStr">
        <is>
          <t>0.00%</t>
        </is>
      </c>
      <c r="I24" s="17" t="inlineStr">
        <is>
          <t>379,247</t>
        </is>
      </c>
      <c r="J24" s="17" t="n">
        <v>2</v>
      </c>
      <c r="K24" s="17" t="n">
        <v>0</v>
      </c>
      <c r="L24" s="17" t="inlineStr">
        <is>
          <t>30.10.2024 09:25:19</t>
        </is>
      </c>
      <c r="M24" s="17" t="inlineStr">
        <is>
          <t>6 hours</t>
        </is>
      </c>
      <c r="N24" s="17" t="inlineStr">
        <is>
          <t xml:space="preserve">        259K           208K           283K</t>
        </is>
      </c>
      <c r="O24" s="17" t="inlineStr">
        <is>
          <t>hoUht5a7Ci8G3dZvjEHN9MdEfmTBhny2JKmUFEEpump</t>
        </is>
      </c>
      <c r="P24" s="17">
        <f>HYPERLINK("https://dexscreener.com/solana/hoUht5a7Ci8G3dZvjEHN9MdEfmTBhny2JKmUFEEpump", "View")</f>
        <v/>
      </c>
    </row>
    <row r="25">
      <c r="A25" s="20" t="inlineStr">
        <is>
          <t>ECUL</t>
        </is>
      </c>
      <c r="B25" s="21" t="n">
        <v>4801969</v>
      </c>
      <c r="C25" s="21" t="n">
        <v>4801969</v>
      </c>
      <c r="D25" s="21" t="inlineStr">
        <is>
          <t>0.040020</t>
        </is>
      </c>
      <c r="E25" s="21" t="inlineStr">
        <is>
          <t>0.343 SOL</t>
        </is>
      </c>
      <c r="F25" s="21" t="inlineStr">
        <is>
          <t>0.182 SOL</t>
        </is>
      </c>
      <c r="G25" s="23" t="inlineStr">
        <is>
          <t>-0.201 SOL</t>
        </is>
      </c>
      <c r="H25" s="23" t="inlineStr">
        <is>
          <t>-52.49%</t>
        </is>
      </c>
      <c r="I25" s="21" t="inlineStr">
        <is>
          <t>N/A</t>
        </is>
      </c>
      <c r="J25" s="21" t="n">
        <v>1</v>
      </c>
      <c r="K25" s="21" t="n">
        <v>3</v>
      </c>
      <c r="L25" s="21" t="inlineStr">
        <is>
          <t>30.10.2024 08:13:34</t>
        </is>
      </c>
      <c r="M25" s="21" t="inlineStr">
        <is>
          <t>22 hours</t>
        </is>
      </c>
      <c r="N25" s="21" t="inlineStr">
        <is>
          <t xml:space="preserve">         12K             5K             5K</t>
        </is>
      </c>
      <c r="O25" s="21" t="inlineStr">
        <is>
          <t>8db618UgRSoWUJVNY4n6DJNGqMXDcWsQyZsH9TUipump</t>
        </is>
      </c>
      <c r="P25" s="21">
        <f>HYPERLINK("https://photon-sol.tinyastro.io/en/lp/8db618UgRSoWUJVNY4n6DJNGqMXDcWsQyZsH9TUipump?handle=676050794bc1b1657a56b", "View")</f>
        <v/>
      </c>
    </row>
    <row r="26">
      <c r="A26" s="16" t="inlineStr">
        <is>
          <t>WEHOT</t>
        </is>
      </c>
      <c r="B26" s="17" t="n">
        <v>2014055</v>
      </c>
      <c r="C26" s="17" t="n">
        <v>2014055</v>
      </c>
      <c r="D26" s="17" t="inlineStr">
        <is>
          <t>0.020010</t>
        </is>
      </c>
      <c r="E26" s="17" t="inlineStr">
        <is>
          <t>0.126 SOL</t>
        </is>
      </c>
      <c r="F26" s="17" t="inlineStr">
        <is>
          <t>0.055 SOL</t>
        </is>
      </c>
      <c r="G26" s="23" t="inlineStr">
        <is>
          <t>-0.091 SOL</t>
        </is>
      </c>
      <c r="H26" s="23" t="inlineStr">
        <is>
          <t>-62.15%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20:03:58</t>
        </is>
      </c>
      <c r="M26" s="17" t="inlineStr">
        <is>
          <t>3 min</t>
        </is>
      </c>
      <c r="N26" s="17" t="inlineStr">
        <is>
          <t xml:space="preserve">         11K             5K             5K</t>
        </is>
      </c>
      <c r="O26" s="17" t="inlineStr">
        <is>
          <t>GRXsMfL65XnSk5Ps4Zj8ToBvWg2gQrGW9KPXKy5mpump</t>
        </is>
      </c>
      <c r="P26" s="17">
        <f>HYPERLINK("https://photon-sol.tinyastro.io/en/lp/GRXsMfL65XnSk5Ps4Zj8ToBvWg2gQrGW9KPXKy5mpump?handle=676050794bc1b1657a56b", "View")</f>
        <v/>
      </c>
    </row>
    <row r="27">
      <c r="A27" s="20" t="inlineStr">
        <is>
          <t>DOG</t>
        </is>
      </c>
      <c r="B27" s="21" t="n">
        <v>422209</v>
      </c>
      <c r="C27" s="21" t="n">
        <v>422209</v>
      </c>
      <c r="D27" s="21" t="inlineStr">
        <is>
          <t>0.020010</t>
        </is>
      </c>
      <c r="E27" s="21" t="inlineStr">
        <is>
          <t>0.098 SOL</t>
        </is>
      </c>
      <c r="F27" s="21" t="inlineStr">
        <is>
          <t>0.074 SOL</t>
        </is>
      </c>
      <c r="G27" s="25" t="inlineStr">
        <is>
          <t>-0.045 SOL</t>
        </is>
      </c>
      <c r="H27" s="25" t="inlineStr">
        <is>
          <t>-37.69%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19:21:02</t>
        </is>
      </c>
      <c r="M27" s="19" t="inlineStr">
        <is>
          <t>40 sec</t>
        </is>
      </c>
      <c r="N27" s="21" t="inlineStr">
        <is>
          <t xml:space="preserve">         40K            30K             5K</t>
        </is>
      </c>
      <c r="O27" s="21" t="inlineStr">
        <is>
          <t>92Y2uhYSRBFfHBjK27RfsksejUT9YZW7yhszUmexpump</t>
        </is>
      </c>
      <c r="P27" s="21">
        <f>HYPERLINK("https://photon-sol.tinyastro.io/en/lp/92Y2uhYSRBFfHBjK27RfsksejUT9YZW7yhszUmexpump?handle=676050794bc1b1657a56b", "View")</f>
        <v/>
      </c>
    </row>
    <row r="28">
      <c r="A28" s="16" t="inlineStr">
        <is>
          <t>Tier</t>
        </is>
      </c>
      <c r="B28" s="17" t="n">
        <v>243758</v>
      </c>
      <c r="C28" s="17" t="n">
        <v>243758</v>
      </c>
      <c r="D28" s="17" t="inlineStr">
        <is>
          <t>0.030020</t>
        </is>
      </c>
      <c r="E28" s="17" t="inlineStr">
        <is>
          <t>0.050 SOL</t>
        </is>
      </c>
      <c r="F28" s="17" t="inlineStr">
        <is>
          <t>0.065 SOL</t>
        </is>
      </c>
      <c r="G28" s="25" t="inlineStr">
        <is>
          <t>-0.015 SOL</t>
        </is>
      </c>
      <c r="H28" s="25" t="inlineStr">
        <is>
          <t>-18.63%</t>
        </is>
      </c>
      <c r="I28" s="17" t="inlineStr">
        <is>
          <t>N/A</t>
        </is>
      </c>
      <c r="J28" s="17" t="n">
        <v>1</v>
      </c>
      <c r="K28" s="17" t="n">
        <v>2</v>
      </c>
      <c r="L28" s="17" t="inlineStr">
        <is>
          <t>29.10.2024 18:02:20</t>
        </is>
      </c>
      <c r="M28" s="17" t="inlineStr">
        <is>
          <t>6 min</t>
        </is>
      </c>
      <c r="N28" s="17" t="inlineStr">
        <is>
          <t xml:space="preserve">         37K            23K             5K</t>
        </is>
      </c>
      <c r="O28" s="17" t="inlineStr">
        <is>
          <t>55mboDZnLzV5uFsH8egLcW2Q6Yh5UUeM86DndJcbpump</t>
        </is>
      </c>
      <c r="P28" s="17">
        <f>HYPERLINK("https://dexscreener.com/solana/55mboDZnLzV5uFsH8egLcW2Q6Yh5UUeM86DndJcbpump", "View")</f>
        <v/>
      </c>
    </row>
    <row r="29">
      <c r="A29" s="20" t="inlineStr">
        <is>
          <t>PECY</t>
        </is>
      </c>
      <c r="B29" s="21" t="n">
        <v>6503069</v>
      </c>
      <c r="C29" s="21" t="n">
        <v>6503069</v>
      </c>
      <c r="D29" s="21" t="inlineStr">
        <is>
          <t>0.030020</t>
        </is>
      </c>
      <c r="E29" s="21" t="inlineStr">
        <is>
          <t>0.278 SOL</t>
        </is>
      </c>
      <c r="F29" s="21" t="inlineStr">
        <is>
          <t>0.217 SOL</t>
        </is>
      </c>
      <c r="G29" s="25" t="inlineStr">
        <is>
          <t>-0.091 SOL</t>
        </is>
      </c>
      <c r="H29" s="25" t="inlineStr">
        <is>
          <t>-29.55%</t>
        </is>
      </c>
      <c r="I29" s="21" t="inlineStr">
        <is>
          <t>N/A</t>
        </is>
      </c>
      <c r="J29" s="21" t="n">
        <v>1</v>
      </c>
      <c r="K29" s="21" t="n">
        <v>2</v>
      </c>
      <c r="L29" s="21" t="inlineStr">
        <is>
          <t>29.10.2024 10:20:03</t>
        </is>
      </c>
      <c r="M29" s="21" t="inlineStr">
        <is>
          <t>2 min</t>
        </is>
      </c>
      <c r="N29" s="21" t="inlineStr">
        <is>
          <t xml:space="preserve">          7K             5K             5K</t>
        </is>
      </c>
      <c r="O29" s="21" t="inlineStr">
        <is>
          <t>EG4YVeJSbYd9R6ZfLy23UGBiGQV3vWYcvGpUZkWRpump</t>
        </is>
      </c>
      <c r="P29" s="21">
        <f>HYPERLINK("https://photon-sol.tinyastro.io/en/lp/EG4YVeJSbYd9R6ZfLy23UGBiGQV3vWYcvGpUZkWRpump?handle=676050794bc1b1657a56b", "View")</f>
        <v/>
      </c>
    </row>
    <row r="30">
      <c r="A30" s="16" t="inlineStr">
        <is>
          <t>DEVSOLD</t>
        </is>
      </c>
      <c r="B30" s="17" t="n">
        <v>5046036</v>
      </c>
      <c r="C30" s="17" t="n">
        <v>5046036</v>
      </c>
      <c r="D30" s="17" t="inlineStr">
        <is>
          <t>0.020010</t>
        </is>
      </c>
      <c r="E30" s="17" t="inlineStr">
        <is>
          <t>0.304 SOL</t>
        </is>
      </c>
      <c r="F30" s="17" t="inlineStr">
        <is>
          <t>0.161 SOL</t>
        </is>
      </c>
      <c r="G30" s="23" t="inlineStr">
        <is>
          <t>-0.163 SOL</t>
        </is>
      </c>
      <c r="H30" s="23" t="inlineStr">
        <is>
          <t>-50.31%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28.10.2024 20:47:35</t>
        </is>
      </c>
      <c r="M30" s="17" t="inlineStr">
        <is>
          <t>2 min</t>
        </is>
      </c>
      <c r="N30" s="17" t="inlineStr">
        <is>
          <t xml:space="preserve">         11K             5K             5K</t>
        </is>
      </c>
      <c r="O30" s="17" t="inlineStr">
        <is>
          <t>8DVSrutFAxHhMnwyqCf1EJeZGrNBgaqP1oa3G9Zhpump</t>
        </is>
      </c>
      <c r="P30" s="17">
        <f>HYPERLINK("https://photon-sol.tinyastro.io/en/lp/8DVSrutFAxHhMnwyqCf1EJeZGrNBgaqP1oa3G9Zhpump?handle=676050794bc1b1657a56b", "View")</f>
        <v/>
      </c>
    </row>
    <row r="31">
      <c r="A31" s="20" t="inlineStr">
        <is>
          <t>SOULS</t>
        </is>
      </c>
      <c r="B31" s="21" t="n">
        <v>7701898</v>
      </c>
      <c r="C31" s="21" t="n">
        <v>7701898</v>
      </c>
      <c r="D31" s="21" t="inlineStr">
        <is>
          <t>0.040020</t>
        </is>
      </c>
      <c r="E31" s="21" t="inlineStr">
        <is>
          <t>0.276 SOL</t>
        </is>
      </c>
      <c r="F31" s="21" t="inlineStr">
        <is>
          <t>0.542 SOL</t>
        </is>
      </c>
      <c r="G31" s="24" t="inlineStr">
        <is>
          <t>0.226 SOL</t>
        </is>
      </c>
      <c r="H31" s="24" t="inlineStr">
        <is>
          <t>71.34%</t>
        </is>
      </c>
      <c r="I31" s="21" t="inlineStr">
        <is>
          <t>N/A</t>
        </is>
      </c>
      <c r="J31" s="21" t="n">
        <v>1</v>
      </c>
      <c r="K31" s="21" t="n">
        <v>3</v>
      </c>
      <c r="L31" s="21" t="inlineStr">
        <is>
          <t>28.10.2024 19:51:49</t>
        </is>
      </c>
      <c r="M31" s="21" t="inlineStr">
        <is>
          <t>6 min</t>
        </is>
      </c>
      <c r="N31" s="21" t="inlineStr">
        <is>
          <t xml:space="preserve">          7K             9K             5K</t>
        </is>
      </c>
      <c r="O31" s="21" t="inlineStr">
        <is>
          <t>Cnv6aoMJBignHDpsXrjdtiNAD7QAwfVgrke6RVXVpump</t>
        </is>
      </c>
      <c r="P31" s="21">
        <f>HYPERLINK("https://photon-sol.tinyastro.io/en/lp/Cnv6aoMJBignHDpsXrjdtiNAD7QAwfVgrke6RVXVpump?handle=676050794bc1b1657a56b", "View")</f>
        <v/>
      </c>
    </row>
    <row r="32">
      <c r="A32" s="16" t="inlineStr">
        <is>
          <t>DTRIP</t>
        </is>
      </c>
      <c r="B32" s="17" t="n">
        <v>6203651</v>
      </c>
      <c r="C32" s="17" t="n">
        <v>6203651</v>
      </c>
      <c r="D32" s="17" t="inlineStr">
        <is>
          <t>0.060030</t>
        </is>
      </c>
      <c r="E32" s="17" t="inlineStr">
        <is>
          <t>1.097 SOL</t>
        </is>
      </c>
      <c r="F32" s="17" t="inlineStr">
        <is>
          <t>1.188 SOL</t>
        </is>
      </c>
      <c r="G32" s="22" t="inlineStr">
        <is>
          <t>0.031 SOL</t>
        </is>
      </c>
      <c r="H32" s="22" t="inlineStr">
        <is>
          <t>2.69%</t>
        </is>
      </c>
      <c r="I32" s="17" t="inlineStr">
        <is>
          <t>N/A</t>
        </is>
      </c>
      <c r="J32" s="17" t="n">
        <v>2</v>
      </c>
      <c r="K32" s="17" t="n">
        <v>4</v>
      </c>
      <c r="L32" s="17" t="inlineStr">
        <is>
          <t>28.10.2024 19:08:35</t>
        </is>
      </c>
      <c r="M32" s="17" t="inlineStr">
        <is>
          <t>19 min</t>
        </is>
      </c>
      <c r="N32" s="17" t="inlineStr">
        <is>
          <t xml:space="preserve">         33K             9K             5K</t>
        </is>
      </c>
      <c r="O32" s="17" t="inlineStr">
        <is>
          <t>HXjDCr5ZCmVCTTgsA55tuNC5Nyq73AsiUWcgNJRzpump</t>
        </is>
      </c>
      <c r="P32" s="17">
        <f>HYPERLINK("https://photon-sol.tinyastro.io/en/lp/HXjDCr5ZCmVCTTgsA55tuNC5Nyq73AsiUWcgNJRzpump?handle=676050794bc1b1657a56b", "View")</f>
        <v/>
      </c>
    </row>
    <row r="33">
      <c r="A33" s="20" t="inlineStr">
        <is>
          <t>pepemask</t>
        </is>
      </c>
      <c r="B33" s="21" t="n">
        <v>18043381</v>
      </c>
      <c r="C33" s="21" t="n">
        <v>16854176</v>
      </c>
      <c r="D33" s="21" t="inlineStr">
        <is>
          <t>0.070040</t>
        </is>
      </c>
      <c r="E33" s="21" t="inlineStr">
        <is>
          <t>0.943 SOL</t>
        </is>
      </c>
      <c r="F33" s="21" t="inlineStr">
        <is>
          <t>3.235 SOL</t>
        </is>
      </c>
      <c r="G33" s="24" t="inlineStr">
        <is>
          <t>2.222 SOL</t>
        </is>
      </c>
      <c r="H33" s="24" t="inlineStr">
        <is>
          <t>219.37%</t>
        </is>
      </c>
      <c r="I33" s="21" t="inlineStr">
        <is>
          <t>N/A</t>
        </is>
      </c>
      <c r="J33" s="21" t="n">
        <v>3</v>
      </c>
      <c r="K33" s="21" t="n">
        <v>4</v>
      </c>
      <c r="L33" s="21" t="inlineStr">
        <is>
          <t>28.10.2024 16:12:23</t>
        </is>
      </c>
      <c r="M33" s="21" t="inlineStr">
        <is>
          <t>27 min</t>
        </is>
      </c>
      <c r="N33" s="21" t="inlineStr">
        <is>
          <t xml:space="preserve">         42K            25K             6K</t>
        </is>
      </c>
      <c r="O33" s="21" t="inlineStr">
        <is>
          <t>L2zhY3yhdw4CQAP6iT3xZy1eH598AHkSEQtmSQVpump</t>
        </is>
      </c>
      <c r="P33" s="21">
        <f>HYPERLINK("https://photon-sol.tinyastro.io/en/lp/L2zhY3yhdw4CQAP6iT3xZy1eH598AHkSEQtmSQVpump?handle=676050794bc1b1657a56b", "View")</f>
        <v/>
      </c>
    </row>
    <row r="34">
      <c r="A34" s="16" t="inlineStr">
        <is>
          <t>Shapeless</t>
        </is>
      </c>
      <c r="B34" s="17" t="n">
        <v>1179936</v>
      </c>
      <c r="C34" s="17" t="n">
        <v>0</v>
      </c>
      <c r="D34" s="17" t="inlineStr">
        <is>
          <t>0.010010</t>
        </is>
      </c>
      <c r="E34" s="17" t="inlineStr">
        <is>
          <t>0.200 SOL</t>
        </is>
      </c>
      <c r="F34" s="17" t="inlineStr">
        <is>
          <t>0.000 SOL</t>
        </is>
      </c>
      <c r="G34" s="18" t="inlineStr">
        <is>
          <t>-0.210 SOL</t>
        </is>
      </c>
      <c r="H34" s="18" t="inlineStr">
        <is>
          <t>0.00%</t>
        </is>
      </c>
      <c r="I34" s="17" t="inlineStr">
        <is>
          <t>1,179,936</t>
        </is>
      </c>
      <c r="J34" s="17" t="n">
        <v>1</v>
      </c>
      <c r="K34" s="17" t="n">
        <v>0</v>
      </c>
      <c r="L34" s="17" t="inlineStr">
        <is>
          <t>28.10.2024 13:02:00</t>
        </is>
      </c>
      <c r="M34" s="19" t="inlineStr">
        <is>
          <t>0 sec</t>
        </is>
      </c>
      <c r="N34" s="17" t="inlineStr">
        <is>
          <t xml:space="preserve">         30K            30K            16K</t>
        </is>
      </c>
      <c r="O34" s="17" t="inlineStr">
        <is>
          <t>A1mvjhm4nTxGSHuW1EYqpkSMfQxjdTapbcVHLgm1pump</t>
        </is>
      </c>
      <c r="P34" s="17">
        <f>HYPERLINK("https://dexscreener.com/solana/A1mvjhm4nTxGSHuW1EYqpkSMfQxjdTapbcVHLgm1pump", "View")</f>
        <v/>
      </c>
    </row>
    <row r="35">
      <c r="A35" s="20" t="inlineStr">
        <is>
          <t>smokeymo</t>
        </is>
      </c>
      <c r="B35" s="21" t="n">
        <v>28135272</v>
      </c>
      <c r="C35" s="21" t="n">
        <v>25286904</v>
      </c>
      <c r="D35" s="21" t="inlineStr">
        <is>
          <t>0.120060</t>
        </is>
      </c>
      <c r="E35" s="21" t="inlineStr">
        <is>
          <t>2.141 SOL</t>
        </is>
      </c>
      <c r="F35" s="21" t="inlineStr">
        <is>
          <t>5.964 SOL</t>
        </is>
      </c>
      <c r="G35" s="24" t="inlineStr">
        <is>
          <t>3.702 SOL</t>
        </is>
      </c>
      <c r="H35" s="24" t="inlineStr">
        <is>
          <t>163.71%</t>
        </is>
      </c>
      <c r="I35" s="21" t="inlineStr">
        <is>
          <t>N/A</t>
        </is>
      </c>
      <c r="J35" s="21" t="n">
        <v>5</v>
      </c>
      <c r="K35" s="21" t="n">
        <v>7</v>
      </c>
      <c r="L35" s="21" t="inlineStr">
        <is>
          <t>28.10.2024 12:38:35</t>
        </is>
      </c>
      <c r="M35" s="21" t="inlineStr">
        <is>
          <t>41 min</t>
        </is>
      </c>
      <c r="N35" s="21" t="inlineStr">
        <is>
          <t xml:space="preserve">         16K            24K             5K</t>
        </is>
      </c>
      <c r="O35" s="21" t="inlineStr">
        <is>
          <t>2QEjZVKEj2MhDr2JFUNZ6gmaufqYYt2aPeL31nFVpump</t>
        </is>
      </c>
      <c r="P35" s="21">
        <f>HYPERLINK("https://photon-sol.tinyastro.io/en/lp/2QEjZVKEj2MhDr2JFUNZ6gmaufqYYt2aPeL31nFVpump?handle=676050794bc1b1657a56b", "View")</f>
        <v/>
      </c>
    </row>
    <row r="36">
      <c r="A36" s="16" t="inlineStr">
        <is>
          <t>TECH</t>
        </is>
      </c>
      <c r="B36" s="17" t="n">
        <v>4628430</v>
      </c>
      <c r="C36" s="17" t="n">
        <v>4628430</v>
      </c>
      <c r="D36" s="17" t="inlineStr">
        <is>
          <t>0.020010</t>
        </is>
      </c>
      <c r="E36" s="17" t="inlineStr">
        <is>
          <t>0.200 SOL</t>
        </is>
      </c>
      <c r="F36" s="17" t="inlineStr">
        <is>
          <t>0.134 SOL</t>
        </is>
      </c>
      <c r="G36" s="25" t="inlineStr">
        <is>
          <t>-0.086 SOL</t>
        </is>
      </c>
      <c r="H36" s="25" t="inlineStr">
        <is>
          <t>-38.90%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28.10.2024 11:46:29</t>
        </is>
      </c>
      <c r="M36" s="17" t="inlineStr">
        <is>
          <t>9 min</t>
        </is>
      </c>
      <c r="N36" s="17" t="inlineStr">
        <is>
          <t xml:space="preserve">          7K             5K             5K</t>
        </is>
      </c>
      <c r="O36" s="17" t="inlineStr">
        <is>
          <t>HRnfcWw8xJY369fxU8yYaHqiLHRFWsAX4MbEWGpfpump</t>
        </is>
      </c>
      <c r="P36" s="17">
        <f>HYPERLINK("https://dexscreener.com/solana/HRnfcWw8xJY369fxU8yYaHqiLHRFWsAX4MbEWGpfpump", "View")</f>
        <v/>
      </c>
    </row>
    <row r="37">
      <c r="A37" s="20" t="inlineStr">
        <is>
          <t>JIGCOW</t>
        </is>
      </c>
      <c r="B37" s="21" t="n">
        <v>2454443</v>
      </c>
      <c r="C37" s="21" t="n">
        <v>441155</v>
      </c>
      <c r="D37" s="21" t="inlineStr">
        <is>
          <t>0.030020</t>
        </is>
      </c>
      <c r="E37" s="21" t="inlineStr">
        <is>
          <t>0.200 SOL</t>
        </is>
      </c>
      <c r="F37" s="21" t="inlineStr">
        <is>
          <t>0.115 SOL</t>
        </is>
      </c>
      <c r="G37" s="23" t="inlineStr">
        <is>
          <t>-0.115 SOL</t>
        </is>
      </c>
      <c r="H37" s="23" t="inlineStr">
        <is>
          <t>-50.10%</t>
        </is>
      </c>
      <c r="I37" s="21" t="inlineStr">
        <is>
          <t>N/A</t>
        </is>
      </c>
      <c r="J37" s="21" t="n">
        <v>2</v>
      </c>
      <c r="K37" s="21" t="n">
        <v>1</v>
      </c>
      <c r="L37" s="21" t="inlineStr">
        <is>
          <t>28.10.2024 10:49:52</t>
        </is>
      </c>
      <c r="M37" s="21" t="inlineStr">
        <is>
          <t>1 days</t>
        </is>
      </c>
      <c r="N37" s="21" t="inlineStr">
        <is>
          <t xml:space="preserve">          9K            46K             9K</t>
        </is>
      </c>
      <c r="O37" s="21" t="inlineStr">
        <is>
          <t>H6YMhP828m4i9UmxCh7HVovktM92qZEY3DMDwtvRpump</t>
        </is>
      </c>
      <c r="P37" s="21">
        <f>HYPERLINK("https://dexscreener.com/solana/H6YMhP828m4i9UmxCh7HVovktM92qZEY3DMDwtvRpump", "View")</f>
        <v/>
      </c>
    </row>
    <row r="38">
      <c r="A38" s="16" t="inlineStr">
        <is>
          <t>PIMPLE</t>
        </is>
      </c>
      <c r="B38" s="17" t="n">
        <v>10876920</v>
      </c>
      <c r="C38" s="17" t="n">
        <v>10876920</v>
      </c>
      <c r="D38" s="17" t="inlineStr">
        <is>
          <t>0.030020</t>
        </is>
      </c>
      <c r="E38" s="17" t="inlineStr">
        <is>
          <t>1.039 SOL</t>
        </is>
      </c>
      <c r="F38" s="17" t="inlineStr">
        <is>
          <t>1.102 SOL</t>
        </is>
      </c>
      <c r="G38" s="22" t="inlineStr">
        <is>
          <t>0.032 SOL</t>
        </is>
      </c>
      <c r="H38" s="22" t="inlineStr">
        <is>
          <t>3.00%</t>
        </is>
      </c>
      <c r="I38" s="17" t="inlineStr">
        <is>
          <t>N/A</t>
        </is>
      </c>
      <c r="J38" s="17" t="n">
        <v>1</v>
      </c>
      <c r="K38" s="17" t="n">
        <v>2</v>
      </c>
      <c r="L38" s="17" t="inlineStr">
        <is>
          <t>28.10.2024 07:19:12</t>
        </is>
      </c>
      <c r="M38" s="17" t="inlineStr">
        <is>
          <t>1 min</t>
        </is>
      </c>
      <c r="N38" s="17" t="inlineStr">
        <is>
          <t xml:space="preserve">         18K            16K             5K</t>
        </is>
      </c>
      <c r="O38" s="17" t="inlineStr">
        <is>
          <t>5huXvAYpEsuoMfWFr6AER4yAmXQCteRioKkVwKkHpump</t>
        </is>
      </c>
      <c r="P38" s="17">
        <f>HYPERLINK("https://photon-sol.tinyastro.io/en/lp/5huXvAYpEsuoMfWFr6AER4yAmXQCteRioKkVwKkHpump?handle=676050794bc1b1657a56b", "View")</f>
        <v/>
      </c>
    </row>
    <row r="39">
      <c r="A39" s="20" t="inlineStr">
        <is>
          <t>KEDRA</t>
        </is>
      </c>
      <c r="B39" s="21" t="n">
        <v>13775184</v>
      </c>
      <c r="C39" s="21" t="n">
        <v>13775184</v>
      </c>
      <c r="D39" s="21" t="inlineStr">
        <is>
          <t>0.050030</t>
        </is>
      </c>
      <c r="E39" s="21" t="inlineStr">
        <is>
          <t>1.078 SOL</t>
        </is>
      </c>
      <c r="F39" s="21" t="inlineStr">
        <is>
          <t>4.867 SOL</t>
        </is>
      </c>
      <c r="G39" s="24" t="inlineStr">
        <is>
          <t>3.740 SOL</t>
        </is>
      </c>
      <c r="H39" s="24" t="inlineStr">
        <is>
          <t>331.60%</t>
        </is>
      </c>
      <c r="I39" s="21" t="inlineStr">
        <is>
          <t>N/A</t>
        </is>
      </c>
      <c r="J39" s="21" t="n">
        <v>1</v>
      </c>
      <c r="K39" s="21" t="n">
        <v>4</v>
      </c>
      <c r="L39" s="21" t="inlineStr">
        <is>
          <t>27.10.2024 16:24:02</t>
        </is>
      </c>
      <c r="M39" s="21" t="inlineStr">
        <is>
          <t>8 min</t>
        </is>
      </c>
      <c r="N39" s="21" t="inlineStr">
        <is>
          <t xml:space="preserve">         14K            18K             4K</t>
        </is>
      </c>
      <c r="O39" s="21" t="inlineStr">
        <is>
          <t>E2keFx7gBh1L51XRrQ9AefJQpvffvk4KCJUxvPL3pump</t>
        </is>
      </c>
      <c r="P39" s="21">
        <f>HYPERLINK("https://photon-sol.tinyastro.io/en/lp/E2keFx7gBh1L51XRrQ9AefJQpvffvk4KCJUxvPL3pump?handle=676050794bc1b1657a56b", "View")</f>
        <v/>
      </c>
    </row>
    <row r="40">
      <c r="A40" s="16" t="inlineStr">
        <is>
          <t>ANUS</t>
        </is>
      </c>
      <c r="B40" s="17" t="n">
        <v>472164</v>
      </c>
      <c r="C40" s="17" t="n">
        <v>472164</v>
      </c>
      <c r="D40" s="17" t="inlineStr">
        <is>
          <t>0.030020</t>
        </is>
      </c>
      <c r="E40" s="17" t="inlineStr">
        <is>
          <t>0.111 SOL</t>
        </is>
      </c>
      <c r="F40" s="17" t="inlineStr">
        <is>
          <t>0.145 SOL</t>
        </is>
      </c>
      <c r="G40" s="22" t="inlineStr">
        <is>
          <t>0.004 SOL</t>
        </is>
      </c>
      <c r="H40" s="22" t="inlineStr">
        <is>
          <t>2.57%</t>
        </is>
      </c>
      <c r="I40" s="17" t="inlineStr">
        <is>
          <t>N/A</t>
        </is>
      </c>
      <c r="J40" s="17" t="n">
        <v>1</v>
      </c>
      <c r="K40" s="17" t="n">
        <v>2</v>
      </c>
      <c r="L40" s="17" t="inlineStr">
        <is>
          <t>27.10.2024 13:12:27</t>
        </is>
      </c>
      <c r="M40" s="17" t="inlineStr">
        <is>
          <t>11 min</t>
        </is>
      </c>
      <c r="N40" s="17" t="inlineStr">
        <is>
          <t xml:space="preserve">         42K            33K             4K</t>
        </is>
      </c>
      <c r="O40" s="17" t="inlineStr">
        <is>
          <t>DKS6ZUNX6BhFxvkpp88T5vxBrFf5K2xQoq7GdX99pump</t>
        </is>
      </c>
      <c r="P40" s="17">
        <f>HYPERLINK("https://photon-sol.tinyastro.io/en/lp/DKS6ZUNX6BhFxvkpp88T5vxBrFf5K2xQoq7GdX99pump?handle=676050794bc1b1657a56b", "View")</f>
        <v/>
      </c>
    </row>
    <row r="41">
      <c r="A41" s="20" t="inlineStr">
        <is>
          <t>௵</t>
        </is>
      </c>
      <c r="B41" s="21" t="n">
        <v>11057545</v>
      </c>
      <c r="C41" s="21" t="n">
        <v>11057545</v>
      </c>
      <c r="D41" s="21" t="inlineStr">
        <is>
          <t>0.130060</t>
        </is>
      </c>
      <c r="E41" s="21" t="inlineStr">
        <is>
          <t>1.980 SOL</t>
        </is>
      </c>
      <c r="F41" s="21" t="inlineStr">
        <is>
          <t>2.233 SOL</t>
        </is>
      </c>
      <c r="G41" s="22" t="inlineStr">
        <is>
          <t>0.124 SOL</t>
        </is>
      </c>
      <c r="H41" s="22" t="inlineStr">
        <is>
          <t>5.86%</t>
        </is>
      </c>
      <c r="I41" s="21" t="inlineStr">
        <is>
          <t>N/A</t>
        </is>
      </c>
      <c r="J41" s="21" t="n">
        <v>7</v>
      </c>
      <c r="K41" s="21" t="n">
        <v>6</v>
      </c>
      <c r="L41" s="21" t="inlineStr">
        <is>
          <t>27.10.2024 11:58:54</t>
        </is>
      </c>
      <c r="M41" s="21" t="inlineStr">
        <is>
          <t>1 days</t>
        </is>
      </c>
      <c r="N41" s="21" t="inlineStr">
        <is>
          <t xml:space="preserve">         28K            16K             7K</t>
        </is>
      </c>
      <c r="O41" s="21" t="inlineStr">
        <is>
          <t>5htRq8A33EaivheAGtuBTWwM6UA18NR9JL3MjkfLpump</t>
        </is>
      </c>
      <c r="P41" s="21">
        <f>HYPERLINK("https://photon-sol.tinyastro.io/en/lp/5htRq8A33EaivheAGtuBTWwM6UA18NR9JL3MjkfLpump?handle=676050794bc1b1657a56b", "View")</f>
        <v/>
      </c>
    </row>
    <row r="42">
      <c r="A42" s="16" t="inlineStr">
        <is>
          <t>⋱⋱⋱</t>
        </is>
      </c>
      <c r="B42" s="17" t="n">
        <v>8955877</v>
      </c>
      <c r="C42" s="17" t="n">
        <v>8955877</v>
      </c>
      <c r="D42" s="17" t="inlineStr">
        <is>
          <t>0.060030</t>
        </is>
      </c>
      <c r="E42" s="17" t="inlineStr">
        <is>
          <t>0.534 SOL</t>
        </is>
      </c>
      <c r="F42" s="17" t="inlineStr">
        <is>
          <t>0.986 SOL</t>
        </is>
      </c>
      <c r="G42" s="24" t="inlineStr">
        <is>
          <t>0.392 SOL</t>
        </is>
      </c>
      <c r="H42" s="24" t="inlineStr">
        <is>
          <t>65.96%</t>
        </is>
      </c>
      <c r="I42" s="17" t="inlineStr">
        <is>
          <t>N/A</t>
        </is>
      </c>
      <c r="J42" s="17" t="n">
        <v>1</v>
      </c>
      <c r="K42" s="17" t="n">
        <v>5</v>
      </c>
      <c r="L42" s="17" t="inlineStr">
        <is>
          <t>27.10.2024 08:14:21</t>
        </is>
      </c>
      <c r="M42" s="17" t="inlineStr">
        <is>
          <t>9 hours</t>
        </is>
      </c>
      <c r="N42" s="17" t="inlineStr">
        <is>
          <t xml:space="preserve">         11K            16K             6K</t>
        </is>
      </c>
      <c r="O42" s="17" t="inlineStr">
        <is>
          <t>7LaQQ3ahWeHR59B7eDzDhHkeMa3rLHxF7eb1ZmHPpump</t>
        </is>
      </c>
      <c r="P42" s="17">
        <f>HYPERLINK("https://photon-sol.tinyastro.io/en/lp/7LaQQ3ahWeHR59B7eDzDhHkeMa3rLHxF7eb1ZmHPpump?handle=676050794bc1b1657a56b", "View")</f>
        <v/>
      </c>
    </row>
    <row r="43">
      <c r="A43" s="20" t="inlineStr">
        <is>
          <t>◝†◜</t>
        </is>
      </c>
      <c r="B43" s="21" t="n">
        <v>10991631</v>
      </c>
      <c r="C43" s="21" t="n">
        <v>10991631</v>
      </c>
      <c r="D43" s="21" t="inlineStr">
        <is>
          <t>0.050030</t>
        </is>
      </c>
      <c r="E43" s="21" t="inlineStr">
        <is>
          <t>0.523 SOL</t>
        </is>
      </c>
      <c r="F43" s="21" t="inlineStr">
        <is>
          <t>1.163 SOL</t>
        </is>
      </c>
      <c r="G43" s="24" t="inlineStr">
        <is>
          <t>0.590 SOL</t>
        </is>
      </c>
      <c r="H43" s="24" t="inlineStr">
        <is>
          <t>102.96%</t>
        </is>
      </c>
      <c r="I43" s="21" t="inlineStr">
        <is>
          <t>N/A</t>
        </is>
      </c>
      <c r="J43" s="21" t="n">
        <v>1</v>
      </c>
      <c r="K43" s="21" t="n">
        <v>4</v>
      </c>
      <c r="L43" s="21" t="inlineStr">
        <is>
          <t>26.10.2024 23:17:18</t>
        </is>
      </c>
      <c r="M43" s="21" t="inlineStr">
        <is>
          <t>1 hours</t>
        </is>
      </c>
      <c r="N43" s="21" t="inlineStr">
        <is>
          <t xml:space="preserve">          9K             7K             4K</t>
        </is>
      </c>
      <c r="O43" s="21" t="inlineStr">
        <is>
          <t>FN8sbVRP7obTaX6bEwuTY5zVvpmwFBBKNheu5kN2pump</t>
        </is>
      </c>
      <c r="P43" s="21">
        <f>HYPERLINK("https://photon-sol.tinyastro.io/en/lp/FN8sbVRP7obTaX6bEwuTY5zVvpmwFBBKNheu5kN2pump?handle=676050794bc1b1657a56b", "View")</f>
        <v/>
      </c>
    </row>
    <row r="44">
      <c r="A44" s="16" t="inlineStr">
        <is>
          <t>EGO</t>
        </is>
      </c>
      <c r="B44" s="17" t="n">
        <v>1247084</v>
      </c>
      <c r="C44" s="17" t="n">
        <v>1247084</v>
      </c>
      <c r="D44" s="17" t="inlineStr">
        <is>
          <t>0.030020</t>
        </is>
      </c>
      <c r="E44" s="17" t="inlineStr">
        <is>
          <t>0.133 SOL</t>
        </is>
      </c>
      <c r="F44" s="17" t="inlineStr">
        <is>
          <t>0.109 SOL</t>
        </is>
      </c>
      <c r="G44" s="25" t="inlineStr">
        <is>
          <t>-0.054 SOL</t>
        </is>
      </c>
      <c r="H44" s="25" t="inlineStr">
        <is>
          <t>-33.14%</t>
        </is>
      </c>
      <c r="I44" s="17" t="inlineStr">
        <is>
          <t>N/A</t>
        </is>
      </c>
      <c r="J44" s="17" t="n">
        <v>1</v>
      </c>
      <c r="K44" s="17" t="n">
        <v>2</v>
      </c>
      <c r="L44" s="17" t="inlineStr">
        <is>
          <t>26.10.2024 22:27:38</t>
        </is>
      </c>
      <c r="M44" s="17" t="inlineStr">
        <is>
          <t>5 min</t>
        </is>
      </c>
      <c r="N44" s="17" t="inlineStr">
        <is>
          <t xml:space="preserve">         19K             7K             5K</t>
        </is>
      </c>
      <c r="O44" s="17" t="inlineStr">
        <is>
          <t>F1YVsxXSpQYF38PmVSZkyqCGj3EfeDyRber8Q2zrpump</t>
        </is>
      </c>
      <c r="P44" s="17">
        <f>HYPERLINK("https://photon-sol.tinyastro.io/en/lp/F1YVsxXSpQYF38PmVSZkyqCGj3EfeDyRber8Q2zrpump?handle=676050794bc1b1657a56b", "View")</f>
        <v/>
      </c>
    </row>
    <row r="45">
      <c r="A45" s="20" t="inlineStr">
        <is>
          <t>ƎԀƎԀ</t>
        </is>
      </c>
      <c r="B45" s="21" t="n">
        <v>2747173</v>
      </c>
      <c r="C45" s="21" t="n">
        <v>2747173</v>
      </c>
      <c r="D45" s="21" t="inlineStr">
        <is>
          <t>0.020010</t>
        </is>
      </c>
      <c r="E45" s="21" t="inlineStr">
        <is>
          <t>0.116 SOL</t>
        </is>
      </c>
      <c r="F45" s="21" t="inlineStr">
        <is>
          <t>0.070 SOL</t>
        </is>
      </c>
      <c r="G45" s="25" t="inlineStr">
        <is>
          <t>-0.066 SOL</t>
        </is>
      </c>
      <c r="H45" s="25" t="inlineStr">
        <is>
          <t>-48.43%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25.10.2024 19:42:50</t>
        </is>
      </c>
      <c r="M45" s="21" t="inlineStr">
        <is>
          <t>4 min</t>
        </is>
      </c>
      <c r="N45" s="21" t="inlineStr">
        <is>
          <t xml:space="preserve">          7K             5K             5K</t>
        </is>
      </c>
      <c r="O45" s="21" t="inlineStr">
        <is>
          <t>FVEq1XcQwwd74DkVFpUpdUJw49VNJtUmVvNU26TMpump</t>
        </is>
      </c>
      <c r="P45" s="21">
        <f>HYPERLINK("https://photon-sol.tinyastro.io/en/lp/FVEq1XcQwwd74DkVFpUpdUJw49VNJtUmVvNU26TMpump?handle=676050794bc1b1657a56b", "View")</f>
        <v/>
      </c>
    </row>
    <row r="46">
      <c r="A46" s="16" t="inlineStr">
        <is>
          <t>չєภ</t>
        </is>
      </c>
      <c r="B46" s="17" t="n">
        <v>2389692</v>
      </c>
      <c r="C46" s="17" t="n">
        <v>2389692</v>
      </c>
      <c r="D46" s="17" t="inlineStr">
        <is>
          <t>0.020010</t>
        </is>
      </c>
      <c r="E46" s="17" t="inlineStr">
        <is>
          <t>0.106 SOL</t>
        </is>
      </c>
      <c r="F46" s="17" t="inlineStr">
        <is>
          <t>0.054 SOL</t>
        </is>
      </c>
      <c r="G46" s="23" t="inlineStr">
        <is>
          <t>-0.072 SOL</t>
        </is>
      </c>
      <c r="H46" s="23" t="inlineStr">
        <is>
          <t>-57.10%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25.10.2024 18:46:22</t>
        </is>
      </c>
      <c r="M46" s="17" t="inlineStr">
        <is>
          <t>7 min</t>
        </is>
      </c>
      <c r="N46" s="17" t="inlineStr">
        <is>
          <t xml:space="preserve">          7K             4K             5K</t>
        </is>
      </c>
      <c r="O46" s="17" t="inlineStr">
        <is>
          <t>BbiUNtykVPb3K9sqt2mUVAGuC1FTeB9WbYtnbu5kpump</t>
        </is>
      </c>
      <c r="P46" s="17">
        <f>HYPERLINK("https://photon-sol.tinyastro.io/en/lp/BbiUNtykVPb3K9sqt2mUVAGuC1FTeB9WbYtnbu5kpump?handle=676050794bc1b1657a56b", "View")</f>
        <v/>
      </c>
    </row>
    <row r="47">
      <c r="A47" s="20" t="inlineStr">
        <is>
          <t>Ban</t>
        </is>
      </c>
      <c r="B47" s="21" t="n">
        <v>6388</v>
      </c>
      <c r="C47" s="21" t="n">
        <v>6388</v>
      </c>
      <c r="D47" s="21" t="inlineStr">
        <is>
          <t>0.020010</t>
        </is>
      </c>
      <c r="E47" s="21" t="inlineStr">
        <is>
          <t>0.200 SOL</t>
        </is>
      </c>
      <c r="F47" s="21" t="inlineStr">
        <is>
          <t>0.135 SOL</t>
        </is>
      </c>
      <c r="G47" s="25" t="inlineStr">
        <is>
          <t>-0.085 SOL</t>
        </is>
      </c>
      <c r="H47" s="25" t="inlineStr">
        <is>
          <t>-38.66%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25.10.2024 15:56:24</t>
        </is>
      </c>
      <c r="M47" s="21" t="inlineStr">
        <is>
          <t>1 min</t>
        </is>
      </c>
      <c r="N47" s="21" t="inlineStr">
        <is>
          <t xml:space="preserve">          5M             4M            25M</t>
        </is>
      </c>
      <c r="O47" s="21" t="inlineStr">
        <is>
          <t>9PR7nCP9DpcUotnDPVLUBUZKu5WAYkwrCUx9wDnSpump</t>
        </is>
      </c>
      <c r="P47" s="21">
        <f>HYPERLINK("https://dexscreener.com/solana/9PR7nCP9DpcUotnDPVLUBUZKu5WAYkwrCUx9wDnSpump", "View")</f>
        <v/>
      </c>
    </row>
    <row r="48">
      <c r="A48" s="16" t="inlineStr">
        <is>
          <t>GPT2</t>
        </is>
      </c>
      <c r="B48" s="17" t="n">
        <v>52815</v>
      </c>
      <c r="C48" s="17" t="n">
        <v>52815</v>
      </c>
      <c r="D48" s="17" t="inlineStr">
        <is>
          <t>0.020010</t>
        </is>
      </c>
      <c r="E48" s="17" t="inlineStr">
        <is>
          <t>0.500 SOL</t>
        </is>
      </c>
      <c r="F48" s="17" t="inlineStr">
        <is>
          <t>0.315 SOL</t>
        </is>
      </c>
      <c r="G48" s="25" t="inlineStr">
        <is>
          <t>-0.205 SOL</t>
        </is>
      </c>
      <c r="H48" s="25" t="inlineStr">
        <is>
          <t>-39.48%</t>
        </is>
      </c>
      <c r="I48" s="17" t="inlineStr">
        <is>
          <t>N/A</t>
        </is>
      </c>
      <c r="J48" s="17" t="n">
        <v>1</v>
      </c>
      <c r="K48" s="17" t="n">
        <v>1</v>
      </c>
      <c r="L48" s="17" t="inlineStr">
        <is>
          <t>25.10.2024 09:26:44</t>
        </is>
      </c>
      <c r="M48" s="17" t="inlineStr">
        <is>
          <t>1 hours</t>
        </is>
      </c>
      <c r="N48" s="17" t="inlineStr">
        <is>
          <t xml:space="preserve">          2M             1M           166K</t>
        </is>
      </c>
      <c r="O48" s="17" t="inlineStr">
        <is>
          <t>4B3NXEKgsT9hsadpCKNEwSXj6aDqwR7iqe5GzvgKpump</t>
        </is>
      </c>
      <c r="P48" s="17">
        <f>HYPERLINK("https://dexscreener.com/solana/4B3NXEKgsT9hsadpCKNEwSXj6aDqwR7iqe5GzvgKpump", "View")</f>
        <v/>
      </c>
    </row>
    <row r="49">
      <c r="A49" s="20" t="inlineStr">
        <is>
          <t>HUMANAI</t>
        </is>
      </c>
      <c r="B49" s="21" t="n">
        <v>18115588</v>
      </c>
      <c r="C49" s="21" t="n">
        <v>18115588</v>
      </c>
      <c r="D49" s="21" t="inlineStr">
        <is>
          <t>0.020010</t>
        </is>
      </c>
      <c r="E49" s="21" t="inlineStr">
        <is>
          <t>1.038 SOL</t>
        </is>
      </c>
      <c r="F49" s="21" t="inlineStr">
        <is>
          <t>1.729 SOL</t>
        </is>
      </c>
      <c r="G49" s="24" t="inlineStr">
        <is>
          <t>0.671 SOL</t>
        </is>
      </c>
      <c r="H49" s="24" t="inlineStr">
        <is>
          <t>63.42%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24.10.2024 20:36:24</t>
        </is>
      </c>
      <c r="M49" s="21" t="inlineStr">
        <is>
          <t>2 min</t>
        </is>
      </c>
      <c r="N49" s="21" t="inlineStr">
        <is>
          <t xml:space="preserve">         11K            18K             5K</t>
        </is>
      </c>
      <c r="O49" s="21" t="inlineStr">
        <is>
          <t>FC8sbvpmuSbb58fexUwZuJ7f4V9VLQgtffesvrMNpump</t>
        </is>
      </c>
      <c r="P49" s="21">
        <f>HYPERLINK("https://photon-sol.tinyastro.io/en/lp/FC8sbvpmuSbb58fexUwZuJ7f4V9VLQgtffesvrMNpump?handle=676050794bc1b1657a56b", "View")</f>
        <v/>
      </c>
    </row>
    <row r="50">
      <c r="A50" s="16" t="inlineStr">
        <is>
          <t>APEPE</t>
        </is>
      </c>
      <c r="B50" s="17" t="n">
        <v>18395634</v>
      </c>
      <c r="C50" s="17" t="n">
        <v>18395634</v>
      </c>
      <c r="D50" s="17" t="inlineStr">
        <is>
          <t>0.020010</t>
        </is>
      </c>
      <c r="E50" s="17" t="inlineStr">
        <is>
          <t>1.057 SOL</t>
        </is>
      </c>
      <c r="F50" s="17" t="inlineStr">
        <is>
          <t>0.999 SOL</t>
        </is>
      </c>
      <c r="G50" s="25" t="inlineStr">
        <is>
          <t>-0.079 SOL</t>
        </is>
      </c>
      <c r="H50" s="25" t="inlineStr">
        <is>
          <t>-7.31%</t>
        </is>
      </c>
      <c r="I50" s="17" t="inlineStr">
        <is>
          <t>N/A</t>
        </is>
      </c>
      <c r="J50" s="17" t="n">
        <v>1</v>
      </c>
      <c r="K50" s="17" t="n">
        <v>1</v>
      </c>
      <c r="L50" s="17" t="inlineStr">
        <is>
          <t>24.10.2024 19:39:22</t>
        </is>
      </c>
      <c r="M50" s="17" t="inlineStr">
        <is>
          <t>3 min</t>
        </is>
      </c>
      <c r="N50" s="17" t="inlineStr">
        <is>
          <t xml:space="preserve">         11K             9K             6K</t>
        </is>
      </c>
      <c r="O50" s="17" t="inlineStr">
        <is>
          <t>CsiY9A46Aq7KWUqZsoV1uegM8y5KkVv6E9qs6Phspump</t>
        </is>
      </c>
      <c r="P50" s="17">
        <f>HYPERLINK("https://photon-sol.tinyastro.io/en/lp/CsiY9A46Aq7KWUqZsoV1uegM8y5KkVv6E9qs6Phspump?handle=676050794bc1b1657a56b", "View")</f>
        <v/>
      </c>
    </row>
    <row r="51">
      <c r="A51" s="20" t="inlineStr">
        <is>
          <t>COWCLUB</t>
        </is>
      </c>
      <c r="B51" s="21" t="n">
        <v>15845279</v>
      </c>
      <c r="C51" s="21" t="n">
        <v>15845279</v>
      </c>
      <c r="D51" s="21" t="inlineStr">
        <is>
          <t>0.030020</t>
        </is>
      </c>
      <c r="E51" s="21" t="inlineStr">
        <is>
          <t>0.555 SOL</t>
        </is>
      </c>
      <c r="F51" s="21" t="inlineStr">
        <is>
          <t>0.595 SOL</t>
        </is>
      </c>
      <c r="G51" s="22" t="inlineStr">
        <is>
          <t>0.009 SOL</t>
        </is>
      </c>
      <c r="H51" s="22" t="inlineStr">
        <is>
          <t>1.62%</t>
        </is>
      </c>
      <c r="I51" s="21" t="inlineStr">
        <is>
          <t>N/A</t>
        </is>
      </c>
      <c r="J51" s="21" t="n">
        <v>1</v>
      </c>
      <c r="K51" s="21" t="n">
        <v>2</v>
      </c>
      <c r="L51" s="21" t="inlineStr">
        <is>
          <t>24.10.2024 18:56:32</t>
        </is>
      </c>
      <c r="M51" s="21" t="inlineStr">
        <is>
          <t>6 min</t>
        </is>
      </c>
      <c r="N51" s="21" t="inlineStr">
        <is>
          <t xml:space="preserve">          7K             5K             5K</t>
        </is>
      </c>
      <c r="O51" s="21" t="inlineStr">
        <is>
          <t>5Vm2kfMXWZ2BnyKYTU2hMy1CTMHJZZT6B9m54Dtnpump</t>
        </is>
      </c>
      <c r="P51" s="21">
        <f>HYPERLINK("https://photon-sol.tinyastro.io/en/lp/5Vm2kfMXWZ2BnyKYTU2hMy1CTMHJZZT6B9m54Dtnpump?handle=676050794bc1b1657a56b", "View")</f>
        <v/>
      </c>
    </row>
    <row r="52">
      <c r="A52" s="16" t="inlineStr">
        <is>
          <t>GREED</t>
        </is>
      </c>
      <c r="B52" s="17" t="n">
        <v>2804244</v>
      </c>
      <c r="C52" s="17" t="n">
        <v>2804244</v>
      </c>
      <c r="D52" s="17" t="inlineStr">
        <is>
          <t>0.020010</t>
        </is>
      </c>
      <c r="E52" s="17" t="inlineStr">
        <is>
          <t>0.578 SOL</t>
        </is>
      </c>
      <c r="F52" s="17" t="inlineStr">
        <is>
          <t>0.662 SOL</t>
        </is>
      </c>
      <c r="G52" s="22" t="inlineStr">
        <is>
          <t>0.064 SOL</t>
        </is>
      </c>
      <c r="H52" s="22" t="inlineStr">
        <is>
          <t>10.77%</t>
        </is>
      </c>
      <c r="I52" s="17" t="inlineStr">
        <is>
          <t>N/A</t>
        </is>
      </c>
      <c r="J52" s="17" t="n">
        <v>1</v>
      </c>
      <c r="K52" s="17" t="n">
        <v>1</v>
      </c>
      <c r="L52" s="17" t="inlineStr">
        <is>
          <t>24.10.2024 18:35:46</t>
        </is>
      </c>
      <c r="M52" s="17" t="inlineStr">
        <is>
          <t>1 min</t>
        </is>
      </c>
      <c r="N52" s="17" t="inlineStr">
        <is>
          <t xml:space="preserve">         37K            42K             5K</t>
        </is>
      </c>
      <c r="O52" s="17" t="inlineStr">
        <is>
          <t>J9825UTXkKoqXE8g7671YoPYML1MuSRkESo1EgFppump</t>
        </is>
      </c>
      <c r="P52" s="17">
        <f>HYPERLINK("https://photon-sol.tinyastro.io/en/lp/J9825UTXkKoqXE8g7671YoPYML1MuSRkESo1EgFppump?handle=676050794bc1b1657a56b", "View")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4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HYPERLINK("https://gmgn.ai/sol/address/8GC8KU7bZVAevvSCF3JqTuG6iZbT4FKttjAwdxqEw8zM", "GMGN")</f>
        <v/>
      </c>
    </row>
    <row r="2">
      <c r="A2" s="3" t="inlineStr">
        <is>
          <t>8GC8KU7bZVAevvSCF3JqTuG6iZbT4FKttjAwdxqEw8zM</t>
        </is>
      </c>
      <c r="B2" s="3" t="inlineStr">
        <is>
          <t>6.99 SOL</t>
        </is>
      </c>
      <c r="C2" s="3" t="inlineStr">
        <is>
          <t>75%</t>
        </is>
      </c>
      <c r="D2" s="3" t="inlineStr">
        <is>
          <t>53%</t>
        </is>
      </c>
      <c r="E2" s="3" t="inlineStr">
        <is>
          <t>51.89 SOL</t>
        </is>
      </c>
      <c r="F2" s="3" t="inlineStr">
        <is>
          <t>27 (96%)</t>
        </is>
      </c>
      <c r="G2" s="3" t="inlineStr">
        <is>
          <t>0 (0%)</t>
        </is>
      </c>
      <c r="H2" s="3" t="n">
        <v>28</v>
      </c>
      <c r="I2" s="3" t="n">
        <v>0</v>
      </c>
      <c r="J2" s="3" t="inlineStr">
        <is>
          <t>11 days</t>
        </is>
      </c>
      <c r="K2" s="3" t="inlineStr">
        <is>
          <t>7 sec</t>
        </is>
      </c>
      <c r="L2" s="3" t="n">
        <v>14</v>
      </c>
      <c r="M2" s="3" t="n">
        <v>31</v>
      </c>
      <c r="N2" s="3">
        <f>HYPERLINK("https://solscan.io/account/8GC8KU7bZVAevvSCF3JqTuG6iZbT4FKttjAwdxqEw8zM", "Solscan")</f>
        <v/>
      </c>
    </row>
    <row r="3">
      <c r="A3" s="7" t="inlineStr">
        <is>
          <t>Median ROI</t>
        </is>
      </c>
      <c r="B3" s="4" t="inlineStr">
        <is>
          <t>32.51%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HYPERLINK("https://birdeye.so/profile/8GC8KU7bZVAevvSCF3JqTuG6iZbT4FKttjAwdxqEw8zM", "Birdeye")</f>
        <v/>
      </c>
    </row>
    <row r="4">
      <c r="A4" s="7" t="inlineStr">
        <is>
          <t>Rockets percent</t>
        </is>
      </c>
      <c r="B4" s="3" t="inlineStr">
        <is>
          <t>7%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7</v>
      </c>
      <c r="E10" s="7" t="n">
        <v>12</v>
      </c>
      <c r="F10" s="7" t="n">
        <v>7</v>
      </c>
      <c r="G10" s="7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3.6%</t>
        </is>
      </c>
      <c r="C11" s="7" t="inlineStr">
        <is>
          <t>3.6%</t>
        </is>
      </c>
      <c r="D11" s="7" t="inlineStr">
        <is>
          <t>25.0%</t>
        </is>
      </c>
      <c r="E11" s="7" t="inlineStr">
        <is>
          <t>42.9%</t>
        </is>
      </c>
      <c r="F11" s="7" t="inlineStr">
        <is>
          <t>25.0%</t>
        </is>
      </c>
      <c r="G11" s="7" t="inlineStr">
        <is>
          <t>0.0%</t>
        </is>
      </c>
      <c r="H11" s="3" t="n"/>
      <c r="I11" s="3" t="inlineStr">
        <is>
          <t>5k-30k</t>
        </is>
      </c>
      <c r="J11" s="3" t="inlineStr">
        <is>
          <t>11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15.8 SOL</t>
        </is>
      </c>
      <c r="C12" s="7" t="inlineStr">
        <is>
          <t>10.0 SOL</t>
        </is>
      </c>
      <c r="D12" s="7" t="inlineStr">
        <is>
          <t>18.9 SOL</t>
        </is>
      </c>
      <c r="E12" s="7" t="inlineStr">
        <is>
          <t>9.4 SOL</t>
        </is>
      </c>
      <c r="F12" s="7" t="inlineStr">
        <is>
          <t>-2.2 SOL</t>
        </is>
      </c>
      <c r="G12" s="7" t="inlineStr">
        <is>
          <t>0.0 SOL</t>
        </is>
      </c>
      <c r="H12" s="3" t="n"/>
      <c r="I12" s="3" t="inlineStr">
        <is>
          <t>30k-100k</t>
        </is>
      </c>
      <c r="J12" s="3" t="inlineStr">
        <is>
          <t>9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37.0K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SOKURO</t>
        </is>
      </c>
      <c r="B20" s="17" t="n">
        <v>24998838</v>
      </c>
      <c r="C20" s="17" t="n">
        <v>24998838</v>
      </c>
      <c r="D20" s="17" t="inlineStr">
        <is>
          <t>0.100010</t>
        </is>
      </c>
      <c r="E20" s="17" t="inlineStr">
        <is>
          <t>4.765 SOL</t>
        </is>
      </c>
      <c r="F20" s="17" t="inlineStr">
        <is>
          <t>8.352 SOL</t>
        </is>
      </c>
      <c r="G20" s="24" t="inlineStr">
        <is>
          <t>3.486 SOL</t>
        </is>
      </c>
      <c r="H20" s="24" t="inlineStr">
        <is>
          <t>71.65%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21:11:14</t>
        </is>
      </c>
      <c r="M20" s="19" t="inlineStr">
        <is>
          <t>6 sec</t>
        </is>
      </c>
      <c r="N20" s="17" t="inlineStr">
        <is>
          <t xml:space="preserve">         33K            58K             4K</t>
        </is>
      </c>
      <c r="O20" s="17" t="inlineStr">
        <is>
          <t>FbU2Bxn4ptQtE58SCKTFK49JneCxkb36VyYDPpfDpump</t>
        </is>
      </c>
      <c r="P20" s="17">
        <f>HYPERLINK("https://photon-sol.tinyastro.io/en/lp/FbU2Bxn4ptQtE58SCKTFK49JneCxkb36VyYDPpfDpump?handle=676050794bc1b1657a56b", "View")</f>
        <v/>
      </c>
    </row>
    <row r="21">
      <c r="A21" s="20" t="inlineStr">
        <is>
          <t>BAI</t>
        </is>
      </c>
      <c r="B21" s="21" t="n">
        <v>41644552</v>
      </c>
      <c r="C21" s="21" t="n">
        <v>41644552</v>
      </c>
      <c r="D21" s="21" t="inlineStr">
        <is>
          <t>0.100010</t>
        </is>
      </c>
      <c r="E21" s="21" t="inlineStr">
        <is>
          <t>4.623 SOL</t>
        </is>
      </c>
      <c r="F21" s="21" t="inlineStr">
        <is>
          <t>5.120 SOL</t>
        </is>
      </c>
      <c r="G21" s="22" t="inlineStr">
        <is>
          <t>0.397 SOL</t>
        </is>
      </c>
      <c r="H21" s="22" t="inlineStr">
        <is>
          <t>8.40%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02:57:48</t>
        </is>
      </c>
      <c r="M21" s="19" t="inlineStr">
        <is>
          <t>8 sec</t>
        </is>
      </c>
      <c r="N21" s="21" t="inlineStr">
        <is>
          <t xml:space="preserve">         19K            21K             5K</t>
        </is>
      </c>
      <c r="O21" s="21" t="inlineStr">
        <is>
          <t>AegmnEikPdzToUAxM9UQ1cjonUAKKzccYKLeYZqs8txU</t>
        </is>
      </c>
      <c r="P21" s="21">
        <f>HYPERLINK("https://photon-sol.tinyastro.io/en/lp/AegmnEikPdzToUAxM9UQ1cjonUAKKzccYKLeYZqs8txU?handle=676050794bc1b1657a56b", "View")</f>
        <v/>
      </c>
    </row>
    <row r="22">
      <c r="A22" s="16" t="inlineStr">
        <is>
          <t>LOSS</t>
        </is>
      </c>
      <c r="B22" s="17" t="n">
        <v>18907175</v>
      </c>
      <c r="C22" s="17" t="n">
        <v>18907175</v>
      </c>
      <c r="D22" s="17" t="inlineStr">
        <is>
          <t>0.100010</t>
        </is>
      </c>
      <c r="E22" s="17" t="inlineStr">
        <is>
          <t>3.765 SOL</t>
        </is>
      </c>
      <c r="F22" s="17" t="inlineStr">
        <is>
          <t>4.411 SOL</t>
        </is>
      </c>
      <c r="G22" s="22" t="inlineStr">
        <is>
          <t>0.546 SOL</t>
        </is>
      </c>
      <c r="H22" s="22" t="inlineStr">
        <is>
          <t>14.13%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29.10.2024 22:26:06</t>
        </is>
      </c>
      <c r="M22" s="19" t="inlineStr">
        <is>
          <t>11 sec</t>
        </is>
      </c>
      <c r="N22" s="17" t="inlineStr">
        <is>
          <t xml:space="preserve">         35K            40K             3K</t>
        </is>
      </c>
      <c r="O22" s="17" t="inlineStr">
        <is>
          <t>3XbtXJTwrApeEy9kthjpwBaR158ydaGgHnyEE1bipump</t>
        </is>
      </c>
      <c r="P22" s="17">
        <f>HYPERLINK("https://photon-sol.tinyastro.io/en/lp/3XbtXJTwrApeEy9kthjpwBaR158ydaGgHnyEE1bipump?handle=676050794bc1b1657a56b", "View")</f>
        <v/>
      </c>
    </row>
    <row r="23">
      <c r="A23" s="20" t="inlineStr">
        <is>
          <t>$BOT</t>
        </is>
      </c>
      <c r="B23" s="21" t="n">
        <v>18521884</v>
      </c>
      <c r="C23" s="21" t="n">
        <v>18521884</v>
      </c>
      <c r="D23" s="21" t="inlineStr">
        <is>
          <t>0.100010</t>
        </is>
      </c>
      <c r="E23" s="21" t="inlineStr">
        <is>
          <t>3.522 SOL</t>
        </is>
      </c>
      <c r="F23" s="21" t="inlineStr">
        <is>
          <t>3.068 SOL</t>
        </is>
      </c>
      <c r="G23" s="25" t="inlineStr">
        <is>
          <t>-0.554 SOL</t>
        </is>
      </c>
      <c r="H23" s="25" t="inlineStr">
        <is>
          <t>-15.30%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22:00:15</t>
        </is>
      </c>
      <c r="M23" s="19" t="inlineStr">
        <is>
          <t>8 sec</t>
        </is>
      </c>
      <c r="N23" s="21" t="inlineStr">
        <is>
          <t xml:space="preserve">         33K            30K             6K</t>
        </is>
      </c>
      <c r="O23" s="21" t="inlineStr">
        <is>
          <t>FEtRDsRPrKnbh73BmxKf62FacjHgbhneRBzT8RRRpump</t>
        </is>
      </c>
      <c r="P23" s="21">
        <f>HYPERLINK("https://photon-sol.tinyastro.io/en/lp/FEtRDsRPrKnbh73BmxKf62FacjHgbhneRBzT8RRRpump?handle=676050794bc1b1657a56b", "View")</f>
        <v/>
      </c>
    </row>
    <row r="24">
      <c r="A24" s="16" t="inlineStr">
        <is>
          <t>TRUTH</t>
        </is>
      </c>
      <c r="B24" s="17" t="n">
        <v>1047704</v>
      </c>
      <c r="C24" s="17" t="n">
        <v>1047704</v>
      </c>
      <c r="D24" s="17" t="inlineStr">
        <is>
          <t>0.100010</t>
        </is>
      </c>
      <c r="E24" s="17" t="inlineStr">
        <is>
          <t>3.587 SOL</t>
        </is>
      </c>
      <c r="F24" s="17" t="inlineStr">
        <is>
          <t>3.183 SOL</t>
        </is>
      </c>
      <c r="G24" s="25" t="inlineStr">
        <is>
          <t>-0.504 SOL</t>
        </is>
      </c>
      <c r="H24" s="25" t="inlineStr">
        <is>
          <t>-13.68%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19:00:33</t>
        </is>
      </c>
      <c r="M24" s="19" t="inlineStr">
        <is>
          <t>9 sec</t>
        </is>
      </c>
      <c r="N24" s="17" t="inlineStr">
        <is>
          <t xml:space="preserve">        601K           534K             5K</t>
        </is>
      </c>
      <c r="O24" s="17" t="inlineStr">
        <is>
          <t>5DoGHVxbcQgLgPx3uKMDK8ft97shHC3gfoQBdTMapump</t>
        </is>
      </c>
      <c r="P24" s="17">
        <f>HYPERLINK("https://dexscreener.com/solana/5DoGHVxbcQgLgPx3uKMDK8ft97shHC3gfoQBdTMapump", "View")</f>
        <v/>
      </c>
    </row>
    <row r="25">
      <c r="A25" s="20" t="inlineStr">
        <is>
          <t>WOAT</t>
        </is>
      </c>
      <c r="B25" s="21" t="n">
        <v>2780151</v>
      </c>
      <c r="C25" s="21" t="n">
        <v>2780151</v>
      </c>
      <c r="D25" s="21" t="inlineStr">
        <is>
          <t>0.100010</t>
        </is>
      </c>
      <c r="E25" s="21" t="inlineStr">
        <is>
          <t>3.594 SOL</t>
        </is>
      </c>
      <c r="F25" s="21" t="inlineStr">
        <is>
          <t>4.992 SOL</t>
        </is>
      </c>
      <c r="G25" s="22" t="inlineStr">
        <is>
          <t>1.298 SOL</t>
        </is>
      </c>
      <c r="H25" s="22" t="inlineStr">
        <is>
          <t>35.14%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05:20:48</t>
        </is>
      </c>
      <c r="M25" s="19" t="inlineStr">
        <is>
          <t>4 sec</t>
        </is>
      </c>
      <c r="N25" s="21" t="inlineStr">
        <is>
          <t xml:space="preserve">        227K           316K            11K</t>
        </is>
      </c>
      <c r="O25" s="21" t="inlineStr">
        <is>
          <t>6qocE7eQhug7pE7CggAvdNJJMtkHjKaVYRSND7Bwpump</t>
        </is>
      </c>
      <c r="P25" s="21">
        <f>HYPERLINK("https://dexscreener.com/solana/6qocE7eQhug7pE7CggAvdNJJMtkHjKaVYRSND7Bwpump", "View")</f>
        <v/>
      </c>
    </row>
    <row r="26">
      <c r="A26" s="16" t="inlineStr">
        <is>
          <t>Yukoo</t>
        </is>
      </c>
      <c r="B26" s="17" t="n">
        <v>15100648</v>
      </c>
      <c r="C26" s="17" t="n">
        <v>15100648</v>
      </c>
      <c r="D26" s="17" t="inlineStr">
        <is>
          <t>0.100010</t>
        </is>
      </c>
      <c r="E26" s="17" t="inlineStr">
        <is>
          <t>3.834 SOL</t>
        </is>
      </c>
      <c r="F26" s="17" t="inlineStr">
        <is>
          <t>3.639 SOL</t>
        </is>
      </c>
      <c r="G26" s="25" t="inlineStr">
        <is>
          <t>-0.295 SOL</t>
        </is>
      </c>
      <c r="H26" s="25" t="inlineStr">
        <is>
          <t>-7.51%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00:52:19</t>
        </is>
      </c>
      <c r="M26" s="19" t="inlineStr">
        <is>
          <t>5 sec</t>
        </is>
      </c>
      <c r="N26" s="17" t="inlineStr">
        <is>
          <t xml:space="preserve">         44K            42K             3K</t>
        </is>
      </c>
      <c r="O26" s="17" t="inlineStr">
        <is>
          <t>HZ6NmDPXL26gxAvzFWam3CpHr2hUumNCNAFU6jMkpump</t>
        </is>
      </c>
      <c r="P26" s="17">
        <f>HYPERLINK("https://photon-sol.tinyastro.io/en/lp/HZ6NmDPXL26gxAvzFWam3CpHr2hUumNCNAFU6jMkpump?handle=676050794bc1b1657a56b", "View")</f>
        <v/>
      </c>
    </row>
    <row r="27">
      <c r="A27" s="20" t="inlineStr">
        <is>
          <t>BAI</t>
        </is>
      </c>
      <c r="B27" s="21" t="n">
        <v>84273823</v>
      </c>
      <c r="C27" s="21" t="n">
        <v>84273823</v>
      </c>
      <c r="D27" s="21" t="inlineStr">
        <is>
          <t>0.100010</t>
        </is>
      </c>
      <c r="E27" s="21" t="inlineStr">
        <is>
          <t>4.706 SOL</t>
        </is>
      </c>
      <c r="F27" s="21" t="inlineStr">
        <is>
          <t>7.383 SOL</t>
        </is>
      </c>
      <c r="G27" s="24" t="inlineStr">
        <is>
          <t>2.576 SOL</t>
        </is>
      </c>
      <c r="H27" s="24" t="inlineStr">
        <is>
          <t>53.60%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01:54:19</t>
        </is>
      </c>
      <c r="M27" s="19" t="inlineStr">
        <is>
          <t>5 sec</t>
        </is>
      </c>
      <c r="N27" s="21" t="inlineStr">
        <is>
          <t xml:space="preserve">         11K            16K             5K</t>
        </is>
      </c>
      <c r="O27" s="21" t="inlineStr">
        <is>
          <t>6PMCGMvp5esDTcc2kvZwfKLKpiDsAjwJBWwXv8CMpump</t>
        </is>
      </c>
      <c r="P27" s="21">
        <f>HYPERLINK("https://photon-sol.tinyastro.io/en/lp/6PMCGMvp5esDTcc2kvZwfKLKpiDsAjwJBWwXv8CMpump?handle=676050794bc1b1657a56b", "View")</f>
        <v/>
      </c>
    </row>
    <row r="28">
      <c r="A28" s="16" t="inlineStr">
        <is>
          <t>ds</t>
        </is>
      </c>
      <c r="B28" s="17" t="n">
        <v>6793088</v>
      </c>
      <c r="C28" s="17" t="n">
        <v>6793088</v>
      </c>
      <c r="D28" s="17" t="inlineStr">
        <is>
          <t>0.060010</t>
        </is>
      </c>
      <c r="E28" s="17" t="inlineStr">
        <is>
          <t>2.802 SOL</t>
        </is>
      </c>
      <c r="F28" s="17" t="inlineStr">
        <is>
          <t>5.477 SOL</t>
        </is>
      </c>
      <c r="G28" s="24" t="inlineStr">
        <is>
          <t>2.615 SOL</t>
        </is>
      </c>
      <c r="H28" s="24" t="inlineStr">
        <is>
          <t>91.39%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27.10.2024 23:16:11</t>
        </is>
      </c>
      <c r="M28" s="19" t="inlineStr">
        <is>
          <t>7 sec</t>
        </is>
      </c>
      <c r="N28" s="17" t="inlineStr">
        <is>
          <t xml:space="preserve">         72K           142K             6K</t>
        </is>
      </c>
      <c r="O28" s="17" t="inlineStr">
        <is>
          <t>43m2NMQXobysHVjtSAL7x8sBcyxLrZW7tUr3YXf7pump</t>
        </is>
      </c>
      <c r="P28" s="17">
        <f>HYPERLINK("https://dexscreener.com/solana/43m2NMQXobysHVjtSAL7x8sBcyxLrZW7tUr3YXf7pump", "View")</f>
        <v/>
      </c>
    </row>
    <row r="29">
      <c r="A29" s="20" t="inlineStr">
        <is>
          <t>Alaska</t>
        </is>
      </c>
      <c r="B29" s="21" t="n">
        <v>91674997</v>
      </c>
      <c r="C29" s="21" t="n">
        <v>91674997</v>
      </c>
      <c r="D29" s="21" t="inlineStr">
        <is>
          <t>0.060010</t>
        </is>
      </c>
      <c r="E29" s="21" t="inlineStr">
        <is>
          <t>3.746 SOL</t>
        </is>
      </c>
      <c r="F29" s="21" t="inlineStr">
        <is>
          <t>13.758 SOL</t>
        </is>
      </c>
      <c r="G29" s="24" t="inlineStr">
        <is>
          <t>9.952 SOL</t>
        </is>
      </c>
      <c r="H29" s="24" t="inlineStr">
        <is>
          <t>261.48%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27.10.2024 21:38:42</t>
        </is>
      </c>
      <c r="M29" s="19" t="inlineStr">
        <is>
          <t>4 sec</t>
        </is>
      </c>
      <c r="N29" s="21" t="inlineStr">
        <is>
          <t xml:space="preserve">          7K            26K             5K</t>
        </is>
      </c>
      <c r="O29" s="21" t="inlineStr">
        <is>
          <t>xSq3fM5bHdsGdYsDtJgkJQdHyWbjzmorNo8E8fjpump</t>
        </is>
      </c>
      <c r="P29" s="21">
        <f>HYPERLINK("https://photon-sol.tinyastro.io/en/lp/xSq3fM5bHdsGdYsDtJgkJQdHyWbjzmorNo8E8fjpump?handle=676050794bc1b1657a56b", "View")</f>
        <v/>
      </c>
    </row>
    <row r="30">
      <c r="A30" s="16" t="inlineStr">
        <is>
          <t>Nebula</t>
        </is>
      </c>
      <c r="B30" s="17" t="n">
        <v>14653283</v>
      </c>
      <c r="C30" s="17" t="n">
        <v>14653283</v>
      </c>
      <c r="D30" s="17" t="inlineStr">
        <is>
          <t>0.060010</t>
        </is>
      </c>
      <c r="E30" s="17" t="inlineStr">
        <is>
          <t>3.770 SOL</t>
        </is>
      </c>
      <c r="F30" s="17" t="inlineStr">
        <is>
          <t>5.124 SOL</t>
        </is>
      </c>
      <c r="G30" s="22" t="inlineStr">
        <is>
          <t>1.294 SOL</t>
        </is>
      </c>
      <c r="H30" s="22" t="inlineStr">
        <is>
          <t>33.78%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26.10.2024 00:23:25</t>
        </is>
      </c>
      <c r="M30" s="19" t="inlineStr">
        <is>
          <t>7 sec</t>
        </is>
      </c>
      <c r="N30" s="17" t="inlineStr">
        <is>
          <t xml:space="preserve">         46K            61K             3K</t>
        </is>
      </c>
      <c r="O30" s="17" t="inlineStr">
        <is>
          <t>D8xDLMFNyf3ZGSh9JLCwvQfwhASG6Tmycen3ZNNEBULA</t>
        </is>
      </c>
      <c r="P30" s="17">
        <f>HYPERLINK("https://photon-sol.tinyastro.io/en/lp/D8xDLMFNyf3ZGSh9JLCwvQfwhASG6Tmycen3ZNNEBULA?handle=676050794bc1b1657a56b", "View")</f>
        <v/>
      </c>
    </row>
    <row r="31">
      <c r="A31" s="20" t="inlineStr">
        <is>
          <t>😕</t>
        </is>
      </c>
      <c r="B31" s="21" t="n">
        <v>62808676</v>
      </c>
      <c r="C31" s="21" t="n">
        <v>62808676</v>
      </c>
      <c r="D31" s="21" t="inlineStr">
        <is>
          <t>0.060010</t>
        </is>
      </c>
      <c r="E31" s="21" t="inlineStr">
        <is>
          <t>4.127 SOL</t>
        </is>
      </c>
      <c r="F31" s="21" t="inlineStr">
        <is>
          <t>7.803 SOL</t>
        </is>
      </c>
      <c r="G31" s="24" t="inlineStr">
        <is>
          <t>3.616 SOL</t>
        </is>
      </c>
      <c r="H31" s="24" t="inlineStr">
        <is>
          <t>86.37%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25.10.2024 21:37:19</t>
        </is>
      </c>
      <c r="M31" s="19" t="inlineStr">
        <is>
          <t>8 sec</t>
        </is>
      </c>
      <c r="N31" s="21" t="inlineStr">
        <is>
          <t xml:space="preserve">         12K            21K             5K</t>
        </is>
      </c>
      <c r="O31" s="21" t="inlineStr">
        <is>
          <t>BYoJv3HvxvqonFvDkQDW9CGdey2EFVdnyj3J8jq2pump</t>
        </is>
      </c>
      <c r="P31" s="21">
        <f>HYPERLINK("https://photon-sol.tinyastro.io/en/lp/BYoJv3HvxvqonFvDkQDW9CGdey2EFVdnyj3J8jq2pump?handle=676050794bc1b1657a56b", "View")</f>
        <v/>
      </c>
    </row>
    <row r="32">
      <c r="A32" s="16" t="inlineStr">
        <is>
          <t>STRAWB</t>
        </is>
      </c>
      <c r="B32" s="17" t="n">
        <v>221393</v>
      </c>
      <c r="C32" s="17" t="n">
        <v>221393</v>
      </c>
      <c r="D32" s="17" t="inlineStr">
        <is>
          <t>0.060010</t>
        </is>
      </c>
      <c r="E32" s="17" t="inlineStr">
        <is>
          <t>2.833 SOL</t>
        </is>
      </c>
      <c r="F32" s="17" t="inlineStr">
        <is>
          <t>3.796 SOL</t>
        </is>
      </c>
      <c r="G32" s="22" t="inlineStr">
        <is>
          <t>0.904 SOL</t>
        </is>
      </c>
      <c r="H32" s="22" t="inlineStr">
        <is>
          <t>31.24%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25.10.2024 01:04:11</t>
        </is>
      </c>
      <c r="M32" s="19" t="inlineStr">
        <is>
          <t>27 sec</t>
        </is>
      </c>
      <c r="N32" s="17" t="inlineStr">
        <is>
          <t xml:space="preserve">          2M             3M            22K</t>
        </is>
      </c>
      <c r="O32" s="17" t="inlineStr">
        <is>
          <t>H6QvmSwAEfpG2r7K7PJK7yCM2b42oWnWte7jZP6cpump</t>
        </is>
      </c>
      <c r="P32" s="17">
        <f>HYPERLINK("https://dexscreener.com/solana/H6QvmSwAEfpG2r7K7PJK7yCM2b42oWnWte7jZP6cpump", "View")</f>
        <v/>
      </c>
    </row>
    <row r="33">
      <c r="A33" s="20" t="inlineStr">
        <is>
          <t>test</t>
        </is>
      </c>
      <c r="B33" s="21" t="n">
        <v>235563</v>
      </c>
      <c r="C33" s="21" t="n">
        <v>235563</v>
      </c>
      <c r="D33" s="21" t="inlineStr">
        <is>
          <t>0.060010</t>
        </is>
      </c>
      <c r="E33" s="21" t="inlineStr">
        <is>
          <t>2.803 SOL</t>
        </is>
      </c>
      <c r="F33" s="21" t="inlineStr">
        <is>
          <t>2.551 SOL</t>
        </is>
      </c>
      <c r="G33" s="25" t="inlineStr">
        <is>
          <t>-0.312 SOL</t>
        </is>
      </c>
      <c r="H33" s="25" t="inlineStr">
        <is>
          <t>-10.90%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24.10.2024 22:07:42</t>
        </is>
      </c>
      <c r="M33" s="19" t="inlineStr">
        <is>
          <t>19 sec</t>
        </is>
      </c>
      <c r="N33" s="21" t="inlineStr">
        <is>
          <t xml:space="preserve">          2M             2M            16K</t>
        </is>
      </c>
      <c r="O33" s="21" t="inlineStr">
        <is>
          <t>451zhKaaoX9jt68s5rWpmSKp8uKSu9LZwNmsj5XLpump</t>
        </is>
      </c>
      <c r="P33" s="21">
        <f>HYPERLINK("https://dexscreener.com/solana/451zhKaaoX9jt68s5rWpmSKp8uKSu9LZwNmsj5XLpump", "View")</f>
        <v/>
      </c>
    </row>
    <row r="34">
      <c r="A34" s="16" t="inlineStr">
        <is>
          <t>claude</t>
        </is>
      </c>
      <c r="B34" s="17" t="n">
        <v>5131149</v>
      </c>
      <c r="C34" s="17" t="n">
        <v>5131149</v>
      </c>
      <c r="D34" s="17" t="inlineStr">
        <is>
          <t>0.060010</t>
        </is>
      </c>
      <c r="E34" s="17" t="inlineStr">
        <is>
          <t>2.910 SOL</t>
        </is>
      </c>
      <c r="F34" s="17" t="inlineStr">
        <is>
          <t>2.522 SOL</t>
        </is>
      </c>
      <c r="G34" s="25" t="inlineStr">
        <is>
          <t>-0.449 SOL</t>
        </is>
      </c>
      <c r="H34" s="25" t="inlineStr">
        <is>
          <t>-15.10%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23.10.2024 23:20:49</t>
        </is>
      </c>
      <c r="M34" s="19" t="inlineStr">
        <is>
          <t>5 sec</t>
        </is>
      </c>
      <c r="N34" s="17" t="inlineStr">
        <is>
          <t xml:space="preserve">        100K            86K            20K</t>
        </is>
      </c>
      <c r="O34" s="17" t="inlineStr">
        <is>
          <t>ARygRrYJhXq7srvGyNV5ZKqH3VK3Yybce2Z6nreBpump</t>
        </is>
      </c>
      <c r="P34" s="17">
        <f>HYPERLINK("https://dexscreener.com/solana/ARygRrYJhXq7srvGyNV5ZKqH3VK3Yybce2Z6nreBpump", "View")</f>
        <v/>
      </c>
    </row>
    <row r="35">
      <c r="A35" s="20" t="inlineStr">
        <is>
          <t>GNON</t>
        </is>
      </c>
      <c r="B35" s="21" t="n">
        <v>5084</v>
      </c>
      <c r="C35" s="21" t="n">
        <v>5084</v>
      </c>
      <c r="D35" s="21" t="inlineStr">
        <is>
          <t>0.060010</t>
        </is>
      </c>
      <c r="E35" s="21" t="inlineStr">
        <is>
          <t>2.872 SOL</t>
        </is>
      </c>
      <c r="F35" s="21" t="inlineStr">
        <is>
          <t>2.860 SOL</t>
        </is>
      </c>
      <c r="G35" s="25" t="inlineStr">
        <is>
          <t>-0.072 SOL</t>
        </is>
      </c>
      <c r="H35" s="25" t="inlineStr">
        <is>
          <t>-2.46%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23.10.2024 20:45:47</t>
        </is>
      </c>
      <c r="M35" s="19" t="inlineStr">
        <is>
          <t>10 sec</t>
        </is>
      </c>
      <c r="N35" s="21" t="inlineStr">
        <is>
          <t xml:space="preserve">         99M            99M             4M</t>
        </is>
      </c>
      <c r="O35" s="21" t="inlineStr">
        <is>
          <t>HeJUFDxfJSzYFUuHLxkMqCgytU31G6mjP4wKviwqpump</t>
        </is>
      </c>
      <c r="P35" s="21">
        <f>HYPERLINK("https://dexscreener.com/solana/HeJUFDxfJSzYFUuHLxkMqCgytU31G6mjP4wKviwqpump", "View")</f>
        <v/>
      </c>
    </row>
    <row r="36">
      <c r="A36" s="16" t="inlineStr">
        <is>
          <t>gematria</t>
        </is>
      </c>
      <c r="B36" s="17" t="n">
        <v>14005446</v>
      </c>
      <c r="C36" s="17" t="n">
        <v>14005446</v>
      </c>
      <c r="D36" s="17" t="inlineStr">
        <is>
          <t>0.060010</t>
        </is>
      </c>
      <c r="E36" s="17" t="inlineStr">
        <is>
          <t>3.031 SOL</t>
        </is>
      </c>
      <c r="F36" s="17" t="inlineStr">
        <is>
          <t>5.128 SOL</t>
        </is>
      </c>
      <c r="G36" s="24" t="inlineStr">
        <is>
          <t>2.037 SOL</t>
        </is>
      </c>
      <c r="H36" s="24" t="inlineStr">
        <is>
          <t>65.90%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23.10.2024 03:25:16</t>
        </is>
      </c>
      <c r="M36" s="19" t="inlineStr">
        <is>
          <t>13 sec</t>
        </is>
      </c>
      <c r="N36" s="17" t="inlineStr">
        <is>
          <t xml:space="preserve">         39K            65K            10K</t>
        </is>
      </c>
      <c r="O36" s="17" t="inlineStr">
        <is>
          <t>5ExkyeCgCu2Hrmq3cnwA9rtfVTajxVLofirykpqSpump</t>
        </is>
      </c>
      <c r="P36" s="17">
        <f>HYPERLINK("https://dexscreener.com/solana/5ExkyeCgCu2Hrmq3cnwA9rtfVTajxVLofirykpqSpump", "View")</f>
        <v/>
      </c>
    </row>
    <row r="37">
      <c r="A37" s="20" t="inlineStr">
        <is>
          <t>Zyphrax</t>
        </is>
      </c>
      <c r="B37" s="21" t="n">
        <v>39773015</v>
      </c>
      <c r="C37" s="21" t="n">
        <v>39773015</v>
      </c>
      <c r="D37" s="21" t="inlineStr">
        <is>
          <t>0.060010</t>
        </is>
      </c>
      <c r="E37" s="21" t="inlineStr">
        <is>
          <t>4.274 SOL</t>
        </is>
      </c>
      <c r="F37" s="21" t="inlineStr">
        <is>
          <t>4.886 SOL</t>
        </is>
      </c>
      <c r="G37" s="22" t="inlineStr">
        <is>
          <t>0.552 SOL</t>
        </is>
      </c>
      <c r="H37" s="22" t="inlineStr">
        <is>
          <t>12.74%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23.10.2024 01:34:50</t>
        </is>
      </c>
      <c r="M37" s="19" t="inlineStr">
        <is>
          <t>26 sec</t>
        </is>
      </c>
      <c r="N37" s="21" t="inlineStr">
        <is>
          <t xml:space="preserve">         19K            21K             5K</t>
        </is>
      </c>
      <c r="O37" s="21" t="inlineStr">
        <is>
          <t>CDacJQZDQuRLV8xyugT79Utt76d2DTypUxCAcdp2pump</t>
        </is>
      </c>
      <c r="P37" s="21">
        <f>HYPERLINK("https://photon-sol.tinyastro.io/en/lp/CDacJQZDQuRLV8xyugT79Utt76d2DTypUxCAcdp2pump?handle=676050794bc1b1657a56b", "View")</f>
        <v/>
      </c>
    </row>
    <row r="38">
      <c r="A38" s="16" t="inlineStr">
        <is>
          <t xml:space="preserve">BANJO </t>
        </is>
      </c>
      <c r="B38" s="17" t="n">
        <v>6577059</v>
      </c>
      <c r="C38" s="17" t="n">
        <v>6577059</v>
      </c>
      <c r="D38" s="17" t="inlineStr">
        <is>
          <t>0.060010</t>
        </is>
      </c>
      <c r="E38" s="17" t="inlineStr">
        <is>
          <t>2.973 SOL</t>
        </is>
      </c>
      <c r="F38" s="17" t="inlineStr">
        <is>
          <t>3.130 SOL</t>
        </is>
      </c>
      <c r="G38" s="22" t="inlineStr">
        <is>
          <t>0.096 SOL</t>
        </is>
      </c>
      <c r="H38" s="22" t="inlineStr">
        <is>
          <t>3.17%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22.10.2024 05:57:34</t>
        </is>
      </c>
      <c r="M38" s="19" t="inlineStr">
        <is>
          <t>7 sec</t>
        </is>
      </c>
      <c r="N38" s="17" t="inlineStr">
        <is>
          <t xml:space="preserve">         79K            84K             5K</t>
        </is>
      </c>
      <c r="O38" s="17" t="inlineStr">
        <is>
          <t>Dkbq6yYX7mQHwv6FTSXY891xsNkBQmSHgNiUyzuq2Qp7</t>
        </is>
      </c>
      <c r="P38" s="17">
        <f>HYPERLINK("https://dexscreener.com/solana/Dkbq6yYX7mQHwv6FTSXY891xsNkBQmSHgNiUyzuq2Qp7", "View")</f>
        <v/>
      </c>
    </row>
    <row r="39">
      <c r="A39" s="20" t="inlineStr">
        <is>
          <t>KORAT</t>
        </is>
      </c>
      <c r="B39" s="21" t="n">
        <v>15916469</v>
      </c>
      <c r="C39" s="21" t="n">
        <v>15916469</v>
      </c>
      <c r="D39" s="21" t="inlineStr">
        <is>
          <t>0.140030</t>
        </is>
      </c>
      <c r="E39" s="21" t="inlineStr">
        <is>
          <t>2.734 SOL</t>
        </is>
      </c>
      <c r="F39" s="21" t="inlineStr">
        <is>
          <t>18.680 SOL</t>
        </is>
      </c>
      <c r="G39" s="24" t="inlineStr">
        <is>
          <t>15.806 SOL</t>
        </is>
      </c>
      <c r="H39" s="24" t="inlineStr">
        <is>
          <t>549.92%</t>
        </is>
      </c>
      <c r="I39" s="21" t="inlineStr">
        <is>
          <t>N/A</t>
        </is>
      </c>
      <c r="J39" s="21" t="n">
        <v>1</v>
      </c>
      <c r="K39" s="21" t="n">
        <v>5</v>
      </c>
      <c r="L39" s="21" t="inlineStr">
        <is>
          <t>22.10.2024 00:13:07</t>
        </is>
      </c>
      <c r="M39" s="21" t="inlineStr">
        <is>
          <t>4 min</t>
        </is>
      </c>
      <c r="N39" s="21" t="inlineStr">
        <is>
          <t xml:space="preserve">         30K           281K             4K</t>
        </is>
      </c>
      <c r="O39" s="21" t="inlineStr">
        <is>
          <t>8z7CWj4uc8GcCo9WoznGvU9m24d6SSTtMdr3buQ4pump</t>
        </is>
      </c>
      <c r="P39" s="21">
        <f>HYPERLINK("https://photon-sol.tinyastro.io/en/lp/8z7CWj4uc8GcCo9WoznGvU9m24d6SSTtMdr3buQ4pump?handle=676050794bc1b1657a56b", "View")</f>
        <v/>
      </c>
    </row>
    <row r="40">
      <c r="A40" s="16" t="inlineStr">
        <is>
          <t>WAND</t>
        </is>
      </c>
      <c r="B40" s="17" t="n">
        <v>19565711</v>
      </c>
      <c r="C40" s="17" t="n">
        <v>19565711</v>
      </c>
      <c r="D40" s="17" t="inlineStr">
        <is>
          <t>0.060010</t>
        </is>
      </c>
      <c r="E40" s="17" t="inlineStr">
        <is>
          <t>3.012 SOL</t>
        </is>
      </c>
      <c r="F40" s="17" t="inlineStr">
        <is>
          <t>5.570 SOL</t>
        </is>
      </c>
      <c r="G40" s="24" t="inlineStr">
        <is>
          <t>2.498 SOL</t>
        </is>
      </c>
      <c r="H40" s="24" t="inlineStr">
        <is>
          <t>81.30%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21.10.2024 20:39:09</t>
        </is>
      </c>
      <c r="M40" s="19" t="inlineStr">
        <is>
          <t>12 sec</t>
        </is>
      </c>
      <c r="N40" s="17" t="inlineStr">
        <is>
          <t xml:space="preserve">         26K            49K             3K</t>
        </is>
      </c>
      <c r="O40" s="17" t="inlineStr">
        <is>
          <t>558hASfoVRYZz3KzCYeNTqodfdLhxFQMEn49Yh38pump</t>
        </is>
      </c>
      <c r="P40" s="17">
        <f>HYPERLINK("https://dexscreener.com/solana/558hASfoVRYZz3KzCYeNTqodfdLhxFQMEn49Yh38pump", "View")</f>
        <v/>
      </c>
    </row>
    <row r="41">
      <c r="A41" s="20" t="inlineStr">
        <is>
          <t>rebirth</t>
        </is>
      </c>
      <c r="B41" s="21" t="n">
        <v>32630342</v>
      </c>
      <c r="C41" s="21" t="n">
        <v>32630342</v>
      </c>
      <c r="D41" s="21" t="inlineStr">
        <is>
          <t>0.060010</t>
        </is>
      </c>
      <c r="E41" s="21" t="inlineStr">
        <is>
          <t>3.062 SOL</t>
        </is>
      </c>
      <c r="F41" s="21" t="inlineStr">
        <is>
          <t>3.156 SOL</t>
        </is>
      </c>
      <c r="G41" s="22" t="inlineStr">
        <is>
          <t>0.035 SOL</t>
        </is>
      </c>
      <c r="H41" s="22" t="inlineStr">
        <is>
          <t>1.11%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21.10.2024 00:17:11</t>
        </is>
      </c>
      <c r="M41" s="19" t="inlineStr">
        <is>
          <t>7 sec</t>
        </is>
      </c>
      <c r="N41" s="21" t="inlineStr">
        <is>
          <t xml:space="preserve">         16K            18K             5K</t>
        </is>
      </c>
      <c r="O41" s="21" t="inlineStr">
        <is>
          <t>H1ApzvQ8zDU6s8R3JKnPRb1nMHZDyrMtECzMA8U4pump</t>
        </is>
      </c>
      <c r="P41" s="21">
        <f>HYPERLINK("https://photon-sol.tinyastro.io/en/lp/H1ApzvQ8zDU6s8R3JKnPRb1nMHZDyrMtECzMA8U4pump?handle=676050794bc1b1657a56b", "View")</f>
        <v/>
      </c>
    </row>
    <row r="42">
      <c r="A42" s="16" t="inlineStr">
        <is>
          <t>GLOBE</t>
        </is>
      </c>
      <c r="B42" s="17" t="n">
        <v>31934532</v>
      </c>
      <c r="C42" s="17" t="n">
        <v>31934532</v>
      </c>
      <c r="D42" s="17" t="inlineStr">
        <is>
          <t>0.060010</t>
        </is>
      </c>
      <c r="E42" s="17" t="inlineStr">
        <is>
          <t>2.894 SOL</t>
        </is>
      </c>
      <c r="F42" s="17" t="inlineStr">
        <is>
          <t>4.412 SOL</t>
        </is>
      </c>
      <c r="G42" s="22" t="inlineStr">
        <is>
          <t>1.458 SOL</t>
        </is>
      </c>
      <c r="H42" s="22" t="inlineStr">
        <is>
          <t>49.36%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20.10.2024 23:56:56</t>
        </is>
      </c>
      <c r="M42" s="19" t="inlineStr">
        <is>
          <t>5 sec</t>
        </is>
      </c>
      <c r="N42" s="17" t="inlineStr">
        <is>
          <t xml:space="preserve">         16K            25K             3K</t>
        </is>
      </c>
      <c r="O42" s="17" t="inlineStr">
        <is>
          <t>CHZyQWifZt5ypEiDAJ5Je7HP4DLVLDPardqkF48Zpump</t>
        </is>
      </c>
      <c r="P42" s="17">
        <f>HYPERLINK("https://photon-sol.tinyastro.io/en/lp/CHZyQWifZt5ypEiDAJ5Je7HP4DLVLDPardqkF48Zpump?handle=676050794bc1b1657a56b", "View")</f>
        <v/>
      </c>
    </row>
    <row r="43">
      <c r="A43" s="20" t="inlineStr">
        <is>
          <t>lemur</t>
        </is>
      </c>
      <c r="B43" s="21" t="n">
        <v>1338196</v>
      </c>
      <c r="C43" s="21" t="n">
        <v>1338196</v>
      </c>
      <c r="D43" s="21" t="inlineStr">
        <is>
          <t>0.060010</t>
        </is>
      </c>
      <c r="E43" s="21" t="inlineStr">
        <is>
          <t>3.127 SOL</t>
        </is>
      </c>
      <c r="F43" s="21" t="inlineStr">
        <is>
          <t>4.460 SOL</t>
        </is>
      </c>
      <c r="G43" s="22" t="inlineStr">
        <is>
          <t>1.272 SOL</t>
        </is>
      </c>
      <c r="H43" s="22" t="inlineStr">
        <is>
          <t>39.91%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20.10.2024 04:48:17</t>
        </is>
      </c>
      <c r="M43" s="19" t="inlineStr">
        <is>
          <t>5 sec</t>
        </is>
      </c>
      <c r="N43" s="21" t="inlineStr">
        <is>
          <t xml:space="preserve">        411K           585K            10K</t>
        </is>
      </c>
      <c r="O43" s="21" t="inlineStr">
        <is>
          <t>9vqsBhx1jPoKokZfCY8JMU7ob5ZFm7XtkwY3T2hapump</t>
        </is>
      </c>
      <c r="P43" s="21">
        <f>HYPERLINK("https://dexscreener.com/solana/9vqsBhx1jPoKokZfCY8JMU7ob5ZFm7XtkwY3T2hapump", "View")</f>
        <v/>
      </c>
    </row>
    <row r="44">
      <c r="A44" s="16" t="inlineStr">
        <is>
          <t>FTW</t>
        </is>
      </c>
      <c r="B44" s="17" t="n">
        <v>34733560</v>
      </c>
      <c r="C44" s="17" t="n">
        <v>34733560</v>
      </c>
      <c r="D44" s="17" t="inlineStr">
        <is>
          <t>0.060010</t>
        </is>
      </c>
      <c r="E44" s="17" t="inlineStr">
        <is>
          <t>2.815 SOL</t>
        </is>
      </c>
      <c r="F44" s="17" t="inlineStr">
        <is>
          <t>4.977 SOL</t>
        </is>
      </c>
      <c r="G44" s="24" t="inlineStr">
        <is>
          <t>2.102 SOL</t>
        </is>
      </c>
      <c r="H44" s="24" t="inlineStr">
        <is>
          <t>73.12%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20.10.2024 04:43:42</t>
        </is>
      </c>
      <c r="M44" s="19" t="inlineStr">
        <is>
          <t>5 sec</t>
        </is>
      </c>
      <c r="N44" s="17" t="inlineStr">
        <is>
          <t xml:space="preserve">         14K            25K             5K</t>
        </is>
      </c>
      <c r="O44" s="17" t="inlineStr">
        <is>
          <t>BjNjvabyz9N3qa5KFScViafHXzYytJF6eA3HRsSRpump</t>
        </is>
      </c>
      <c r="P44" s="17">
        <f>HYPERLINK("https://dexscreener.com/solana/BjNjvabyz9N3qa5KFScViafHXzYytJF6eA3HRsSRpump", "View")</f>
        <v/>
      </c>
    </row>
    <row r="45">
      <c r="A45" s="20" t="inlineStr">
        <is>
          <t>tini</t>
        </is>
      </c>
      <c r="B45" s="21" t="n">
        <v>5443800</v>
      </c>
      <c r="C45" s="21" t="n">
        <v>5443800</v>
      </c>
      <c r="D45" s="21" t="inlineStr">
        <is>
          <t>0.060010</t>
        </is>
      </c>
      <c r="E45" s="21" t="inlineStr">
        <is>
          <t>2.841 SOL</t>
        </is>
      </c>
      <c r="F45" s="21" t="inlineStr">
        <is>
          <t>4.072 SOL</t>
        </is>
      </c>
      <c r="G45" s="22" t="inlineStr">
        <is>
          <t>1.171 SOL</t>
        </is>
      </c>
      <c r="H45" s="22" t="inlineStr">
        <is>
          <t>40.37%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20.10.2024 02:47:13</t>
        </is>
      </c>
      <c r="M45" s="19" t="inlineStr">
        <is>
          <t>6 sec</t>
        </is>
      </c>
      <c r="N45" s="21" t="inlineStr">
        <is>
          <t xml:space="preserve">         91K           132K             5K</t>
        </is>
      </c>
      <c r="O45" s="21" t="inlineStr">
        <is>
          <t>2Bvd4cNBFfmvEMGDz9bW2NrCaFpyAFEh4HGmMrm5pump</t>
        </is>
      </c>
      <c r="P45" s="21">
        <f>HYPERLINK("https://dexscreener.com/solana/2Bvd4cNBFfmvEMGDz9bW2NrCaFpyAFEh4HGmMrm5pump", "View")</f>
        <v/>
      </c>
    </row>
    <row r="46">
      <c r="A46" s="16" t="inlineStr">
        <is>
          <t>CUM</t>
        </is>
      </c>
      <c r="B46" s="17" t="n">
        <v>54604582</v>
      </c>
      <c r="C46" s="17" t="n">
        <v>54604582</v>
      </c>
      <c r="D46" s="17" t="inlineStr">
        <is>
          <t>0.060010</t>
        </is>
      </c>
      <c r="E46" s="17" t="inlineStr">
        <is>
          <t>4.282 SOL</t>
        </is>
      </c>
      <c r="F46" s="17" t="inlineStr">
        <is>
          <t>4.747 SOL</t>
        </is>
      </c>
      <c r="G46" s="22" t="inlineStr">
        <is>
          <t>0.405 SOL</t>
        </is>
      </c>
      <c r="H46" s="22" t="inlineStr">
        <is>
          <t>9.33%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19.10.2024 18:31:43</t>
        </is>
      </c>
      <c r="M46" s="19" t="inlineStr">
        <is>
          <t>5 sec</t>
        </is>
      </c>
      <c r="N46" s="17" t="inlineStr">
        <is>
          <t xml:space="preserve">         14K            16K             4K</t>
        </is>
      </c>
      <c r="O46" s="17" t="inlineStr">
        <is>
          <t>C6GFrzeEbZppNqD85vYJhiNfBFFtWrLTDw1ZQq5opump</t>
        </is>
      </c>
      <c r="P46" s="17">
        <f>HYPERLINK("https://photon-sol.tinyastro.io/en/lp/C6GFrzeEbZppNqD85vYJhiNfBFFtWrLTDw1ZQq5opump?handle=676050794bc1b1657a56b", "View")</f>
        <v/>
      </c>
    </row>
    <row r="47">
      <c r="A47" s="20" t="inlineStr">
        <is>
          <t>BURZEN</t>
        </is>
      </c>
      <c r="B47" s="21" t="n">
        <v>175348</v>
      </c>
      <c r="C47" s="21" t="n">
        <v>175348</v>
      </c>
      <c r="D47" s="21" t="inlineStr">
        <is>
          <t>0.060010</t>
        </is>
      </c>
      <c r="E47" s="21" t="inlineStr">
        <is>
          <t>2.569 SOL</t>
        </is>
      </c>
      <c r="F47" s="21" t="inlineStr">
        <is>
          <t>2.586 SOL</t>
        </is>
      </c>
      <c r="G47" s="25" t="inlineStr">
        <is>
          <t>-0.044 SOL</t>
        </is>
      </c>
      <c r="H47" s="25" t="inlineStr">
        <is>
          <t>-1.66%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19.10.2024 17:54:18</t>
        </is>
      </c>
      <c r="M47" s="19" t="inlineStr">
        <is>
          <t>6 sec</t>
        </is>
      </c>
      <c r="N47" s="21" t="inlineStr">
        <is>
          <t xml:space="preserve">          3M             3M            58K</t>
        </is>
      </c>
      <c r="O47" s="21" t="inlineStr">
        <is>
          <t>8QLTsTnPN4XxTP4ZU7osE4j5XpTmJWRDNQmjLzncpump</t>
        </is>
      </c>
      <c r="P47" s="21">
        <f>HYPERLINK("https://dexscreener.com/solana/8QLTsTnPN4XxTP4ZU7osE4j5XpTmJWRDNQmjLzncpump", "View")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HYPERLINK("https://gmgn.ai/sol/address/DAvFwQyaHCUhnVKWgykeB1aJeCX2JeRRMZebqmiozpWx", "GMGN")</f>
        <v/>
      </c>
    </row>
    <row r="2">
      <c r="A2" s="3" t="inlineStr">
        <is>
          <t>DAvFwQyaHCUhnVKWgykeB1aJeCX2JeRRMZebqmiozpWx</t>
        </is>
      </c>
      <c r="B2" s="3" t="inlineStr">
        <is>
          <t>86.22 SOL</t>
        </is>
      </c>
      <c r="C2" s="3" t="inlineStr">
        <is>
          <t>80%</t>
        </is>
      </c>
      <c r="D2" s="3" t="inlineStr">
        <is>
          <t>147%</t>
        </is>
      </c>
      <c r="E2" s="3" t="inlineStr">
        <is>
          <t>64.82 SOL</t>
        </is>
      </c>
      <c r="F2" s="3" t="inlineStr">
        <is>
          <t>1 (20%)</t>
        </is>
      </c>
      <c r="G2" s="3" t="inlineStr">
        <is>
          <t>0 (0%)</t>
        </is>
      </c>
      <c r="H2" s="3" t="n">
        <v>5</v>
      </c>
      <c r="I2" s="3" t="n">
        <v>0</v>
      </c>
      <c r="J2" s="3" t="inlineStr">
        <is>
          <t>10 days</t>
        </is>
      </c>
      <c r="K2" s="3" t="inlineStr">
        <is>
          <t>8 min</t>
        </is>
      </c>
      <c r="L2" s="3" t="n">
        <v>3</v>
      </c>
      <c r="M2" s="3" t="n">
        <v>31</v>
      </c>
      <c r="N2" s="3">
        <f>HYPERLINK("https://solscan.io/account/DAvFwQyaHCUhnVKWgykeB1aJeCX2JeRRMZebqmiozpWx", "Solscan")</f>
        <v/>
      </c>
    </row>
    <row r="3">
      <c r="A3" s="7" t="inlineStr">
        <is>
          <t>Median ROI</t>
        </is>
      </c>
      <c r="B3" s="4" t="inlineStr">
        <is>
          <t>73.25%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HYPERLINK("https://birdeye.so/profile/DAvFwQyaHCUhnVKWgykeB1aJeCX2JeRRMZebqmiozpWx", "Birdeye")</f>
        <v/>
      </c>
    </row>
    <row r="4">
      <c r="A4" s="7" t="inlineStr">
        <is>
          <t>Rockets percent</t>
        </is>
      </c>
      <c r="B4" s="4" t="inlineStr">
        <is>
          <t>40%</t>
        </is>
      </c>
      <c r="C4" s="3" t="inlineStr"/>
      <c r="D4" s="3" t="inlineStr">
        <is>
          <t>169%</t>
        </is>
      </c>
      <c r="E4" s="3" t="inlineStr">
        <is>
          <t>74.19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172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2</v>
      </c>
      <c r="D10" s="7" t="n">
        <v>1</v>
      </c>
      <c r="E10" s="7" t="n">
        <v>1</v>
      </c>
      <c r="F10" s="7" t="n">
        <v>0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40.0%</t>
        </is>
      </c>
      <c r="D11" s="7" t="inlineStr">
        <is>
          <t>20.0%</t>
        </is>
      </c>
      <c r="E11" s="7" t="inlineStr">
        <is>
          <t>20.0%</t>
        </is>
      </c>
      <c r="F11" s="7" t="inlineStr">
        <is>
          <t>0.0%</t>
        </is>
      </c>
      <c r="G11" s="7" t="inlineStr">
        <is>
          <t>20.0%</t>
        </is>
      </c>
      <c r="H11" s="3" t="n"/>
      <c r="I11" s="3" t="inlineStr">
        <is>
          <t>5k-30k</t>
        </is>
      </c>
      <c r="J11" s="3" t="inlineStr">
        <is>
          <t>1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62.5 SOL</t>
        </is>
      </c>
      <c r="D12" s="7" t="inlineStr">
        <is>
          <t>5.1 SOL</t>
        </is>
      </c>
      <c r="E12" s="7" t="inlineStr">
        <is>
          <t>2.1 SOL</t>
        </is>
      </c>
      <c r="F12" s="7" t="inlineStr">
        <is>
          <t>0.0 SOL</t>
        </is>
      </c>
      <c r="G12" s="7" t="inlineStr">
        <is>
          <t>-4.9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44.0K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Aspen</t>
        </is>
      </c>
      <c r="B20" s="17" t="n">
        <v>44387448</v>
      </c>
      <c r="C20" s="17" t="n">
        <v>44387447</v>
      </c>
      <c r="D20" s="17" t="inlineStr">
        <is>
          <t>0.000150</t>
        </is>
      </c>
      <c r="E20" s="17" t="inlineStr">
        <is>
          <t>2.025 SOL</t>
        </is>
      </c>
      <c r="F20" s="17" t="inlineStr">
        <is>
          <t>4.997 SOL</t>
        </is>
      </c>
      <c r="G20" s="24" t="inlineStr">
        <is>
          <t>2.971 SOL</t>
        </is>
      </c>
      <c r="H20" s="24" t="inlineStr">
        <is>
          <t>146.72%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16:37:56</t>
        </is>
      </c>
      <c r="M20" s="19" t="inlineStr">
        <is>
          <t>52 sec</t>
        </is>
      </c>
      <c r="N20" s="17" t="inlineStr">
        <is>
          <t xml:space="preserve">          9K            19K             4K</t>
        </is>
      </c>
      <c r="O20" s="17" t="inlineStr">
        <is>
          <t>B8V1VEFZp1GHTGM4D8zJTFWM8g6mofJRrK2JSUZepump</t>
        </is>
      </c>
      <c r="P20" s="17">
        <f>HYPERLINK("https://photon-sol.tinyastro.io/en/lp/B8V1VEFZp1GHTGM4D8zJTFWM8g6mofJRrK2JSUZepump?handle=676050794bc1b1657a56b", "View")</f>
        <v/>
      </c>
    </row>
    <row r="21">
      <c r="A21" s="20" t="inlineStr">
        <is>
          <t>dwf_rapist</t>
        </is>
      </c>
      <c r="B21" s="21" t="n">
        <v>19951714</v>
      </c>
      <c r="C21" s="21" t="n">
        <v>0</v>
      </c>
      <c r="D21" s="21" t="inlineStr">
        <is>
          <t>0.000020</t>
        </is>
      </c>
      <c r="E21" s="21" t="inlineStr">
        <is>
          <t>4.917 SOL</t>
        </is>
      </c>
      <c r="F21" s="21" t="inlineStr">
        <is>
          <t>0.000 SOL</t>
        </is>
      </c>
      <c r="G21" s="18" t="inlineStr">
        <is>
          <t>-4.917 SOL</t>
        </is>
      </c>
      <c r="H21" s="18" t="inlineStr">
        <is>
          <t>0.00%</t>
        </is>
      </c>
      <c r="I21" s="21" t="inlineStr">
        <is>
          <t>19,951,714</t>
        </is>
      </c>
      <c r="J21" s="21" t="n">
        <v>1</v>
      </c>
      <c r="K21" s="21" t="n">
        <v>0</v>
      </c>
      <c r="L21" s="21" t="inlineStr">
        <is>
          <t>30.10.2024 16:09:31</t>
        </is>
      </c>
      <c r="M21" s="19" t="inlineStr">
        <is>
          <t>0 sec</t>
        </is>
      </c>
      <c r="N21" s="21" t="inlineStr">
        <is>
          <t xml:space="preserve">         44K            44K            24K</t>
        </is>
      </c>
      <c r="O21" s="21" t="inlineStr">
        <is>
          <t>31i89o54vwDmsFTGuTVUcgkRntiJfz9znRnyG7P3pump</t>
        </is>
      </c>
      <c r="P21" s="21">
        <f>HYPERLINK("https://photon-sol.tinyastro.io/en/lp/31i89o54vwDmsFTGuTVUcgkRntiJfz9znRnyG7P3pump?handle=676050794bc1b1657a56b", "View")</f>
        <v/>
      </c>
    </row>
    <row r="22">
      <c r="A22" s="16" t="inlineStr">
        <is>
          <t>SAKUNA</t>
        </is>
      </c>
      <c r="B22" s="17" t="n">
        <v>8665223</v>
      </c>
      <c r="C22" s="17" t="n">
        <v>8665223</v>
      </c>
      <c r="D22" s="17" t="inlineStr">
        <is>
          <t>0.001620</t>
        </is>
      </c>
      <c r="E22" s="17" t="inlineStr">
        <is>
          <t>7.000 SOL</t>
        </is>
      </c>
      <c r="F22" s="17" t="inlineStr">
        <is>
          <t>12.130 SOL</t>
        </is>
      </c>
      <c r="G22" s="24" t="inlineStr">
        <is>
          <t>5.128 SOL</t>
        </is>
      </c>
      <c r="H22" s="24" t="inlineStr">
        <is>
          <t>73.25%</t>
        </is>
      </c>
      <c r="I22" s="17" t="inlineStr">
        <is>
          <t>N/A</t>
        </is>
      </c>
      <c r="J22" s="17" t="n">
        <v>1</v>
      </c>
      <c r="K22" s="17" t="n">
        <v>2</v>
      </c>
      <c r="L22" s="17" t="inlineStr">
        <is>
          <t>29.10.2024 21:27:00</t>
        </is>
      </c>
      <c r="M22" s="17" t="inlineStr">
        <is>
          <t>8 min</t>
        </is>
      </c>
      <c r="N22" s="17" t="inlineStr">
        <is>
          <t xml:space="preserve">        137K           255K            45K</t>
        </is>
      </c>
      <c r="O22" s="17" t="inlineStr">
        <is>
          <t>GxQoXUBMwPbJm46vcWV59in6QAzGDufYug6D56Jopump</t>
        </is>
      </c>
      <c r="P22" s="17">
        <f>HYPERLINK("https://dexscreener.com/solana/GxQoXUBMwPbJm46vcWV59in6QAzGDufYug6D56Jopump", "View")</f>
        <v/>
      </c>
    </row>
    <row r="23">
      <c r="A23" s="20" t="inlineStr">
        <is>
          <t>MemesAI</t>
        </is>
      </c>
      <c r="B23" s="21" t="n">
        <v>2328797</v>
      </c>
      <c r="C23" s="21" t="n">
        <v>1348194</v>
      </c>
      <c r="D23" s="21" t="inlineStr">
        <is>
          <t>0.002100</t>
        </is>
      </c>
      <c r="E23" s="21" t="inlineStr">
        <is>
          <t>25.000 SOL</t>
        </is>
      </c>
      <c r="F23" s="21" t="inlineStr">
        <is>
          <t>84.551 SOL</t>
        </is>
      </c>
      <c r="G23" s="24" t="inlineStr">
        <is>
          <t>59.549 SOL</t>
        </is>
      </c>
      <c r="H23" s="24" t="inlineStr">
        <is>
          <t>238.18%</t>
        </is>
      </c>
      <c r="I23" s="21" t="inlineStr">
        <is>
          <t>N/A</t>
        </is>
      </c>
      <c r="J23" s="21" t="n">
        <v>2</v>
      </c>
      <c r="K23" s="21" t="n">
        <v>4</v>
      </c>
      <c r="L23" s="21" t="inlineStr">
        <is>
          <t>24.10.2024 00:38:09</t>
        </is>
      </c>
      <c r="M23" s="21" t="inlineStr">
        <is>
          <t>11 hours</t>
        </is>
      </c>
      <c r="N23" s="21" t="inlineStr">
        <is>
          <t xml:space="preserve">          2M             9M            13M</t>
        </is>
      </c>
      <c r="O23" s="21" t="inlineStr">
        <is>
          <t>39qibQxVzemuZTEvjSB7NePhw9WyyHdQCqP8xmBMpump</t>
        </is>
      </c>
      <c r="P23" s="21">
        <f>HYPERLINK("https://dexscreener.com/solana/39qibQxVzemuZTEvjSB7NePhw9WyyHdQCqP8xmBMpump", "View")</f>
        <v/>
      </c>
    </row>
    <row r="24">
      <c r="A24" s="16" t="inlineStr">
        <is>
          <t>ston</t>
        </is>
      </c>
      <c r="B24" s="17" t="n">
        <v>26307855</v>
      </c>
      <c r="C24" s="17" t="n">
        <v>26307854</v>
      </c>
      <c r="D24" s="17" t="inlineStr">
        <is>
          <t>0.000030</t>
        </is>
      </c>
      <c r="E24" s="17" t="inlineStr">
        <is>
          <t>5.055 SOL</t>
        </is>
      </c>
      <c r="F24" s="17" t="inlineStr">
        <is>
          <t>7.141 SOL</t>
        </is>
      </c>
      <c r="G24" s="22" t="inlineStr">
        <is>
          <t>2.086 SOL</t>
        </is>
      </c>
      <c r="H24" s="22" t="inlineStr">
        <is>
          <t>41.27%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20.10.2024 02:52:59</t>
        </is>
      </c>
      <c r="M24" s="17" t="inlineStr">
        <is>
          <t>9 min</t>
        </is>
      </c>
      <c r="N24" s="17" t="inlineStr">
        <is>
          <t xml:space="preserve">         33K            47K             6K</t>
        </is>
      </c>
      <c r="O24" s="17" t="inlineStr">
        <is>
          <t>3RtNJqfL56PhHn8q4hfrfCop9rKmLrVjCdvBRkxspump</t>
        </is>
      </c>
      <c r="P24" s="17">
        <f>HYPERLINK("https://photon-sol.tinyastro.io/en/lp/3RtNJqfL56PhHn8q4hfrfCop9rKmLrVjCdvBRkxspump?handle=676050794bc1b1657a56b", "View")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8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HYPERLINK("https://gmgn.ai/sol/address/4DzbUe9RJ254JPVnknx6uLvXzJZhRgYeB3bER1HmDvk2", "GMGN")</f>
        <v/>
      </c>
    </row>
    <row r="2">
      <c r="A2" s="3" t="inlineStr">
        <is>
          <t>4DzbUe9RJ254JPVnknx6uLvXzJZhRgYeB3bER1HmDvk2</t>
        </is>
      </c>
      <c r="B2" s="3" t="inlineStr">
        <is>
          <t>45.85 SOL</t>
        </is>
      </c>
      <c r="C2" s="3" t="inlineStr">
        <is>
          <t>4%</t>
        </is>
      </c>
      <c r="D2" s="3" t="inlineStr">
        <is>
          <t>-56%</t>
        </is>
      </c>
      <c r="E2" s="3" t="inlineStr">
        <is>
          <t>-352.03 SOL</t>
        </is>
      </c>
      <c r="F2" s="3" t="inlineStr">
        <is>
          <t>0 (0%)</t>
        </is>
      </c>
      <c r="G2" s="3" t="inlineStr">
        <is>
          <t>0 (0%)</t>
        </is>
      </c>
      <c r="H2" s="3" t="n">
        <v>162</v>
      </c>
      <c r="I2" s="3" t="n">
        <v>39</v>
      </c>
      <c r="J2" s="3" t="inlineStr">
        <is>
          <t>13 days</t>
        </is>
      </c>
      <c r="K2" s="3" t="inlineStr">
        <is>
          <t>51 min</t>
        </is>
      </c>
      <c r="L2" s="3" t="n">
        <v>27</v>
      </c>
      <c r="M2" s="3" t="n">
        <v>69</v>
      </c>
      <c r="N2" s="3">
        <f>HYPERLINK("https://solscan.io/account/4DzbUe9RJ254JPVnknx6uLvXzJZhRgYeB3bER1HmDvk2", "Solscan")</f>
        <v/>
      </c>
    </row>
    <row r="3">
      <c r="A3" s="7" t="inlineStr">
        <is>
          <t>Median ROI</t>
        </is>
      </c>
      <c r="B3" s="5" t="inlineStr">
        <is>
          <t>-100.00%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HYPERLINK("https://birdeye.so/profile/4DzbUe9RJ254JPVnknx6uLvXzJZhRgYeB3bER1HmDvk2", "Birdeye")</f>
        <v/>
      </c>
    </row>
    <row r="4">
      <c r="A4" s="7" t="inlineStr">
        <is>
          <t>Rockets percent</t>
        </is>
      </c>
      <c r="B4" s="3" t="inlineStr">
        <is>
          <t>3%</t>
        </is>
      </c>
      <c r="C4" s="3" t="inlineStr"/>
      <c r="D4" s="3" t="inlineStr">
        <is>
          <t>37%</t>
        </is>
      </c>
      <c r="E4" s="3" t="inlineStr">
        <is>
          <t>234.06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14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3</v>
      </c>
      <c r="C10" s="7" t="n">
        <v>2</v>
      </c>
      <c r="D10" s="7" t="n">
        <v>1</v>
      </c>
      <c r="E10" s="7" t="n">
        <v>1</v>
      </c>
      <c r="F10" s="7" t="n">
        <v>3</v>
      </c>
      <c r="G10" s="7" t="n">
        <v>152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1.9%</t>
        </is>
      </c>
      <c r="C11" s="7" t="inlineStr">
        <is>
          <t>1.2%</t>
        </is>
      </c>
      <c r="D11" s="7" t="inlineStr">
        <is>
          <t>0.6%</t>
        </is>
      </c>
      <c r="E11" s="7" t="inlineStr">
        <is>
          <t>0.6%</t>
        </is>
      </c>
      <c r="F11" s="7" t="inlineStr">
        <is>
          <t>1.9%</t>
        </is>
      </c>
      <c r="G11" s="7" t="inlineStr">
        <is>
          <t>93.8%</t>
        </is>
      </c>
      <c r="H11" s="3" t="n"/>
      <c r="I11" s="3" t="inlineStr">
        <is>
          <t>5k-30k</t>
        </is>
      </c>
      <c r="J11" s="3" t="inlineStr">
        <is>
          <t>29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181.3 SOL</t>
        </is>
      </c>
      <c r="C12" s="7" t="inlineStr">
        <is>
          <t>26.5 SOL</t>
        </is>
      </c>
      <c r="D12" s="7" t="inlineStr">
        <is>
          <t>8.8 SOL</t>
        </is>
      </c>
      <c r="E12" s="7" t="inlineStr">
        <is>
          <t>0.5 SOL</t>
        </is>
      </c>
      <c r="F12" s="7" t="inlineStr">
        <is>
          <t>-5.9 SOL</t>
        </is>
      </c>
      <c r="G12" s="7" t="inlineStr">
        <is>
          <t>-563.1 SOL</t>
        </is>
      </c>
      <c r="H12" s="3" t="n"/>
      <c r="I12" s="3" t="inlineStr">
        <is>
          <t>30k-100k</t>
        </is>
      </c>
      <c r="J12" s="3" t="inlineStr">
        <is>
          <t>45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48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105.5K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tee_hee_he</t>
        </is>
      </c>
      <c r="B20" s="17" t="n">
        <v>7244873</v>
      </c>
      <c r="C20" s="17" t="n">
        <v>0</v>
      </c>
      <c r="D20" s="17" t="inlineStr">
        <is>
          <t>0.000060</t>
        </is>
      </c>
      <c r="E20" s="17" t="inlineStr">
        <is>
          <t>5.000 SOL</t>
        </is>
      </c>
      <c r="F20" s="17" t="inlineStr">
        <is>
          <t>0.000 SOL</t>
        </is>
      </c>
      <c r="G20" s="18" t="inlineStr">
        <is>
          <t>-5.000 SOL</t>
        </is>
      </c>
      <c r="H20" s="18" t="inlineStr">
        <is>
          <t>0.00%</t>
        </is>
      </c>
      <c r="I20" s="17" t="inlineStr">
        <is>
          <t>7,244,873</t>
        </is>
      </c>
      <c r="J20" s="17" t="n">
        <v>1</v>
      </c>
      <c r="K20" s="17" t="n">
        <v>0</v>
      </c>
      <c r="L20" s="17" t="inlineStr">
        <is>
          <t>30.10.2024 05:32:00</t>
        </is>
      </c>
      <c r="M20" s="19" t="inlineStr">
        <is>
          <t>0 sec</t>
        </is>
      </c>
      <c r="N20" s="17" t="inlineStr">
        <is>
          <t xml:space="preserve">        121K           121K            14K</t>
        </is>
      </c>
      <c r="O20" s="17" t="inlineStr">
        <is>
          <t>HAhiXodNYcpQU2EvvxdUpkP3EdbDpZiP4G3jrGeFmKhZ</t>
        </is>
      </c>
      <c r="P20" s="17">
        <f>HYPERLINK("https://dexscreener.com/solana/HAhiXodNYcpQU2EvvxdUpkP3EdbDpZiP4G3jrGeFmKhZ", "View")</f>
        <v/>
      </c>
    </row>
    <row r="21">
      <c r="A21" s="20" t="inlineStr">
        <is>
          <t>MK</t>
        </is>
      </c>
      <c r="B21" s="21" t="n">
        <v>9741663</v>
      </c>
      <c r="C21" s="21" t="n">
        <v>0</v>
      </c>
      <c r="D21" s="21" t="inlineStr">
        <is>
          <t>0.000060</t>
        </is>
      </c>
      <c r="E21" s="21" t="inlineStr">
        <is>
          <t>4.000 SOL</t>
        </is>
      </c>
      <c r="F21" s="21" t="inlineStr">
        <is>
          <t>0.000 SOL</t>
        </is>
      </c>
      <c r="G21" s="18" t="inlineStr">
        <is>
          <t>-4.000 SOL</t>
        </is>
      </c>
      <c r="H21" s="18" t="inlineStr">
        <is>
          <t>0.00%</t>
        </is>
      </c>
      <c r="I21" s="21" t="inlineStr">
        <is>
          <t>9,741,663</t>
        </is>
      </c>
      <c r="J21" s="21" t="n">
        <v>1</v>
      </c>
      <c r="K21" s="21" t="n">
        <v>0</v>
      </c>
      <c r="L21" s="21" t="inlineStr">
        <is>
          <t>30.10.2024 00:01:38</t>
        </is>
      </c>
      <c r="M21" s="19" t="inlineStr">
        <is>
          <t>0 sec</t>
        </is>
      </c>
      <c r="N21" s="21" t="inlineStr">
        <is>
          <t xml:space="preserve">         72K            72K             8K</t>
        </is>
      </c>
      <c r="O21" s="21" t="inlineStr">
        <is>
          <t>36FN7NGmULKqSy4PoSRUBFQ7XBVxNMmWLhXohKmypump</t>
        </is>
      </c>
      <c r="P21" s="21">
        <f>HYPERLINK("https://dexscreener.com/solana/36FN7NGmULKqSy4PoSRUBFQ7XBVxNMmWLhXohKmypump", "View")</f>
        <v/>
      </c>
    </row>
    <row r="22">
      <c r="A22" s="16" t="inlineStr">
        <is>
          <t>SHIT</t>
        </is>
      </c>
      <c r="B22" s="17" t="n">
        <v>4617605</v>
      </c>
      <c r="C22" s="17" t="n">
        <v>0</v>
      </c>
      <c r="D22" s="17" t="inlineStr">
        <is>
          <t>0.000160</t>
        </is>
      </c>
      <c r="E22" s="17" t="inlineStr">
        <is>
          <t>6.000 SOL</t>
        </is>
      </c>
      <c r="F22" s="17" t="inlineStr">
        <is>
          <t>0.000 SOL</t>
        </is>
      </c>
      <c r="G22" s="18" t="inlineStr">
        <is>
          <t>-6.000 SOL</t>
        </is>
      </c>
      <c r="H22" s="18" t="inlineStr">
        <is>
          <t>0.00%</t>
        </is>
      </c>
      <c r="I22" s="17" t="inlineStr">
        <is>
          <t>4,617,605</t>
        </is>
      </c>
      <c r="J22" s="17" t="n">
        <v>3</v>
      </c>
      <c r="K22" s="17" t="n">
        <v>0</v>
      </c>
      <c r="L22" s="17" t="inlineStr">
        <is>
          <t>29.10.2024 19:00:04</t>
        </is>
      </c>
      <c r="M22" s="17" t="inlineStr">
        <is>
          <t>8 min</t>
        </is>
      </c>
      <c r="N22" s="17" t="inlineStr">
        <is>
          <t xml:space="preserve">        369K           162K            12K</t>
        </is>
      </c>
      <c r="O22" s="17" t="inlineStr">
        <is>
          <t>EYzLaZ7Xqtg96wSvs3G2vU96JoVQTtsdAKZx6kXGNrXq</t>
        </is>
      </c>
      <c r="P22" s="17">
        <f>HYPERLINK("https://dexscreener.com/solana/EYzLaZ7Xqtg96wSvs3G2vU96JoVQTtsdAKZx6kXGNrXq", "View")</f>
        <v/>
      </c>
    </row>
    <row r="23">
      <c r="A23" s="20" t="inlineStr">
        <is>
          <t>frank</t>
        </is>
      </c>
      <c r="B23" s="21" t="n">
        <v>418116</v>
      </c>
      <c r="C23" s="21" t="n">
        <v>0</v>
      </c>
      <c r="D23" s="21" t="inlineStr">
        <is>
          <t>0.000110</t>
        </is>
      </c>
      <c r="E23" s="21" t="inlineStr">
        <is>
          <t>6.000 SOL</t>
        </is>
      </c>
      <c r="F23" s="21" t="inlineStr">
        <is>
          <t>0.000 SOL</t>
        </is>
      </c>
      <c r="G23" s="18" t="inlineStr">
        <is>
          <t>-6.000 SOL</t>
        </is>
      </c>
      <c r="H23" s="18" t="inlineStr">
        <is>
          <t>0.00%</t>
        </is>
      </c>
      <c r="I23" s="21" t="inlineStr">
        <is>
          <t>418,116</t>
        </is>
      </c>
      <c r="J23" s="21" t="n">
        <v>2</v>
      </c>
      <c r="K23" s="21" t="n">
        <v>0</v>
      </c>
      <c r="L23" s="21" t="inlineStr">
        <is>
          <t>29.10.2024 18:57:31</t>
        </is>
      </c>
      <c r="M23" s="19" t="inlineStr">
        <is>
          <t>13 sec</t>
        </is>
      </c>
      <c r="N23" s="21" t="inlineStr">
        <is>
          <t xml:space="preserve">          3M             2M             3M</t>
        </is>
      </c>
      <c r="O23" s="21" t="inlineStr">
        <is>
          <t>AYhFJk9ZyKN5aCRwrG78iTvuxnrrLp5q4fGfyBM7pump</t>
        </is>
      </c>
      <c r="P23" s="21">
        <f>HYPERLINK("https://dexscreener.com/solana/AYhFJk9ZyKN5aCRwrG78iTvuxnrrLp5q4fGfyBM7pump", "View")</f>
        <v/>
      </c>
    </row>
    <row r="24">
      <c r="A24" s="16" t="inlineStr">
        <is>
          <t>EDGING</t>
        </is>
      </c>
      <c r="B24" s="17" t="n">
        <v>15665695</v>
      </c>
      <c r="C24" s="17" t="n">
        <v>0</v>
      </c>
      <c r="D24" s="17" t="inlineStr">
        <is>
          <t>0.000060</t>
        </is>
      </c>
      <c r="E24" s="17" t="inlineStr">
        <is>
          <t>4.000 SOL</t>
        </is>
      </c>
      <c r="F24" s="17" t="inlineStr">
        <is>
          <t>0.000 SOL</t>
        </is>
      </c>
      <c r="G24" s="18" t="inlineStr">
        <is>
          <t>-4.000 SOL</t>
        </is>
      </c>
      <c r="H24" s="18" t="inlineStr">
        <is>
          <t>0.00%</t>
        </is>
      </c>
      <c r="I24" s="17" t="inlineStr">
        <is>
          <t>15,665,695</t>
        </is>
      </c>
      <c r="J24" s="17" t="n">
        <v>1</v>
      </c>
      <c r="K24" s="17" t="n">
        <v>0</v>
      </c>
      <c r="L24" s="17" t="inlineStr">
        <is>
          <t>29.10.2024 18:52:31</t>
        </is>
      </c>
      <c r="M24" s="19" t="inlineStr">
        <is>
          <t>0 sec</t>
        </is>
      </c>
      <c r="N24" s="17" t="inlineStr">
        <is>
          <t xml:space="preserve">         41K            41K            44K</t>
        </is>
      </c>
      <c r="O24" s="17" t="inlineStr">
        <is>
          <t>CTFUdw7GKfHesysSsTr6TCy7WNiszAwXduhoLTtF9PZP</t>
        </is>
      </c>
      <c r="P24" s="17">
        <f>HYPERLINK("https://dexscreener.com/solana/CTFUdw7GKfHesysSsTr6TCy7WNiszAwXduhoLTtF9PZP", "View")</f>
        <v/>
      </c>
    </row>
    <row r="25">
      <c r="A25" s="20" t="inlineStr">
        <is>
          <t>MOGGER</t>
        </is>
      </c>
      <c r="B25" s="21" t="n">
        <v>5319850</v>
      </c>
      <c r="C25" s="21" t="n">
        <v>0</v>
      </c>
      <c r="D25" s="21" t="inlineStr">
        <is>
          <t>0.000110</t>
        </is>
      </c>
      <c r="E25" s="21" t="inlineStr">
        <is>
          <t>4.000 SOL</t>
        </is>
      </c>
      <c r="F25" s="21" t="inlineStr">
        <is>
          <t>0.000 SOL</t>
        </is>
      </c>
      <c r="G25" s="18" t="inlineStr">
        <is>
          <t>-4.000 SOL</t>
        </is>
      </c>
      <c r="H25" s="18" t="inlineStr">
        <is>
          <t>0.00%</t>
        </is>
      </c>
      <c r="I25" s="21" t="inlineStr">
        <is>
          <t>5,319,850</t>
        </is>
      </c>
      <c r="J25" s="21" t="n">
        <v>2</v>
      </c>
      <c r="K25" s="21" t="n">
        <v>0</v>
      </c>
      <c r="L25" s="21" t="inlineStr">
        <is>
          <t>29.10.2024 18:48:20</t>
        </is>
      </c>
      <c r="M25" s="21" t="inlineStr">
        <is>
          <t>6 min</t>
        </is>
      </c>
      <c r="N25" s="21" t="inlineStr">
        <is>
          <t xml:space="preserve">        179K           105K            12K</t>
        </is>
      </c>
      <c r="O25" s="21" t="inlineStr">
        <is>
          <t>7WZzc9gh1gDW51zKT9Qso2hPUzwuporXqdbGQgtH2FqP</t>
        </is>
      </c>
      <c r="P25" s="21">
        <f>HYPERLINK("https://dexscreener.com/solana/7WZzc9gh1gDW51zKT9Qso2hPUzwuporXqdbGQgtH2FqP", "View")</f>
        <v/>
      </c>
    </row>
    <row r="26">
      <c r="A26" s="16" t="inlineStr">
        <is>
          <t>$FF</t>
        </is>
      </c>
      <c r="B26" s="17" t="n">
        <v>260938</v>
      </c>
      <c r="C26" s="17" t="n">
        <v>0</v>
      </c>
      <c r="D26" s="17" t="inlineStr">
        <is>
          <t>0.000110</t>
        </is>
      </c>
      <c r="E26" s="17" t="inlineStr">
        <is>
          <t>4.000 SOL</t>
        </is>
      </c>
      <c r="F26" s="17" t="inlineStr">
        <is>
          <t>0.000 SOL</t>
        </is>
      </c>
      <c r="G26" s="18" t="inlineStr">
        <is>
          <t>-4.000 SOL</t>
        </is>
      </c>
      <c r="H26" s="18" t="inlineStr">
        <is>
          <t>0.00%</t>
        </is>
      </c>
      <c r="I26" s="17" t="inlineStr">
        <is>
          <t>260,938</t>
        </is>
      </c>
      <c r="J26" s="17" t="n">
        <v>2</v>
      </c>
      <c r="K26" s="17" t="n">
        <v>0</v>
      </c>
      <c r="L26" s="17" t="inlineStr">
        <is>
          <t>29.10.2024 18:47:57</t>
        </is>
      </c>
      <c r="M26" s="17" t="inlineStr">
        <is>
          <t>9 min</t>
        </is>
      </c>
      <c r="N26" s="17" t="inlineStr">
        <is>
          <t xml:space="preserve">          2M             3M           647K</t>
        </is>
      </c>
      <c r="O26" s="17" t="inlineStr">
        <is>
          <t>DqWbfzoFmZPrrQP7MdqYvwZbCkBNu2fSSaJqUrqEVYyX</t>
        </is>
      </c>
      <c r="P26" s="17">
        <f>HYPERLINK("https://dexscreener.com/solana/DqWbfzoFmZPrrQP7MdqYvwZbCkBNu2fSSaJqUrqEVYyX", "View")</f>
        <v/>
      </c>
    </row>
    <row r="27">
      <c r="A27" s="20" t="inlineStr">
        <is>
          <t>ORANG</t>
        </is>
      </c>
      <c r="B27" s="21" t="n">
        <v>2586811880</v>
      </c>
      <c r="C27" s="21" t="n">
        <v>0</v>
      </c>
      <c r="D27" s="21" t="inlineStr">
        <is>
          <t>0.000060</t>
        </is>
      </c>
      <c r="E27" s="21" t="inlineStr">
        <is>
          <t>2.000 SOL</t>
        </is>
      </c>
      <c r="F27" s="21" t="inlineStr">
        <is>
          <t>0.000 SOL</t>
        </is>
      </c>
      <c r="G27" s="18" t="inlineStr">
        <is>
          <t>-2.000 SOL</t>
        </is>
      </c>
      <c r="H27" s="18" t="inlineStr">
        <is>
          <t>0.00%</t>
        </is>
      </c>
      <c r="I27" s="21" t="inlineStr">
        <is>
          <t>2,586,811,880</t>
        </is>
      </c>
      <c r="J27" s="21" t="n">
        <v>1</v>
      </c>
      <c r="K27" s="21" t="n">
        <v>0</v>
      </c>
      <c r="L27" s="21" t="inlineStr">
        <is>
          <t>29.10.2024 18:22:32</t>
        </is>
      </c>
      <c r="M27" s="19" t="inlineStr">
        <is>
          <t>0 sec</t>
        </is>
      </c>
      <c r="N27" s="21" t="inlineStr">
        <is>
          <t xml:space="preserve">        N/A           N/A            53K</t>
        </is>
      </c>
      <c r="O27" s="21" t="inlineStr">
        <is>
          <t>J8UjmiSJASyKLTgwcvB6kTZyF9xDkvBEmU8yyNr12oh9</t>
        </is>
      </c>
      <c r="P27" s="21">
        <f>HYPERLINK("https://dexscreener.com/solana/J8UjmiSJASyKLTgwcvB6kTZyF9xDkvBEmU8yyNr12oh9", "View")</f>
        <v/>
      </c>
    </row>
    <row r="28">
      <c r="A28" s="16" t="inlineStr">
        <is>
          <t>LSD</t>
        </is>
      </c>
      <c r="B28" s="17" t="n">
        <v>8572540</v>
      </c>
      <c r="C28" s="17" t="n">
        <v>0</v>
      </c>
      <c r="D28" s="17" t="inlineStr">
        <is>
          <t>0.000060</t>
        </is>
      </c>
      <c r="E28" s="17" t="inlineStr">
        <is>
          <t>1.056 SOL</t>
        </is>
      </c>
      <c r="F28" s="17" t="inlineStr">
        <is>
          <t>0.000 SOL</t>
        </is>
      </c>
      <c r="G28" s="18" t="inlineStr">
        <is>
          <t>-1.056 SOL</t>
        </is>
      </c>
      <c r="H28" s="18" t="inlineStr">
        <is>
          <t>0.00%</t>
        </is>
      </c>
      <c r="I28" s="17" t="inlineStr">
        <is>
          <t>8,572,540</t>
        </is>
      </c>
      <c r="J28" s="17" t="n">
        <v>1</v>
      </c>
      <c r="K28" s="17" t="n">
        <v>0</v>
      </c>
      <c r="L28" s="17" t="inlineStr">
        <is>
          <t>29.10.2024 17:21:21</t>
        </is>
      </c>
      <c r="M28" s="19" t="inlineStr">
        <is>
          <t>0 sec</t>
        </is>
      </c>
      <c r="N28" s="17" t="inlineStr">
        <is>
          <t xml:space="preserve">         21K            21K             8K</t>
        </is>
      </c>
      <c r="O28" s="17" t="inlineStr">
        <is>
          <t>DsPbs8hMR74nFk7HmenvvFxSj8iiekT5wLwZ5672pump</t>
        </is>
      </c>
      <c r="P28" s="17">
        <f>HYPERLINK("https://photon-sol.tinyastro.io/en/lp/DsPbs8hMR74nFk7HmenvvFxSj8iiekT5wLwZ5672pump?handle=676050794bc1b1657a56b", "View")</f>
        <v/>
      </c>
    </row>
    <row r="29">
      <c r="A29" s="20" t="inlineStr">
        <is>
          <t>Jingtao</t>
        </is>
      </c>
      <c r="B29" s="21" t="n">
        <v>3699907</v>
      </c>
      <c r="C29" s="21" t="n">
        <v>0</v>
      </c>
      <c r="D29" s="21" t="inlineStr">
        <is>
          <t>0.000060</t>
        </is>
      </c>
      <c r="E29" s="21" t="inlineStr">
        <is>
          <t>2.000 SOL</t>
        </is>
      </c>
      <c r="F29" s="21" t="inlineStr">
        <is>
          <t>0.000 SOL</t>
        </is>
      </c>
      <c r="G29" s="18" t="inlineStr">
        <is>
          <t>-2.000 SOL</t>
        </is>
      </c>
      <c r="H29" s="18" t="inlineStr">
        <is>
          <t>0.00%</t>
        </is>
      </c>
      <c r="I29" s="21" t="inlineStr">
        <is>
          <t>3,699,907</t>
        </is>
      </c>
      <c r="J29" s="21" t="n">
        <v>1</v>
      </c>
      <c r="K29" s="21" t="n">
        <v>0</v>
      </c>
      <c r="L29" s="21" t="inlineStr">
        <is>
          <t>29.10.2024 17:07:06</t>
        </is>
      </c>
      <c r="M29" s="19" t="inlineStr">
        <is>
          <t>0 sec</t>
        </is>
      </c>
      <c r="N29" s="21" t="inlineStr">
        <is>
          <t xml:space="preserve">         95K            95K             9K</t>
        </is>
      </c>
      <c r="O29" s="21" t="inlineStr">
        <is>
          <t>3AYpsSfxEeFyEUGJpzfrFTThJkJFS7iDZrWJ3riupump</t>
        </is>
      </c>
      <c r="P29" s="21">
        <f>HYPERLINK("https://dexscreener.com/solana/3AYpsSfxEeFyEUGJpzfrFTThJkJFS7iDZrWJ3riupump", "View")</f>
        <v/>
      </c>
    </row>
    <row r="30">
      <c r="A30" s="16" t="inlineStr">
        <is>
          <t>holy shit</t>
        </is>
      </c>
      <c r="B30" s="17" t="n">
        <v>6022404</v>
      </c>
      <c r="C30" s="17" t="n">
        <v>0</v>
      </c>
      <c r="D30" s="17" t="inlineStr">
        <is>
          <t>0.000220</t>
        </is>
      </c>
      <c r="E30" s="17" t="inlineStr">
        <is>
          <t>10.000 SOL</t>
        </is>
      </c>
      <c r="F30" s="17" t="inlineStr">
        <is>
          <t>0.000 SOL</t>
        </is>
      </c>
      <c r="G30" s="18" t="inlineStr">
        <is>
          <t>-10.000 SOL</t>
        </is>
      </c>
      <c r="H30" s="18" t="inlineStr">
        <is>
          <t>0.00%</t>
        </is>
      </c>
      <c r="I30" s="17" t="inlineStr">
        <is>
          <t>6,022,404</t>
        </is>
      </c>
      <c r="J30" s="17" t="n">
        <v>4</v>
      </c>
      <c r="K30" s="17" t="n">
        <v>0</v>
      </c>
      <c r="L30" s="17" t="inlineStr">
        <is>
          <t>29.10.2024 17:04:50</t>
        </is>
      </c>
      <c r="M30" s="17" t="inlineStr">
        <is>
          <t>2 min</t>
        </is>
      </c>
      <c r="N30" s="17" t="inlineStr">
        <is>
          <t xml:space="preserve">        202K           514K             8K</t>
        </is>
      </c>
      <c r="O30" s="17" t="inlineStr">
        <is>
          <t>6iB7vcB6bcB5BGVf2gFXTvH2DfUeCiaT4FE9VYBQpump</t>
        </is>
      </c>
      <c r="P30" s="17">
        <f>HYPERLINK("https://dexscreener.com/solana/6iB7vcB6bcB5BGVf2gFXTvH2DfUeCiaT4FE9VYBQpump", "View")</f>
        <v/>
      </c>
    </row>
    <row r="31">
      <c r="A31" s="20" t="inlineStr">
        <is>
          <t>KWIF</t>
        </is>
      </c>
      <c r="B31" s="21" t="n">
        <v>5041967</v>
      </c>
      <c r="C31" s="21" t="n">
        <v>1097992</v>
      </c>
      <c r="D31" s="21" t="inlineStr">
        <is>
          <t>0.000270</t>
        </is>
      </c>
      <c r="E31" s="21" t="inlineStr">
        <is>
          <t>15.000 SOL</t>
        </is>
      </c>
      <c r="F31" s="21" t="inlineStr">
        <is>
          <t>23.768 SOL</t>
        </is>
      </c>
      <c r="G31" s="24" t="inlineStr">
        <is>
          <t>8.768 SOL</t>
        </is>
      </c>
      <c r="H31" s="24" t="inlineStr">
        <is>
          <t>58.45%</t>
        </is>
      </c>
      <c r="I31" s="21" t="inlineStr">
        <is>
          <t>N/A</t>
        </is>
      </c>
      <c r="J31" s="21" t="n">
        <v>2</v>
      </c>
      <c r="K31" s="21" t="n">
        <v>3</v>
      </c>
      <c r="L31" s="21" t="inlineStr">
        <is>
          <t>29.10.2024 17:04:19</t>
        </is>
      </c>
      <c r="M31" s="21" t="inlineStr">
        <is>
          <t>9 days</t>
        </is>
      </c>
      <c r="N31" s="21" t="inlineStr">
        <is>
          <t xml:space="preserve">        277K           931K             1M</t>
        </is>
      </c>
      <c r="O31" s="21" t="inlineStr">
        <is>
          <t>6Rwcmkz9yiYVM5EzyMcr4JsQPGEAWhcUvLvfBperYnUt</t>
        </is>
      </c>
      <c r="P31" s="21">
        <f>HYPERLINK("https://dexscreener.com/solana/6Rwcmkz9yiYVM5EzyMcr4JsQPGEAWhcUvLvfBperYnUt", "View")</f>
        <v/>
      </c>
    </row>
    <row r="32">
      <c r="A32" s="16" t="inlineStr">
        <is>
          <t>INSHALLAH</t>
        </is>
      </c>
      <c r="B32" s="17" t="n">
        <v>3989466</v>
      </c>
      <c r="C32" s="17" t="n">
        <v>0</v>
      </c>
      <c r="D32" s="17" t="inlineStr">
        <is>
          <t>0.000060</t>
        </is>
      </c>
      <c r="E32" s="17" t="inlineStr">
        <is>
          <t>1.000 SOL</t>
        </is>
      </c>
      <c r="F32" s="17" t="inlineStr">
        <is>
          <t>0.000 SOL</t>
        </is>
      </c>
      <c r="G32" s="18" t="inlineStr">
        <is>
          <t>-1.000 SOL</t>
        </is>
      </c>
      <c r="H32" s="18" t="inlineStr">
        <is>
          <t>0.00%</t>
        </is>
      </c>
      <c r="I32" s="17" t="inlineStr">
        <is>
          <t>3,989,466</t>
        </is>
      </c>
      <c r="J32" s="17" t="n">
        <v>1</v>
      </c>
      <c r="K32" s="17" t="n">
        <v>0</v>
      </c>
      <c r="L32" s="17" t="inlineStr">
        <is>
          <t>29.10.2024 04:39:06</t>
        </is>
      </c>
      <c r="M32" s="19" t="inlineStr">
        <is>
          <t>0 sec</t>
        </is>
      </c>
      <c r="N32" s="17" t="inlineStr">
        <is>
          <t xml:space="preserve">          3K             3K             6K</t>
        </is>
      </c>
      <c r="O32" s="17" t="inlineStr">
        <is>
          <t>3sXfwhWq8ndBP97MiEKjb79Zr94Lpq46punboa5475Bx</t>
        </is>
      </c>
      <c r="P32" s="17">
        <f>HYPERLINK("https://dexscreener.com/solana/3sXfwhWq8ndBP97MiEKjb79Zr94Lpq46punboa5475Bx", "View")</f>
        <v/>
      </c>
    </row>
    <row r="33">
      <c r="A33" s="20" t="inlineStr">
        <is>
          <t>pray</t>
        </is>
      </c>
      <c r="B33" s="21" t="n">
        <v>24192772</v>
      </c>
      <c r="C33" s="21" t="n">
        <v>0</v>
      </c>
      <c r="D33" s="21" t="inlineStr">
        <is>
          <t>0.000110</t>
        </is>
      </c>
      <c r="E33" s="21" t="inlineStr">
        <is>
          <t>6.000 SOL</t>
        </is>
      </c>
      <c r="F33" s="21" t="inlineStr">
        <is>
          <t>0.000 SOL</t>
        </is>
      </c>
      <c r="G33" s="18" t="inlineStr">
        <is>
          <t>-6.000 SOL</t>
        </is>
      </c>
      <c r="H33" s="18" t="inlineStr">
        <is>
          <t>0.00%</t>
        </is>
      </c>
      <c r="I33" s="21" t="inlineStr">
        <is>
          <t>24,192,772</t>
        </is>
      </c>
      <c r="J33" s="21" t="n">
        <v>2</v>
      </c>
      <c r="K33" s="21" t="n">
        <v>0</v>
      </c>
      <c r="L33" s="21" t="inlineStr">
        <is>
          <t>29.10.2024 04:37:44</t>
        </is>
      </c>
      <c r="M33" s="21" t="inlineStr">
        <is>
          <t>2 min</t>
        </is>
      </c>
      <c r="N33" s="21" t="inlineStr">
        <is>
          <t xml:space="preserve">         29K            46K           161K</t>
        </is>
      </c>
      <c r="O33" s="21" t="inlineStr">
        <is>
          <t>7ij5esLPHU8zprHAMUHR1Bu8MEJX6cT5hzG1bBEcpump</t>
        </is>
      </c>
      <c r="P33" s="21">
        <f>HYPERLINK("https://dexscreener.com/solana/7ij5esLPHU8zprHAMUHR1Bu8MEJX6cT5hzG1bBEcpump", "View")</f>
        <v/>
      </c>
    </row>
    <row r="34">
      <c r="A34" s="16" t="inlineStr">
        <is>
          <t>TAY</t>
        </is>
      </c>
      <c r="B34" s="17" t="n">
        <v>3100398</v>
      </c>
      <c r="C34" s="17" t="n">
        <v>0</v>
      </c>
      <c r="D34" s="17" t="inlineStr">
        <is>
          <t>0.000110</t>
        </is>
      </c>
      <c r="E34" s="17" t="inlineStr">
        <is>
          <t>7.000 SOL</t>
        </is>
      </c>
      <c r="F34" s="17" t="inlineStr">
        <is>
          <t>0.000 SOL</t>
        </is>
      </c>
      <c r="G34" s="18" t="inlineStr">
        <is>
          <t>-7.000 SOL</t>
        </is>
      </c>
      <c r="H34" s="18" t="inlineStr">
        <is>
          <t>0.00%</t>
        </is>
      </c>
      <c r="I34" s="17" t="inlineStr">
        <is>
          <t>3,100,398</t>
        </is>
      </c>
      <c r="J34" s="17" t="n">
        <v>2</v>
      </c>
      <c r="K34" s="17" t="n">
        <v>0</v>
      </c>
      <c r="L34" s="17" t="inlineStr">
        <is>
          <t>29.10.2024 03:08:37</t>
        </is>
      </c>
      <c r="M34" s="19" t="inlineStr">
        <is>
          <t>28 sec</t>
        </is>
      </c>
      <c r="N34" s="17" t="inlineStr">
        <is>
          <t xml:space="preserve">        369K           409K             7K</t>
        </is>
      </c>
      <c r="O34" s="17" t="inlineStr">
        <is>
          <t>9FyvApf4t4BXhtT35LqHCeX2oewR1tcP2cNBbqkhpump</t>
        </is>
      </c>
      <c r="P34" s="17">
        <f>HYPERLINK("https://dexscreener.com/solana/9FyvApf4t4BXhtT35LqHCeX2oewR1tcP2cNBbqkhpump", "View")</f>
        <v/>
      </c>
    </row>
    <row r="35">
      <c r="A35" s="20" t="inlineStr">
        <is>
          <t>LUNCHLY</t>
        </is>
      </c>
      <c r="B35" s="21" t="n">
        <v>5226867</v>
      </c>
      <c r="C35" s="21" t="n">
        <v>0</v>
      </c>
      <c r="D35" s="21" t="inlineStr">
        <is>
          <t>0.000110</t>
        </is>
      </c>
      <c r="E35" s="21" t="inlineStr">
        <is>
          <t>4.000 SOL</t>
        </is>
      </c>
      <c r="F35" s="21" t="inlineStr">
        <is>
          <t>0.000 SOL</t>
        </is>
      </c>
      <c r="G35" s="18" t="inlineStr">
        <is>
          <t>-4.000 SOL</t>
        </is>
      </c>
      <c r="H35" s="18" t="inlineStr">
        <is>
          <t>0.00%</t>
        </is>
      </c>
      <c r="I35" s="21" t="inlineStr">
        <is>
          <t>5,226,867</t>
        </is>
      </c>
      <c r="J35" s="21" t="n">
        <v>2</v>
      </c>
      <c r="K35" s="21" t="n">
        <v>0</v>
      </c>
      <c r="L35" s="21" t="inlineStr">
        <is>
          <t>29.10.2024 03:03:38</t>
        </is>
      </c>
      <c r="M35" s="19" t="inlineStr">
        <is>
          <t>15 sec</t>
        </is>
      </c>
      <c r="N35" s="21" t="inlineStr">
        <is>
          <t xml:space="preserve">        132K           137K            82K</t>
        </is>
      </c>
      <c r="O35" s="21" t="inlineStr">
        <is>
          <t>nYerK4wiMzsKxwMKM6KbubwSnMPrctTLN87EswRpump</t>
        </is>
      </c>
      <c r="P35" s="21">
        <f>HYPERLINK("https://dexscreener.com/solana/nYerK4wiMzsKxwMKM6KbubwSnMPrctTLN87EswRpump", "View")</f>
        <v/>
      </c>
    </row>
    <row r="36">
      <c r="A36" s="16" t="inlineStr">
        <is>
          <t>𓆉</t>
        </is>
      </c>
      <c r="B36" s="17" t="n">
        <v>5231882</v>
      </c>
      <c r="C36" s="17" t="n">
        <v>0</v>
      </c>
      <c r="D36" s="17" t="inlineStr">
        <is>
          <t>0.000060</t>
        </is>
      </c>
      <c r="E36" s="17" t="inlineStr">
        <is>
          <t>1.043 SOL</t>
        </is>
      </c>
      <c r="F36" s="17" t="inlineStr">
        <is>
          <t>0.000 SOL</t>
        </is>
      </c>
      <c r="G36" s="18" t="inlineStr">
        <is>
          <t>-1.043 SOL</t>
        </is>
      </c>
      <c r="H36" s="18" t="inlineStr">
        <is>
          <t>0.00%</t>
        </is>
      </c>
      <c r="I36" s="17" t="inlineStr">
        <is>
          <t>5,231,882</t>
        </is>
      </c>
      <c r="J36" s="17" t="n">
        <v>1</v>
      </c>
      <c r="K36" s="17" t="n">
        <v>0</v>
      </c>
      <c r="L36" s="17" t="inlineStr">
        <is>
          <t>29.10.2024 01:22:17</t>
        </is>
      </c>
      <c r="M36" s="19" t="inlineStr">
        <is>
          <t>0 sec</t>
        </is>
      </c>
      <c r="N36" s="17" t="inlineStr">
        <is>
          <t xml:space="preserve">         35K            35K             6K</t>
        </is>
      </c>
      <c r="O36" s="17" t="inlineStr">
        <is>
          <t>Ed4JMUsjzMJ2yDasRvzdAZ784NE6WcELzK47WobVpump</t>
        </is>
      </c>
      <c r="P36" s="17">
        <f>HYPERLINK("https://photon-sol.tinyastro.io/en/lp/Ed4JMUsjzMJ2yDasRvzdAZ784NE6WcELzK47WobVpump?handle=676050794bc1b1657a56b", "View")</f>
        <v/>
      </c>
    </row>
    <row r="37">
      <c r="A37" s="20" t="inlineStr">
        <is>
          <t>Santino</t>
        </is>
      </c>
      <c r="B37" s="21" t="n">
        <v>2349104</v>
      </c>
      <c r="C37" s="21" t="n">
        <v>0</v>
      </c>
      <c r="D37" s="21" t="inlineStr">
        <is>
          <t>0.000110</t>
        </is>
      </c>
      <c r="E37" s="21" t="inlineStr">
        <is>
          <t>4.000 SOL</t>
        </is>
      </c>
      <c r="F37" s="21" t="inlineStr">
        <is>
          <t>0.000 SOL</t>
        </is>
      </c>
      <c r="G37" s="18" t="inlineStr">
        <is>
          <t>-4.000 SOL</t>
        </is>
      </c>
      <c r="H37" s="18" t="inlineStr">
        <is>
          <t>0.00%</t>
        </is>
      </c>
      <c r="I37" s="21" t="inlineStr">
        <is>
          <t>2,349,104</t>
        </is>
      </c>
      <c r="J37" s="21" t="n">
        <v>2</v>
      </c>
      <c r="K37" s="21" t="n">
        <v>0</v>
      </c>
      <c r="L37" s="21" t="inlineStr">
        <is>
          <t>29.10.2024 00:31:43</t>
        </is>
      </c>
      <c r="M37" s="21" t="inlineStr">
        <is>
          <t>6 min</t>
        </is>
      </c>
      <c r="N37" s="21" t="inlineStr">
        <is>
          <t xml:space="preserve">        297K           306K           544K</t>
        </is>
      </c>
      <c r="O37" s="21" t="inlineStr">
        <is>
          <t>Fof1DyVSYiQGCnT3uTbmq8kQMPdwL35x1bD82NaTs9mM</t>
        </is>
      </c>
      <c r="P37" s="21">
        <f>HYPERLINK("https://dexscreener.com/solana/Fof1DyVSYiQGCnT3uTbmq8kQMPdwL35x1bD82NaTs9mM", "View")</f>
        <v/>
      </c>
    </row>
    <row r="38">
      <c r="A38" s="16" t="inlineStr">
        <is>
          <t>Xin</t>
        </is>
      </c>
      <c r="B38" s="17" t="n">
        <v>17566233</v>
      </c>
      <c r="C38" s="17" t="n">
        <v>0</v>
      </c>
      <c r="D38" s="17" t="inlineStr">
        <is>
          <t>0.000110</t>
        </is>
      </c>
      <c r="E38" s="17" t="inlineStr">
        <is>
          <t>3.000 SOL</t>
        </is>
      </c>
      <c r="F38" s="17" t="inlineStr">
        <is>
          <t>0.000 SOL</t>
        </is>
      </c>
      <c r="G38" s="18" t="inlineStr">
        <is>
          <t>-3.000 SOL</t>
        </is>
      </c>
      <c r="H38" s="18" t="inlineStr">
        <is>
          <t>0.00%</t>
        </is>
      </c>
      <c r="I38" s="17" t="inlineStr">
        <is>
          <t>17,566,233</t>
        </is>
      </c>
      <c r="J38" s="17" t="n">
        <v>2</v>
      </c>
      <c r="K38" s="17" t="n">
        <v>0</v>
      </c>
      <c r="L38" s="17" t="inlineStr">
        <is>
          <t>29.10.2024 00:21:16</t>
        </is>
      </c>
      <c r="M38" s="17" t="inlineStr">
        <is>
          <t>13 min</t>
        </is>
      </c>
      <c r="N38" s="17" t="inlineStr">
        <is>
          <t xml:space="preserve">         35K            25K            10K</t>
        </is>
      </c>
      <c r="O38" s="17" t="inlineStr">
        <is>
          <t>Bw5oXrdwFH8zmewejTVBa5364qFSyA7kskSg69LZpump</t>
        </is>
      </c>
      <c r="P38" s="17">
        <f>HYPERLINK("https://dexscreener.com/solana/Bw5oXrdwFH8zmewejTVBa5364qFSyA7kskSg69LZpump", "View")</f>
        <v/>
      </c>
    </row>
    <row r="39">
      <c r="A39" s="20" t="inlineStr">
        <is>
          <t>FE</t>
        </is>
      </c>
      <c r="B39" s="21" t="n">
        <v>7290257</v>
      </c>
      <c r="C39" s="21" t="n">
        <v>0</v>
      </c>
      <c r="D39" s="21" t="inlineStr">
        <is>
          <t>0.000060</t>
        </is>
      </c>
      <c r="E39" s="21" t="inlineStr">
        <is>
          <t>2.000 SOL</t>
        </is>
      </c>
      <c r="F39" s="21" t="inlineStr">
        <is>
          <t>0.000 SOL</t>
        </is>
      </c>
      <c r="G39" s="18" t="inlineStr">
        <is>
          <t>-2.000 SOL</t>
        </is>
      </c>
      <c r="H39" s="18" t="inlineStr">
        <is>
          <t>0.00%</t>
        </is>
      </c>
      <c r="I39" s="21" t="inlineStr">
        <is>
          <t>7,290,257</t>
        </is>
      </c>
      <c r="J39" s="21" t="n">
        <v>1</v>
      </c>
      <c r="K39" s="21" t="n">
        <v>0</v>
      </c>
      <c r="L39" s="21" t="inlineStr">
        <is>
          <t>28.10.2024 21:38:06</t>
        </is>
      </c>
      <c r="M39" s="19" t="inlineStr">
        <is>
          <t>0 sec</t>
        </is>
      </c>
      <c r="N39" s="21" t="inlineStr">
        <is>
          <t xml:space="preserve">         47K            47K            13K</t>
        </is>
      </c>
      <c r="O39" s="21" t="inlineStr">
        <is>
          <t>4AyViLduWHAiR6MhS8upSTx6A9C4dvMUa1F9Krzgpump</t>
        </is>
      </c>
      <c r="P39" s="21">
        <f>HYPERLINK("https://dexscreener.com/solana/4AyViLduWHAiR6MhS8upSTx6A9C4dvMUa1F9Krzgpump", "View")</f>
        <v/>
      </c>
    </row>
    <row r="40">
      <c r="A40" s="16" t="inlineStr">
        <is>
          <t>GCRAI</t>
        </is>
      </c>
      <c r="B40" s="17" t="n">
        <v>2320675</v>
      </c>
      <c r="C40" s="17" t="n">
        <v>0</v>
      </c>
      <c r="D40" s="17" t="inlineStr">
        <is>
          <t>0.000060</t>
        </is>
      </c>
      <c r="E40" s="17" t="inlineStr">
        <is>
          <t>2.000 SOL</t>
        </is>
      </c>
      <c r="F40" s="17" t="inlineStr">
        <is>
          <t>0.000 SOL</t>
        </is>
      </c>
      <c r="G40" s="18" t="inlineStr">
        <is>
          <t>-2.000 SOL</t>
        </is>
      </c>
      <c r="H40" s="18" t="inlineStr">
        <is>
          <t>0.00%</t>
        </is>
      </c>
      <c r="I40" s="17" t="inlineStr">
        <is>
          <t>2,320,675</t>
        </is>
      </c>
      <c r="J40" s="17" t="n">
        <v>1</v>
      </c>
      <c r="K40" s="17" t="n">
        <v>0</v>
      </c>
      <c r="L40" s="17" t="inlineStr">
        <is>
          <t>28.10.2024 03:05:47</t>
        </is>
      </c>
      <c r="M40" s="19" t="inlineStr">
        <is>
          <t>0 sec</t>
        </is>
      </c>
      <c r="N40" s="17" t="inlineStr">
        <is>
          <t xml:space="preserve">        151K           151K            39K</t>
        </is>
      </c>
      <c r="O40" s="17" t="inlineStr">
        <is>
          <t>71gSnDo5vqite4mVpbKnaqoa6FsuXpamn8jCYZsApump</t>
        </is>
      </c>
      <c r="P40" s="17">
        <f>HYPERLINK("https://dexscreener.com/solana/71gSnDo5vqite4mVpbKnaqoa6FsuXpamn8jCYZsApump", "View")</f>
        <v/>
      </c>
    </row>
    <row r="41">
      <c r="A41" s="20" t="inlineStr">
        <is>
          <t>:DOG</t>
        </is>
      </c>
      <c r="B41" s="21" t="n">
        <v>3795187</v>
      </c>
      <c r="C41" s="21" t="n">
        <v>0</v>
      </c>
      <c r="D41" s="21" t="inlineStr">
        <is>
          <t>0.000110</t>
        </is>
      </c>
      <c r="E41" s="21" t="inlineStr">
        <is>
          <t>3.000 SOL</t>
        </is>
      </c>
      <c r="F41" s="21" t="inlineStr">
        <is>
          <t>0.000 SOL</t>
        </is>
      </c>
      <c r="G41" s="18" t="inlineStr">
        <is>
          <t>-3.000 SOL</t>
        </is>
      </c>
      <c r="H41" s="18" t="inlineStr">
        <is>
          <t>0.00%</t>
        </is>
      </c>
      <c r="I41" s="21" t="inlineStr">
        <is>
          <t>3,795,187</t>
        </is>
      </c>
      <c r="J41" s="21" t="n">
        <v>2</v>
      </c>
      <c r="K41" s="21" t="n">
        <v>0</v>
      </c>
      <c r="L41" s="21" t="inlineStr">
        <is>
          <t>28.10.2024 01:41:32</t>
        </is>
      </c>
      <c r="M41" s="21" t="inlineStr">
        <is>
          <t>1 hours</t>
        </is>
      </c>
      <c r="N41" s="21" t="inlineStr">
        <is>
          <t xml:space="preserve">        160K           111K             7K</t>
        </is>
      </c>
      <c r="O41" s="21" t="inlineStr">
        <is>
          <t>9J7WDmBYY7ikgLi1mo6utpEPo5WEhkQsCxTvDPfnpump</t>
        </is>
      </c>
      <c r="P41" s="21">
        <f>HYPERLINK("https://dexscreener.com/solana/9J7WDmBYY7ikgLi1mo6utpEPo5WEhkQsCxTvDPfnpump", "View")</f>
        <v/>
      </c>
    </row>
    <row r="42">
      <c r="A42" s="16" t="inlineStr">
        <is>
          <t>KOTI</t>
        </is>
      </c>
      <c r="B42" s="17" t="n">
        <v>19942639</v>
      </c>
      <c r="C42" s="17" t="n">
        <v>0</v>
      </c>
      <c r="D42" s="17" t="inlineStr">
        <is>
          <t>0.000110</t>
        </is>
      </c>
      <c r="E42" s="17" t="inlineStr">
        <is>
          <t>4.000 SOL</t>
        </is>
      </c>
      <c r="F42" s="17" t="inlineStr">
        <is>
          <t>0.000 SOL</t>
        </is>
      </c>
      <c r="G42" s="18" t="inlineStr">
        <is>
          <t>-4.000 SOL</t>
        </is>
      </c>
      <c r="H42" s="18" t="inlineStr">
        <is>
          <t>0.00%</t>
        </is>
      </c>
      <c r="I42" s="17" t="inlineStr">
        <is>
          <t>19,942,639</t>
        </is>
      </c>
      <c r="J42" s="17" t="n">
        <v>2</v>
      </c>
      <c r="K42" s="17" t="n">
        <v>0</v>
      </c>
      <c r="L42" s="17" t="inlineStr">
        <is>
          <t>28.10.2024 00:49:44</t>
        </is>
      </c>
      <c r="M42" s="17" t="inlineStr">
        <is>
          <t>2 min</t>
        </is>
      </c>
      <c r="N42" s="17" t="inlineStr">
        <is>
          <t xml:space="preserve">         28K            46K             6K</t>
        </is>
      </c>
      <c r="O42" s="17" t="inlineStr">
        <is>
          <t>EMFU6t7eFsTKVv6UkatPpyDt1bugmMqdfScb6jRipump</t>
        </is>
      </c>
      <c r="P42" s="17">
        <f>HYPERLINK("https://dexscreener.com/solana/EMFU6t7eFsTKVv6UkatPpyDt1bugmMqdfScb6jRipump", "View")</f>
        <v/>
      </c>
    </row>
    <row r="43">
      <c r="A43" s="20" t="inlineStr">
        <is>
          <t>AIHM</t>
        </is>
      </c>
      <c r="B43" s="21" t="n">
        <v>10867147</v>
      </c>
      <c r="C43" s="21" t="n">
        <v>0</v>
      </c>
      <c r="D43" s="21" t="inlineStr">
        <is>
          <t>0.000060</t>
        </is>
      </c>
      <c r="E43" s="21" t="inlineStr">
        <is>
          <t>3.000 SOL</t>
        </is>
      </c>
      <c r="F43" s="21" t="inlineStr">
        <is>
          <t>0.000 SOL</t>
        </is>
      </c>
      <c r="G43" s="18" t="inlineStr">
        <is>
          <t>-3.000 SOL</t>
        </is>
      </c>
      <c r="H43" s="18" t="inlineStr">
        <is>
          <t>0.00%</t>
        </is>
      </c>
      <c r="I43" s="21" t="inlineStr">
        <is>
          <t>10,867,147</t>
        </is>
      </c>
      <c r="J43" s="21" t="n">
        <v>1</v>
      </c>
      <c r="K43" s="21" t="n">
        <v>0</v>
      </c>
      <c r="L43" s="21" t="inlineStr">
        <is>
          <t>28.10.2024 00:41:47</t>
        </is>
      </c>
      <c r="M43" s="19" t="inlineStr">
        <is>
          <t>0 sec</t>
        </is>
      </c>
      <c r="N43" s="21" t="inlineStr">
        <is>
          <t xml:space="preserve">         49K            49K             5K</t>
        </is>
      </c>
      <c r="O43" s="21" t="inlineStr">
        <is>
          <t>4VYqw4taheRVmv2HqyQQiV99boYh6UbKx6zn4Afcpump</t>
        </is>
      </c>
      <c r="P43" s="21">
        <f>HYPERLINK("https://dexscreener.com/solana/4VYqw4taheRVmv2HqyQQiV99boYh6UbKx6zn4Afcpump", "View")</f>
        <v/>
      </c>
    </row>
    <row r="44">
      <c r="A44" s="16" t="inlineStr">
        <is>
          <t>marvelous</t>
        </is>
      </c>
      <c r="B44" s="17" t="n">
        <v>4124725</v>
      </c>
      <c r="C44" s="17" t="n">
        <v>0</v>
      </c>
      <c r="D44" s="17" t="inlineStr">
        <is>
          <t>0.000060</t>
        </is>
      </c>
      <c r="E44" s="17" t="inlineStr">
        <is>
          <t>1.000 SOL</t>
        </is>
      </c>
      <c r="F44" s="17" t="inlineStr">
        <is>
          <t>0.000 SOL</t>
        </is>
      </c>
      <c r="G44" s="18" t="inlineStr">
        <is>
          <t>-1.000 SOL</t>
        </is>
      </c>
      <c r="H44" s="18" t="inlineStr">
        <is>
          <t>0.00%</t>
        </is>
      </c>
      <c r="I44" s="17" t="inlineStr">
        <is>
          <t>4,124,725</t>
        </is>
      </c>
      <c r="J44" s="17" t="n">
        <v>1</v>
      </c>
      <c r="K44" s="17" t="n">
        <v>0</v>
      </c>
      <c r="L44" s="17" t="inlineStr">
        <is>
          <t>28.10.2024 00:29:25</t>
        </is>
      </c>
      <c r="M44" s="19" t="inlineStr">
        <is>
          <t>0 sec</t>
        </is>
      </c>
      <c r="N44" s="17" t="inlineStr">
        <is>
          <t xml:space="preserve">         42K            42K             5K</t>
        </is>
      </c>
      <c r="O44" s="17" t="inlineStr">
        <is>
          <t>3AYy1ZyfUbxhpAX5DRT6ss2u68TMSE8vqmAFXSPnpump</t>
        </is>
      </c>
      <c r="P44" s="17">
        <f>HYPERLINK("https://dexscreener.com/solana/3AYy1ZyfUbxhpAX5DRT6ss2u68TMSE8vqmAFXSPnpump", "View")</f>
        <v/>
      </c>
    </row>
    <row r="45">
      <c r="A45" s="20" t="inlineStr">
        <is>
          <t>SKULL</t>
        </is>
      </c>
      <c r="B45" s="21" t="n">
        <v>1153927</v>
      </c>
      <c r="C45" s="21" t="n">
        <v>0</v>
      </c>
      <c r="D45" s="21" t="inlineStr">
        <is>
          <t>0.000060</t>
        </is>
      </c>
      <c r="E45" s="21" t="inlineStr">
        <is>
          <t>1.000 SOL</t>
        </is>
      </c>
      <c r="F45" s="21" t="inlineStr">
        <is>
          <t>0.000 SOL</t>
        </is>
      </c>
      <c r="G45" s="18" t="inlineStr">
        <is>
          <t>-1.000 SOL</t>
        </is>
      </c>
      <c r="H45" s="18" t="inlineStr">
        <is>
          <t>0.00%</t>
        </is>
      </c>
      <c r="I45" s="21" t="inlineStr">
        <is>
          <t>1,153,927</t>
        </is>
      </c>
      <c r="J45" s="21" t="n">
        <v>1</v>
      </c>
      <c r="K45" s="21" t="n">
        <v>0</v>
      </c>
      <c r="L45" s="21" t="inlineStr">
        <is>
          <t>27.10.2024 18:56:04</t>
        </is>
      </c>
      <c r="M45" s="19" t="inlineStr">
        <is>
          <t>0 sec</t>
        </is>
      </c>
      <c r="N45" s="21" t="inlineStr">
        <is>
          <t xml:space="preserve">        153K           153K             5K</t>
        </is>
      </c>
      <c r="O45" s="21" t="inlineStr">
        <is>
          <t>BmpF5awAZW6baUoSF1CMS3A2XbMU62VPPH58Trbkpump</t>
        </is>
      </c>
      <c r="P45" s="21">
        <f>HYPERLINK("https://dexscreener.com/solana/BmpF5awAZW6baUoSF1CMS3A2XbMU62VPPH58Trbkpump", "View")</f>
        <v/>
      </c>
    </row>
    <row r="46">
      <c r="A46" s="16" t="inlineStr">
        <is>
          <t>GAMBIT</t>
        </is>
      </c>
      <c r="B46" s="17" t="n">
        <v>764492</v>
      </c>
      <c r="C46" s="17" t="n">
        <v>0</v>
      </c>
      <c r="D46" s="17" t="inlineStr">
        <is>
          <t>0.000060</t>
        </is>
      </c>
      <c r="E46" s="17" t="inlineStr">
        <is>
          <t>2.000 SOL</t>
        </is>
      </c>
      <c r="F46" s="17" t="inlineStr">
        <is>
          <t>0.000 SOL</t>
        </is>
      </c>
      <c r="G46" s="18" t="inlineStr">
        <is>
          <t>-2.000 SOL</t>
        </is>
      </c>
      <c r="H46" s="18" t="inlineStr">
        <is>
          <t>0.00%</t>
        </is>
      </c>
      <c r="I46" s="17" t="inlineStr">
        <is>
          <t>764,492</t>
        </is>
      </c>
      <c r="J46" s="17" t="n">
        <v>1</v>
      </c>
      <c r="K46" s="17" t="n">
        <v>0</v>
      </c>
      <c r="L46" s="17" t="inlineStr">
        <is>
          <t>27.10.2024 18:54:52</t>
        </is>
      </c>
      <c r="M46" s="19" t="inlineStr">
        <is>
          <t>0 sec</t>
        </is>
      </c>
      <c r="N46" s="17" t="inlineStr">
        <is>
          <t xml:space="preserve">        460K           460K             5K</t>
        </is>
      </c>
      <c r="O46" s="17" t="inlineStr">
        <is>
          <t>E4PwDXy9p9dAfoV9xvWDSkHHDVPWFawxGhmkGbYfpump</t>
        </is>
      </c>
      <c r="P46" s="17">
        <f>HYPERLINK("https://dexscreener.com/solana/E4PwDXy9p9dAfoV9xvWDSkHHDVPWFawxGhmkGbYfpump", "View")</f>
        <v/>
      </c>
    </row>
    <row r="47">
      <c r="A47" s="20" t="inlineStr">
        <is>
          <t>GOF</t>
        </is>
      </c>
      <c r="B47" s="21" t="n">
        <v>7729649</v>
      </c>
      <c r="C47" s="21" t="n">
        <v>0</v>
      </c>
      <c r="D47" s="21" t="inlineStr">
        <is>
          <t>0.000060</t>
        </is>
      </c>
      <c r="E47" s="21" t="inlineStr">
        <is>
          <t>1.000 SOL</t>
        </is>
      </c>
      <c r="F47" s="21" t="inlineStr">
        <is>
          <t>0.000 SOL</t>
        </is>
      </c>
      <c r="G47" s="18" t="inlineStr">
        <is>
          <t>-1.000 SOL</t>
        </is>
      </c>
      <c r="H47" s="18" t="inlineStr">
        <is>
          <t>0.00%</t>
        </is>
      </c>
      <c r="I47" s="21" t="inlineStr">
        <is>
          <t>7,729,649</t>
        </is>
      </c>
      <c r="J47" s="21" t="n">
        <v>1</v>
      </c>
      <c r="K47" s="21" t="n">
        <v>0</v>
      </c>
      <c r="L47" s="21" t="inlineStr">
        <is>
          <t>27.10.2024 18:39:22</t>
        </is>
      </c>
      <c r="M47" s="19" t="inlineStr">
        <is>
          <t>0 sec</t>
        </is>
      </c>
      <c r="N47" s="21" t="inlineStr">
        <is>
          <t xml:space="preserve">         23K            23K             4K</t>
        </is>
      </c>
      <c r="O47" s="21" t="inlineStr">
        <is>
          <t>5vuGNdsz1Zp4p43UuZfYFbZNWGYmpqVJEk3YQdCBpump</t>
        </is>
      </c>
      <c r="P47" s="21">
        <f>HYPERLINK("https://dexscreener.com/solana/5vuGNdsz1Zp4p43UuZfYFbZNWGYmpqVJEk3YQdCBpump", "View")</f>
        <v/>
      </c>
    </row>
    <row r="48">
      <c r="A48" s="16" t="inlineStr">
        <is>
          <t>GOF</t>
        </is>
      </c>
      <c r="B48" s="17" t="n">
        <v>15195262</v>
      </c>
      <c r="C48" s="17" t="n">
        <v>0</v>
      </c>
      <c r="D48" s="17" t="inlineStr">
        <is>
          <t>0.000060</t>
        </is>
      </c>
      <c r="E48" s="17" t="inlineStr">
        <is>
          <t>1.102 SOL</t>
        </is>
      </c>
      <c r="F48" s="17" t="inlineStr">
        <is>
          <t>0.000 SOL</t>
        </is>
      </c>
      <c r="G48" s="18" t="inlineStr">
        <is>
          <t>-1.102 SOL</t>
        </is>
      </c>
      <c r="H48" s="18" t="inlineStr">
        <is>
          <t>0.00%</t>
        </is>
      </c>
      <c r="I48" s="17" t="inlineStr">
        <is>
          <t>15,195,262</t>
        </is>
      </c>
      <c r="J48" s="17" t="n">
        <v>1</v>
      </c>
      <c r="K48" s="17" t="n">
        <v>0</v>
      </c>
      <c r="L48" s="17" t="inlineStr">
        <is>
          <t>27.10.2024 18:32:27</t>
        </is>
      </c>
      <c r="M48" s="19" t="inlineStr">
        <is>
          <t>0 sec</t>
        </is>
      </c>
      <c r="N48" s="17" t="inlineStr">
        <is>
          <t xml:space="preserve">        N/A           N/A           N/A</t>
        </is>
      </c>
      <c r="O48" s="17" t="inlineStr">
        <is>
          <t>8kDaXw1K2mG5xbe6YCurRyEEhjgcimWwkdcKDfB4pump</t>
        </is>
      </c>
      <c r="P48" s="17">
        <f>HYPERLINK("https://photon-sol.tinyastro.io/en/lp/8kDaXw1K2mG5xbe6YCurRyEEhjgcimWwkdcKDfB4pump?handle=676050794bc1b1657a56b", "View")</f>
        <v/>
      </c>
    </row>
    <row r="49">
      <c r="A49" s="20" t="inlineStr">
        <is>
          <t>fella</t>
        </is>
      </c>
      <c r="B49" s="21" t="n">
        <v>8930990</v>
      </c>
      <c r="C49" s="21" t="n">
        <v>0</v>
      </c>
      <c r="D49" s="21" t="inlineStr">
        <is>
          <t>0.000110</t>
        </is>
      </c>
      <c r="E49" s="21" t="inlineStr">
        <is>
          <t>10.000 SOL</t>
        </is>
      </c>
      <c r="F49" s="21" t="inlineStr">
        <is>
          <t>0.000 SOL</t>
        </is>
      </c>
      <c r="G49" s="18" t="inlineStr">
        <is>
          <t>-10.000 SOL</t>
        </is>
      </c>
      <c r="H49" s="18" t="inlineStr">
        <is>
          <t>0.00%</t>
        </is>
      </c>
      <c r="I49" s="21" t="inlineStr">
        <is>
          <t>8,930,990</t>
        </is>
      </c>
      <c r="J49" s="21" t="n">
        <v>2</v>
      </c>
      <c r="K49" s="21" t="n">
        <v>0</v>
      </c>
      <c r="L49" s="21" t="inlineStr">
        <is>
          <t>27.10.2024 16:37:02</t>
        </is>
      </c>
      <c r="M49" s="19" t="inlineStr">
        <is>
          <t>16 sec</t>
        </is>
      </c>
      <c r="N49" s="21" t="inlineStr">
        <is>
          <t xml:space="preserve">        175K           184K           264K</t>
        </is>
      </c>
      <c r="O49" s="21" t="inlineStr">
        <is>
          <t>5hQvD2F5DRNTcZGniDqU4HHZh4HZjapRg4aWAPFsRKmG</t>
        </is>
      </c>
      <c r="P49" s="21">
        <f>HYPERLINK("https://dexscreener.com/solana/5hQvD2F5DRNTcZGniDqU4HHZh4HZjapRg4aWAPFsRKmG", "View")</f>
        <v/>
      </c>
    </row>
    <row r="50">
      <c r="A50" s="16" t="inlineStr">
        <is>
          <t>GNFOS</t>
        </is>
      </c>
      <c r="B50" s="17" t="n">
        <v>7790734</v>
      </c>
      <c r="C50" s="17" t="n">
        <v>0</v>
      </c>
      <c r="D50" s="17" t="inlineStr">
        <is>
          <t>0.000060</t>
        </is>
      </c>
      <c r="E50" s="17" t="inlineStr">
        <is>
          <t>1.000 SOL</t>
        </is>
      </c>
      <c r="F50" s="17" t="inlineStr">
        <is>
          <t>0.000 SOL</t>
        </is>
      </c>
      <c r="G50" s="18" t="inlineStr">
        <is>
          <t>-1.000 SOL</t>
        </is>
      </c>
      <c r="H50" s="18" t="inlineStr">
        <is>
          <t>0.00%</t>
        </is>
      </c>
      <c r="I50" s="17" t="inlineStr">
        <is>
          <t>7,790,734</t>
        </is>
      </c>
      <c r="J50" s="17" t="n">
        <v>1</v>
      </c>
      <c r="K50" s="17" t="n">
        <v>0</v>
      </c>
      <c r="L50" s="17" t="inlineStr">
        <is>
          <t>27.10.2024 04:10:37</t>
        </is>
      </c>
      <c r="M50" s="19" t="inlineStr">
        <is>
          <t>0 sec</t>
        </is>
      </c>
      <c r="N50" s="17" t="inlineStr">
        <is>
          <t xml:space="preserve">         22K            22K             7K</t>
        </is>
      </c>
      <c r="O50" s="17" t="inlineStr">
        <is>
          <t>CogJ4K7DXFJKhkhyxKayuZWrihoQzs5sksonimQYmP33</t>
        </is>
      </c>
      <c r="P50" s="17">
        <f>HYPERLINK("https://dexscreener.com/solana/CogJ4K7DXFJKhkhyxKayuZWrihoQzs5sksonimQYmP33", "View")</f>
        <v/>
      </c>
    </row>
    <row r="51">
      <c r="A51" s="20" t="inlineStr">
        <is>
          <t>PMAIRCA</t>
        </is>
      </c>
      <c r="B51" s="21" t="n">
        <v>376861</v>
      </c>
      <c r="C51" s="21" t="n">
        <v>0</v>
      </c>
      <c r="D51" s="21" t="inlineStr">
        <is>
          <t>0.000060</t>
        </is>
      </c>
      <c r="E51" s="21" t="inlineStr">
        <is>
          <t>2.000 SOL</t>
        </is>
      </c>
      <c r="F51" s="21" t="inlineStr">
        <is>
          <t>0.000 SOL</t>
        </is>
      </c>
      <c r="G51" s="18" t="inlineStr">
        <is>
          <t>-2.000 SOL</t>
        </is>
      </c>
      <c r="H51" s="18" t="inlineStr">
        <is>
          <t>0.00%</t>
        </is>
      </c>
      <c r="I51" s="21" t="inlineStr">
        <is>
          <t>376,861</t>
        </is>
      </c>
      <c r="J51" s="21" t="n">
        <v>1</v>
      </c>
      <c r="K51" s="21" t="n">
        <v>0</v>
      </c>
      <c r="L51" s="21" t="inlineStr">
        <is>
          <t>27.10.2024 03:35:01</t>
        </is>
      </c>
      <c r="M51" s="19" t="inlineStr">
        <is>
          <t>0 sec</t>
        </is>
      </c>
      <c r="N51" s="21" t="inlineStr">
        <is>
          <t xml:space="preserve">        933K           933K           103K</t>
        </is>
      </c>
      <c r="O51" s="21" t="inlineStr">
        <is>
          <t>7rRfJ5tdUjFPCWZRyYM7UNnfrpK1dqwzfpMYDknspump</t>
        </is>
      </c>
      <c r="P51" s="21">
        <f>HYPERLINK("https://dexscreener.com/solana/7rRfJ5tdUjFPCWZRyYM7UNnfrpK1dqwzfpMYDknspump", "View")</f>
        <v/>
      </c>
    </row>
    <row r="52">
      <c r="A52" s="16" t="inlineStr">
        <is>
          <t>PAWJOB</t>
        </is>
      </c>
      <c r="B52" s="17" t="n">
        <v>4162387</v>
      </c>
      <c r="C52" s="17" t="n">
        <v>0</v>
      </c>
      <c r="D52" s="17" t="inlineStr">
        <is>
          <t>0.000060</t>
        </is>
      </c>
      <c r="E52" s="17" t="inlineStr">
        <is>
          <t>3.000 SOL</t>
        </is>
      </c>
      <c r="F52" s="17" t="inlineStr">
        <is>
          <t>0.000 SOL</t>
        </is>
      </c>
      <c r="G52" s="18" t="inlineStr">
        <is>
          <t>-3.000 SOL</t>
        </is>
      </c>
      <c r="H52" s="18" t="inlineStr">
        <is>
          <t>0.00%</t>
        </is>
      </c>
      <c r="I52" s="17" t="inlineStr">
        <is>
          <t>4,162,387</t>
        </is>
      </c>
      <c r="J52" s="17" t="n">
        <v>1</v>
      </c>
      <c r="K52" s="17" t="n">
        <v>0</v>
      </c>
      <c r="L52" s="17" t="inlineStr">
        <is>
          <t>27.10.2024 02:31:52</t>
        </is>
      </c>
      <c r="M52" s="19" t="inlineStr">
        <is>
          <t>0 sec</t>
        </is>
      </c>
      <c r="N52" s="17" t="inlineStr">
        <is>
          <t xml:space="preserve">        126K           126K           138K</t>
        </is>
      </c>
      <c r="O52" s="17" t="inlineStr">
        <is>
          <t>FFqb9Cj4fSdDX3BFYUAH92mjP6Wqci6XqFq8u3Zqpump</t>
        </is>
      </c>
      <c r="P52" s="17">
        <f>HYPERLINK("https://dexscreener.com/solana/FFqb9Cj4fSdDX3BFYUAH92mjP6Wqci6XqFq8u3Zqpump", "View")</f>
        <v/>
      </c>
    </row>
    <row r="53">
      <c r="A53" s="20" t="inlineStr">
        <is>
          <t>GRIMACE</t>
        </is>
      </c>
      <c r="B53" s="21" t="n">
        <v>6258925</v>
      </c>
      <c r="C53" s="21" t="n">
        <v>0</v>
      </c>
      <c r="D53" s="21" t="inlineStr">
        <is>
          <t>0.000060</t>
        </is>
      </c>
      <c r="E53" s="21" t="inlineStr">
        <is>
          <t>2.000 SOL</t>
        </is>
      </c>
      <c r="F53" s="21" t="inlineStr">
        <is>
          <t>0.000 SOL</t>
        </is>
      </c>
      <c r="G53" s="18" t="inlineStr">
        <is>
          <t>-2.000 SOL</t>
        </is>
      </c>
      <c r="H53" s="18" t="inlineStr">
        <is>
          <t>0.00%</t>
        </is>
      </c>
      <c r="I53" s="21" t="inlineStr">
        <is>
          <t>6,258,925</t>
        </is>
      </c>
      <c r="J53" s="21" t="n">
        <v>1</v>
      </c>
      <c r="K53" s="21" t="n">
        <v>0</v>
      </c>
      <c r="L53" s="21" t="inlineStr">
        <is>
          <t>26.10.2024 16:59:50</t>
        </is>
      </c>
      <c r="M53" s="19" t="inlineStr">
        <is>
          <t>0 sec</t>
        </is>
      </c>
      <c r="N53" s="21" t="inlineStr">
        <is>
          <t xml:space="preserve">         49K            49K            64K</t>
        </is>
      </c>
      <c r="O53" s="21" t="inlineStr">
        <is>
          <t>4BRummYdfvoEGQwYzTSmn5F6RyAFdrHUTFkeagobpump</t>
        </is>
      </c>
      <c r="P53" s="21">
        <f>HYPERLINK("https://dexscreener.com/solana/4BRummYdfvoEGQwYzTSmn5F6RyAFdrHUTFkeagobpump", "View")</f>
        <v/>
      </c>
    </row>
    <row r="54">
      <c r="A54" s="16" t="inlineStr">
        <is>
          <t>SWIG</t>
        </is>
      </c>
      <c r="B54" s="17" t="n">
        <v>15699384</v>
      </c>
      <c r="C54" s="17" t="n">
        <v>0</v>
      </c>
      <c r="D54" s="17" t="inlineStr">
        <is>
          <t>0.000110</t>
        </is>
      </c>
      <c r="E54" s="17" t="inlineStr">
        <is>
          <t>3.097 SOL</t>
        </is>
      </c>
      <c r="F54" s="17" t="inlineStr">
        <is>
          <t>0.000 SOL</t>
        </is>
      </c>
      <c r="G54" s="18" t="inlineStr">
        <is>
          <t>-3.097 SOL</t>
        </is>
      </c>
      <c r="H54" s="18" t="inlineStr">
        <is>
          <t>0.00%</t>
        </is>
      </c>
      <c r="I54" s="17" t="inlineStr">
        <is>
          <t>15,699,384</t>
        </is>
      </c>
      <c r="J54" s="17" t="n">
        <v>2</v>
      </c>
      <c r="K54" s="17" t="n">
        <v>0</v>
      </c>
      <c r="L54" s="17" t="inlineStr">
        <is>
          <t>26.10.2024 05:00:39</t>
        </is>
      </c>
      <c r="M54" s="17" t="inlineStr">
        <is>
          <t>8 min</t>
        </is>
      </c>
      <c r="N54" s="17" t="inlineStr">
        <is>
          <t xml:space="preserve">         56K            19K            37K</t>
        </is>
      </c>
      <c r="O54" s="17" t="inlineStr">
        <is>
          <t>3ougYPdtSunmDvxkFb4ZEnahEomRGr936HuNqFoopump</t>
        </is>
      </c>
      <c r="P54" s="17">
        <f>HYPERLINK("https://photon-sol.tinyastro.io/en/lp/3ougYPdtSunmDvxkFb4ZEnahEomRGr936HuNqFoopump?handle=676050794bc1b1657a56b", "View")</f>
        <v/>
      </c>
    </row>
    <row r="55">
      <c r="A55" s="20" t="inlineStr">
        <is>
          <t>yes</t>
        </is>
      </c>
      <c r="B55" s="21" t="n">
        <v>23004733</v>
      </c>
      <c r="C55" s="21" t="n">
        <v>0</v>
      </c>
      <c r="D55" s="21" t="inlineStr">
        <is>
          <t>0.000220</t>
        </is>
      </c>
      <c r="E55" s="21" t="inlineStr">
        <is>
          <t>9.000 SOL</t>
        </is>
      </c>
      <c r="F55" s="21" t="inlineStr">
        <is>
          <t>0.000 SOL</t>
        </is>
      </c>
      <c r="G55" s="18" t="inlineStr">
        <is>
          <t>-9.000 SOL</t>
        </is>
      </c>
      <c r="H55" s="18" t="inlineStr">
        <is>
          <t>0.00%</t>
        </is>
      </c>
      <c r="I55" s="21" t="inlineStr">
        <is>
          <t>23,004,733</t>
        </is>
      </c>
      <c r="J55" s="21" t="n">
        <v>4</v>
      </c>
      <c r="K55" s="21" t="n">
        <v>0</v>
      </c>
      <c r="L55" s="21" t="inlineStr">
        <is>
          <t>25.10.2024 20:31:48</t>
        </is>
      </c>
      <c r="M55" s="21" t="inlineStr">
        <is>
          <t>1 hours</t>
        </is>
      </c>
      <c r="N55" s="21" t="inlineStr">
        <is>
          <t xml:space="preserve">         21K           191K             5K</t>
        </is>
      </c>
      <c r="O55" s="21" t="inlineStr">
        <is>
          <t>6KsoyYgg2youiScXnpYP4rtHNHZwAiGN5bcB3iN3pump</t>
        </is>
      </c>
      <c r="P55" s="21">
        <f>HYPERLINK("https://dexscreener.com/solana/6KsoyYgg2youiScXnpYP4rtHNHZwAiGN5bcB3iN3pump", "View")</f>
        <v/>
      </c>
    </row>
    <row r="56">
      <c r="A56" s="16" t="inlineStr">
        <is>
          <t>GRIMACE</t>
        </is>
      </c>
      <c r="B56" s="17" t="n">
        <v>22521465</v>
      </c>
      <c r="C56" s="17" t="n">
        <v>0</v>
      </c>
      <c r="D56" s="17" t="inlineStr">
        <is>
          <t>0.000060</t>
        </is>
      </c>
      <c r="E56" s="17" t="inlineStr">
        <is>
          <t>2.000 SOL</t>
        </is>
      </c>
      <c r="F56" s="17" t="inlineStr">
        <is>
          <t>0.000 SOL</t>
        </is>
      </c>
      <c r="G56" s="18" t="inlineStr">
        <is>
          <t>-2.000 SOL</t>
        </is>
      </c>
      <c r="H56" s="18" t="inlineStr">
        <is>
          <t>0.00%</t>
        </is>
      </c>
      <c r="I56" s="17" t="inlineStr">
        <is>
          <t>22,521,465</t>
        </is>
      </c>
      <c r="J56" s="17" t="n">
        <v>1</v>
      </c>
      <c r="K56" s="17" t="n">
        <v>0</v>
      </c>
      <c r="L56" s="17" t="inlineStr">
        <is>
          <t>25.10.2024 20:29:01</t>
        </is>
      </c>
      <c r="M56" s="19" t="inlineStr">
        <is>
          <t>0 sec</t>
        </is>
      </c>
      <c r="N56" s="17" t="inlineStr">
        <is>
          <t xml:space="preserve">         16K            16K             4K</t>
        </is>
      </c>
      <c r="O56" s="17" t="inlineStr">
        <is>
          <t>69xYAEKLeX9Ph4rQdp1hkATvyX9cczVcABcYpuaT2W3C</t>
        </is>
      </c>
      <c r="P56" s="17">
        <f>HYPERLINK("https://dexscreener.com/solana/69xYAEKLeX9Ph4rQdp1hkATvyX9cczVcABcYpuaT2W3C", "View")</f>
        <v/>
      </c>
    </row>
    <row r="57">
      <c r="A57" s="20" t="inlineStr">
        <is>
          <t>Panko</t>
        </is>
      </c>
      <c r="B57" s="21" t="n">
        <v>11177436</v>
      </c>
      <c r="C57" s="21" t="n">
        <v>0</v>
      </c>
      <c r="D57" s="21" t="inlineStr">
        <is>
          <t>0.000060</t>
        </is>
      </c>
      <c r="E57" s="21" t="inlineStr">
        <is>
          <t>2.042 SOL</t>
        </is>
      </c>
      <c r="F57" s="21" t="inlineStr">
        <is>
          <t>0.000 SOL</t>
        </is>
      </c>
      <c r="G57" s="18" t="inlineStr">
        <is>
          <t>-2.042 SOL</t>
        </is>
      </c>
      <c r="H57" s="18" t="inlineStr">
        <is>
          <t>0.00%</t>
        </is>
      </c>
      <c r="I57" s="21" t="inlineStr">
        <is>
          <t>11,177,436</t>
        </is>
      </c>
      <c r="J57" s="21" t="n">
        <v>1</v>
      </c>
      <c r="K57" s="21" t="n">
        <v>0</v>
      </c>
      <c r="L57" s="21" t="inlineStr">
        <is>
          <t>25.10.2024 20:21:31</t>
        </is>
      </c>
      <c r="M57" s="19" t="inlineStr">
        <is>
          <t>0 sec</t>
        </is>
      </c>
      <c r="N57" s="21" t="inlineStr">
        <is>
          <t xml:space="preserve">         32K            32K             5K</t>
        </is>
      </c>
      <c r="O57" s="21" t="inlineStr">
        <is>
          <t>HWFgWPGymxBHcPz1kW9qVaPHQUhsP9UncPR1TG8Ypump</t>
        </is>
      </c>
      <c r="P57" s="21">
        <f>HYPERLINK("https://photon-sol.tinyastro.io/en/lp/HWFgWPGymxBHcPz1kW9qVaPHQUhsP9UncPR1TG8Ypump?handle=676050794bc1b1657a56b", "View")</f>
        <v/>
      </c>
    </row>
    <row r="58">
      <c r="A58" s="16" t="inlineStr">
        <is>
          <t>PRONY</t>
        </is>
      </c>
      <c r="B58" s="17" t="n">
        <v>18007876</v>
      </c>
      <c r="C58" s="17" t="n">
        <v>0</v>
      </c>
      <c r="D58" s="17" t="inlineStr">
        <is>
          <t>0.000110</t>
        </is>
      </c>
      <c r="E58" s="17" t="inlineStr">
        <is>
          <t>4.092 SOL</t>
        </is>
      </c>
      <c r="F58" s="17" t="inlineStr">
        <is>
          <t>0.000 SOL</t>
        </is>
      </c>
      <c r="G58" s="18" t="inlineStr">
        <is>
          <t>-4.092 SOL</t>
        </is>
      </c>
      <c r="H58" s="18" t="inlineStr">
        <is>
          <t>0.00%</t>
        </is>
      </c>
      <c r="I58" s="17" t="inlineStr">
        <is>
          <t>18,007,876</t>
        </is>
      </c>
      <c r="J58" s="17" t="n">
        <v>2</v>
      </c>
      <c r="K58" s="17" t="n">
        <v>0</v>
      </c>
      <c r="L58" s="17" t="inlineStr">
        <is>
          <t>25.10.2024 20:00:59</t>
        </is>
      </c>
      <c r="M58" s="19" t="inlineStr">
        <is>
          <t>56 sec</t>
        </is>
      </c>
      <c r="N58" s="17" t="inlineStr">
        <is>
          <t xml:space="preserve">         33K            47K             8K</t>
        </is>
      </c>
      <c r="O58" s="17" t="inlineStr">
        <is>
          <t>8ZjxAgY79krNRcySxo6cqd3DAPFBpi2xgPZTmM8Npump</t>
        </is>
      </c>
      <c r="P58" s="17">
        <f>HYPERLINK("https://photon-sol.tinyastro.io/en/lp/8ZjxAgY79krNRcySxo6cqd3DAPFBpi2xgPZTmM8Npump?handle=676050794bc1b1657a56b", "View")</f>
        <v/>
      </c>
    </row>
    <row r="59">
      <c r="A59" s="20" t="inlineStr">
        <is>
          <t>gothpeach</t>
        </is>
      </c>
      <c r="B59" s="21" t="n">
        <v>14962791</v>
      </c>
      <c r="C59" s="21" t="n">
        <v>0</v>
      </c>
      <c r="D59" s="21" t="inlineStr">
        <is>
          <t>0.000060</t>
        </is>
      </c>
      <c r="E59" s="21" t="inlineStr">
        <is>
          <t>1.962 SOL</t>
        </is>
      </c>
      <c r="F59" s="21" t="inlineStr">
        <is>
          <t>0.000 SOL</t>
        </is>
      </c>
      <c r="G59" s="18" t="inlineStr">
        <is>
          <t>-1.962 SOL</t>
        </is>
      </c>
      <c r="H59" s="18" t="inlineStr">
        <is>
          <t>0.00%</t>
        </is>
      </c>
      <c r="I59" s="21" t="inlineStr">
        <is>
          <t>14,962,791</t>
        </is>
      </c>
      <c r="J59" s="21" t="n">
        <v>1</v>
      </c>
      <c r="K59" s="21" t="n">
        <v>0</v>
      </c>
      <c r="L59" s="21" t="inlineStr">
        <is>
          <t>25.10.2024 19:30:29</t>
        </is>
      </c>
      <c r="M59" s="19" t="inlineStr">
        <is>
          <t>0 sec</t>
        </is>
      </c>
      <c r="N59" s="21" t="inlineStr">
        <is>
          <t xml:space="preserve">        N/A           N/A           N/A</t>
        </is>
      </c>
      <c r="O59" s="21" t="inlineStr">
        <is>
          <t>FGyujPrqkRsmjrfZWSwgWaHio9yj4HdSr5XNmZJWYUv</t>
        </is>
      </c>
      <c r="P59" s="21">
        <f>HYPERLINK("https://photon-sol.tinyastro.io/en/lp/FGyujPrqkRsmjrfZWSwgWaHio9yj4HdSr5XNmZJWYUv?handle=676050794bc1b1657a56b", "View")</f>
        <v/>
      </c>
    </row>
    <row r="60">
      <c r="A60" s="16" t="inlineStr">
        <is>
          <t>SYRUP</t>
        </is>
      </c>
      <c r="B60" s="17" t="n">
        <v>4091035</v>
      </c>
      <c r="C60" s="17" t="n">
        <v>2794689</v>
      </c>
      <c r="D60" s="17" t="inlineStr">
        <is>
          <t>0.000220</t>
        </is>
      </c>
      <c r="E60" s="17" t="inlineStr">
        <is>
          <t>2.000 SOL</t>
        </is>
      </c>
      <c r="F60" s="17" t="inlineStr">
        <is>
          <t>25.612 SOL</t>
        </is>
      </c>
      <c r="G60" s="24" t="inlineStr">
        <is>
          <t>23.612 SOL</t>
        </is>
      </c>
      <c r="H60" s="24" t="inlineStr">
        <is>
          <t>1180.46%</t>
        </is>
      </c>
      <c r="I60" s="17" t="inlineStr">
        <is>
          <t>N/A</t>
        </is>
      </c>
      <c r="J60" s="17" t="n">
        <v>1</v>
      </c>
      <c r="K60" s="17" t="n">
        <v>3</v>
      </c>
      <c r="L60" s="17" t="inlineStr">
        <is>
          <t>25.10.2024 19:05:11</t>
        </is>
      </c>
      <c r="M60" s="17" t="inlineStr">
        <is>
          <t>48 min</t>
        </is>
      </c>
      <c r="N60" s="17" t="inlineStr">
        <is>
          <t xml:space="preserve">         83K            83K            20K</t>
        </is>
      </c>
      <c r="O60" s="17" t="inlineStr">
        <is>
          <t>2cBwLnG1jwm4B6yFGJ13mKJcUFvuZS8v3bq6JwVmpump</t>
        </is>
      </c>
      <c r="P60" s="17">
        <f>HYPERLINK("https://dexscreener.com/solana/2cBwLnG1jwm4B6yFGJ13mKJcUFvuZS8v3bq6JwVmpump", "View")</f>
        <v/>
      </c>
    </row>
    <row r="61">
      <c r="A61" s="20" t="inlineStr">
        <is>
          <t>bouncy</t>
        </is>
      </c>
      <c r="B61" s="21" t="n">
        <v>4122990</v>
      </c>
      <c r="C61" s="21" t="n">
        <v>0</v>
      </c>
      <c r="D61" s="21" t="inlineStr">
        <is>
          <t>0.000060</t>
        </is>
      </c>
      <c r="E61" s="21" t="inlineStr">
        <is>
          <t>3.000 SOL</t>
        </is>
      </c>
      <c r="F61" s="21" t="inlineStr">
        <is>
          <t>0.000 SOL</t>
        </is>
      </c>
      <c r="G61" s="18" t="inlineStr">
        <is>
          <t>-3.000 SOL</t>
        </is>
      </c>
      <c r="H61" s="18" t="inlineStr">
        <is>
          <t>0.00%</t>
        </is>
      </c>
      <c r="I61" s="21" t="inlineStr">
        <is>
          <t>4,122,990</t>
        </is>
      </c>
      <c r="J61" s="21" t="n">
        <v>1</v>
      </c>
      <c r="K61" s="21" t="n">
        <v>0</v>
      </c>
      <c r="L61" s="21" t="inlineStr">
        <is>
          <t>25.10.2024 18:45:11</t>
        </is>
      </c>
      <c r="M61" s="19" t="inlineStr">
        <is>
          <t>0 sec</t>
        </is>
      </c>
      <c r="N61" s="21" t="inlineStr">
        <is>
          <t xml:space="preserve">        128K           128K            53K</t>
        </is>
      </c>
      <c r="O61" s="21" t="inlineStr">
        <is>
          <t>CoUxXvFyK8GEaTSfgTQn8ktiRCyXz33bmuk24Affcvzk</t>
        </is>
      </c>
      <c r="P61" s="21">
        <f>HYPERLINK("https://dexscreener.com/solana/CoUxXvFyK8GEaTSfgTQn8ktiRCyXz33bmuk24Affcvzk", "View")</f>
        <v/>
      </c>
    </row>
    <row r="62">
      <c r="A62" s="16" t="inlineStr">
        <is>
          <t>Scales</t>
        </is>
      </c>
      <c r="B62" s="17" t="n">
        <v>1301013</v>
      </c>
      <c r="C62" s="17" t="n">
        <v>0</v>
      </c>
      <c r="D62" s="17" t="inlineStr">
        <is>
          <t>0.000060</t>
        </is>
      </c>
      <c r="E62" s="17" t="inlineStr">
        <is>
          <t>3.000 SOL</t>
        </is>
      </c>
      <c r="F62" s="17" t="inlineStr">
        <is>
          <t>0.000 SOL</t>
        </is>
      </c>
      <c r="G62" s="18" t="inlineStr">
        <is>
          <t>-3.000 SOL</t>
        </is>
      </c>
      <c r="H62" s="18" t="inlineStr">
        <is>
          <t>0.00%</t>
        </is>
      </c>
      <c r="I62" s="17" t="inlineStr">
        <is>
          <t>1,301,013</t>
        </is>
      </c>
      <c r="J62" s="17" t="n">
        <v>1</v>
      </c>
      <c r="K62" s="17" t="n">
        <v>0</v>
      </c>
      <c r="L62" s="17" t="inlineStr">
        <is>
          <t>25.10.2024 18:16:07</t>
        </is>
      </c>
      <c r="M62" s="19" t="inlineStr">
        <is>
          <t>0 sec</t>
        </is>
      </c>
      <c r="N62" s="17" t="inlineStr">
        <is>
          <t xml:space="preserve">        406K           406K             3K</t>
        </is>
      </c>
      <c r="O62" s="17" t="inlineStr">
        <is>
          <t>8Yvgqo1F1hU7XRzLmw9PW7p6bK9NPUp7PTKsw9qXpump</t>
        </is>
      </c>
      <c r="P62" s="17">
        <f>HYPERLINK("https://dexscreener.com/solana/8Yvgqo1F1hU7XRzLmw9PW7p6bK9NPUp7PTKsw9qXpump", "View")</f>
        <v/>
      </c>
    </row>
    <row r="63">
      <c r="A63" s="20" t="inlineStr">
        <is>
          <t>NIGGTARDIO</t>
        </is>
      </c>
      <c r="B63" s="21" t="n">
        <v>9076714</v>
      </c>
      <c r="C63" s="21" t="n">
        <v>0</v>
      </c>
      <c r="D63" s="21" t="inlineStr">
        <is>
          <t>0.000060</t>
        </is>
      </c>
      <c r="E63" s="21" t="inlineStr">
        <is>
          <t>2.000 SOL</t>
        </is>
      </c>
      <c r="F63" s="21" t="inlineStr">
        <is>
          <t>0.000 SOL</t>
        </is>
      </c>
      <c r="G63" s="18" t="inlineStr">
        <is>
          <t>-2.000 SOL</t>
        </is>
      </c>
      <c r="H63" s="18" t="inlineStr">
        <is>
          <t>0.00%</t>
        </is>
      </c>
      <c r="I63" s="21" t="inlineStr">
        <is>
          <t>9,076,714</t>
        </is>
      </c>
      <c r="J63" s="21" t="n">
        <v>1</v>
      </c>
      <c r="K63" s="21" t="n">
        <v>0</v>
      </c>
      <c r="L63" s="21" t="inlineStr">
        <is>
          <t>25.10.2024 17:52:52</t>
        </is>
      </c>
      <c r="M63" s="19" t="inlineStr">
        <is>
          <t>0 sec</t>
        </is>
      </c>
      <c r="N63" s="21" t="inlineStr">
        <is>
          <t xml:space="preserve">         39K            39K            15K</t>
        </is>
      </c>
      <c r="O63" s="21" t="inlineStr">
        <is>
          <t>62hntRDMKf7TK5rPKZ4NDJbZ2tkYbh9RhXBwH2USpump</t>
        </is>
      </c>
      <c r="P63" s="21">
        <f>HYPERLINK("https://dexscreener.com/solana/62hntRDMKf7TK5rPKZ4NDJbZ2tkYbh9RhXBwH2USpump", "View")</f>
        <v/>
      </c>
    </row>
    <row r="64">
      <c r="A64" s="16" t="inlineStr">
        <is>
          <t>JEWCAT</t>
        </is>
      </c>
      <c r="B64" s="17" t="n">
        <v>11867638</v>
      </c>
      <c r="C64" s="17" t="n">
        <v>0</v>
      </c>
      <c r="D64" s="17" t="inlineStr">
        <is>
          <t>0.000060</t>
        </is>
      </c>
      <c r="E64" s="17" t="inlineStr">
        <is>
          <t>2.059 SOL</t>
        </is>
      </c>
      <c r="F64" s="17" t="inlineStr">
        <is>
          <t>0.000 SOL</t>
        </is>
      </c>
      <c r="G64" s="18" t="inlineStr">
        <is>
          <t>-2.059 SOL</t>
        </is>
      </c>
      <c r="H64" s="18" t="inlineStr">
        <is>
          <t>0.00%</t>
        </is>
      </c>
      <c r="I64" s="17" t="inlineStr">
        <is>
          <t>11,867,638</t>
        </is>
      </c>
      <c r="J64" s="17" t="n">
        <v>1</v>
      </c>
      <c r="K64" s="17" t="n">
        <v>0</v>
      </c>
      <c r="L64" s="17" t="inlineStr">
        <is>
          <t>24.10.2024 23:08:16</t>
        </is>
      </c>
      <c r="M64" s="19" t="inlineStr">
        <is>
          <t>0 sec</t>
        </is>
      </c>
      <c r="N64" s="17" t="inlineStr">
        <is>
          <t xml:space="preserve">         30K            30K             5K</t>
        </is>
      </c>
      <c r="O64" s="17" t="inlineStr">
        <is>
          <t>FWqKnt2wK5c8jAu8YLq5dByToUcPaLZA89DuDKTvESnj</t>
        </is>
      </c>
      <c r="P64" s="17">
        <f>HYPERLINK("https://photon-sol.tinyastro.io/en/lp/FWqKnt2wK5c8jAu8YLq5dByToUcPaLZA89DuDKTvESnj?handle=676050794bc1b1657a56b", "View")</f>
        <v/>
      </c>
    </row>
    <row r="65">
      <c r="A65" s="20" t="inlineStr">
        <is>
          <t>GPT5</t>
        </is>
      </c>
      <c r="B65" s="21" t="n">
        <v>5520461</v>
      </c>
      <c r="C65" s="21" t="n">
        <v>0</v>
      </c>
      <c r="D65" s="21" t="inlineStr">
        <is>
          <t>0.000060</t>
        </is>
      </c>
      <c r="E65" s="21" t="inlineStr">
        <is>
          <t>1.022 SOL</t>
        </is>
      </c>
      <c r="F65" s="21" t="inlineStr">
        <is>
          <t>0.000 SOL</t>
        </is>
      </c>
      <c r="G65" s="18" t="inlineStr">
        <is>
          <t>-1.022 SOL</t>
        </is>
      </c>
      <c r="H65" s="18" t="inlineStr">
        <is>
          <t>0.00%</t>
        </is>
      </c>
      <c r="I65" s="21" t="inlineStr">
        <is>
          <t>5,520,461</t>
        </is>
      </c>
      <c r="J65" s="21" t="n">
        <v>1</v>
      </c>
      <c r="K65" s="21" t="n">
        <v>0</v>
      </c>
      <c r="L65" s="21" t="inlineStr">
        <is>
          <t>24.10.2024 22:55:17</t>
        </is>
      </c>
      <c r="M65" s="19" t="inlineStr">
        <is>
          <t>0 sec</t>
        </is>
      </c>
      <c r="N65" s="21" t="inlineStr">
        <is>
          <t xml:space="preserve">        N/A           N/A           N/A</t>
        </is>
      </c>
      <c r="O65" s="21" t="inlineStr">
        <is>
          <t>MZHnGJSYfq8GxD7RELn5qShfUg1K7nMFFDntvRmDDqp</t>
        </is>
      </c>
      <c r="P65" s="21">
        <f>HYPERLINK("https://photon-sol.tinyastro.io/en/lp/MZHnGJSYfq8GxD7RELn5qShfUg1K7nMFFDntvRmDDqp?handle=676050794bc1b1657a56b", "View")</f>
        <v/>
      </c>
    </row>
    <row r="66">
      <c r="A66" s="16" t="inlineStr">
        <is>
          <t>JOE</t>
        </is>
      </c>
      <c r="B66" s="17" t="n">
        <v>5338129</v>
      </c>
      <c r="C66" s="17" t="n">
        <v>0</v>
      </c>
      <c r="D66" s="17" t="inlineStr">
        <is>
          <t>0.000060</t>
        </is>
      </c>
      <c r="E66" s="17" t="inlineStr">
        <is>
          <t>2.000 SOL</t>
        </is>
      </c>
      <c r="F66" s="17" t="inlineStr">
        <is>
          <t>0.000 SOL</t>
        </is>
      </c>
      <c r="G66" s="18" t="inlineStr">
        <is>
          <t>-2.000 SOL</t>
        </is>
      </c>
      <c r="H66" s="18" t="inlineStr">
        <is>
          <t>0.00%</t>
        </is>
      </c>
      <c r="I66" s="17" t="inlineStr">
        <is>
          <t>5,338,129</t>
        </is>
      </c>
      <c r="J66" s="17" t="n">
        <v>1</v>
      </c>
      <c r="K66" s="17" t="n">
        <v>0</v>
      </c>
      <c r="L66" s="17" t="inlineStr">
        <is>
          <t>24.10.2024 22:25:17</t>
        </is>
      </c>
      <c r="M66" s="19" t="inlineStr">
        <is>
          <t>0 sec</t>
        </is>
      </c>
      <c r="N66" s="17" t="inlineStr">
        <is>
          <t xml:space="preserve">         65K            65K             7K</t>
        </is>
      </c>
      <c r="O66" s="17" t="inlineStr">
        <is>
          <t>144e3uj6SVCgviVvhpmShTrZQABuFbcyci6661w3pump</t>
        </is>
      </c>
      <c r="P66" s="17">
        <f>HYPERLINK("https://dexscreener.com/solana/144e3uj6SVCgviVvhpmShTrZQABuFbcyci6661w3pump", "View")</f>
        <v/>
      </c>
    </row>
    <row r="67">
      <c r="A67" s="20" t="inlineStr">
        <is>
          <t xml:space="preserve">AI </t>
        </is>
      </c>
      <c r="B67" s="21" t="n">
        <v>24411168</v>
      </c>
      <c r="C67" s="21" t="n">
        <v>0</v>
      </c>
      <c r="D67" s="21" t="inlineStr">
        <is>
          <t>0.000060</t>
        </is>
      </c>
      <c r="E67" s="21" t="inlineStr">
        <is>
          <t>6.000 SOL</t>
        </is>
      </c>
      <c r="F67" s="21" t="inlineStr">
        <is>
          <t>0.000 SOL</t>
        </is>
      </c>
      <c r="G67" s="18" t="inlineStr">
        <is>
          <t>-6.000 SOL</t>
        </is>
      </c>
      <c r="H67" s="18" t="inlineStr">
        <is>
          <t>0.00%</t>
        </is>
      </c>
      <c r="I67" s="21" t="inlineStr">
        <is>
          <t>24,411,168</t>
        </is>
      </c>
      <c r="J67" s="21" t="n">
        <v>1</v>
      </c>
      <c r="K67" s="21" t="n">
        <v>0</v>
      </c>
      <c r="L67" s="21" t="inlineStr">
        <is>
          <t>24.10.2024 22:10:52</t>
        </is>
      </c>
      <c r="M67" s="19" t="inlineStr">
        <is>
          <t>0 sec</t>
        </is>
      </c>
      <c r="N67" s="21" t="inlineStr">
        <is>
          <t xml:space="preserve">         44K            44K             4K</t>
        </is>
      </c>
      <c r="O67" s="21" t="inlineStr">
        <is>
          <t>E9NsgUHspPfAhxAQrJacEm8GWi4KAoCYTDStDkvxpump</t>
        </is>
      </c>
      <c r="P67" s="21">
        <f>HYPERLINK("https://dexscreener.com/solana/E9NsgUHspPfAhxAQrJacEm8GWi4KAoCYTDStDkvxpump", "View")</f>
        <v/>
      </c>
    </row>
    <row r="68">
      <c r="A68" s="16" t="inlineStr">
        <is>
          <t>HIVEMIND</t>
        </is>
      </c>
      <c r="B68" s="17" t="n">
        <v>12290070</v>
      </c>
      <c r="C68" s="17" t="n">
        <v>0</v>
      </c>
      <c r="D68" s="17" t="inlineStr">
        <is>
          <t>0.000060</t>
        </is>
      </c>
      <c r="E68" s="17" t="inlineStr">
        <is>
          <t>3.069 SOL</t>
        </is>
      </c>
      <c r="F68" s="17" t="inlineStr">
        <is>
          <t>0.000 SOL</t>
        </is>
      </c>
      <c r="G68" s="18" t="inlineStr">
        <is>
          <t>-3.069 SOL</t>
        </is>
      </c>
      <c r="H68" s="18" t="inlineStr">
        <is>
          <t>0.00%</t>
        </is>
      </c>
      <c r="I68" s="17" t="inlineStr">
        <is>
          <t>12,290,070</t>
        </is>
      </c>
      <c r="J68" s="17" t="n">
        <v>1</v>
      </c>
      <c r="K68" s="17" t="n">
        <v>0</v>
      </c>
      <c r="L68" s="17" t="inlineStr">
        <is>
          <t>24.10.2024 21:49:16</t>
        </is>
      </c>
      <c r="M68" s="19" t="inlineStr">
        <is>
          <t>0 sec</t>
        </is>
      </c>
      <c r="N68" s="17" t="inlineStr">
        <is>
          <t xml:space="preserve">         44K            44K            42K</t>
        </is>
      </c>
      <c r="O68" s="17" t="inlineStr">
        <is>
          <t>A7FQ9TfiCnnZjFVAA3DWtMqoPR99CYJsGzUuLQbBpump</t>
        </is>
      </c>
      <c r="P68" s="17">
        <f>HYPERLINK("https://photon-sol.tinyastro.io/en/lp/A7FQ9TfiCnnZjFVAA3DWtMqoPR99CYJsGzUuLQbBpump?handle=676050794bc1b1657a56b", "View")</f>
        <v/>
      </c>
    </row>
    <row r="69">
      <c r="A69" s="20" t="inlineStr">
        <is>
          <t>PIZZA</t>
        </is>
      </c>
      <c r="B69" s="21" t="n">
        <v>1185516</v>
      </c>
      <c r="C69" s="21" t="n">
        <v>0</v>
      </c>
      <c r="D69" s="21" t="inlineStr">
        <is>
          <t>0.000060</t>
        </is>
      </c>
      <c r="E69" s="21" t="inlineStr">
        <is>
          <t>8.000 SOL</t>
        </is>
      </c>
      <c r="F69" s="21" t="inlineStr">
        <is>
          <t>0.000 SOL</t>
        </is>
      </c>
      <c r="G69" s="18" t="inlineStr">
        <is>
          <t>-8.000 SOL</t>
        </is>
      </c>
      <c r="H69" s="18" t="inlineStr">
        <is>
          <t>0.00%</t>
        </is>
      </c>
      <c r="I69" s="21" t="inlineStr">
        <is>
          <t>1,185,516</t>
        </is>
      </c>
      <c r="J69" s="21" t="n">
        <v>1</v>
      </c>
      <c r="K69" s="21" t="n">
        <v>0</v>
      </c>
      <c r="L69" s="21" t="inlineStr">
        <is>
          <t>24.10.2024 21:32:49</t>
        </is>
      </c>
      <c r="M69" s="19" t="inlineStr">
        <is>
          <t>0 sec</t>
        </is>
      </c>
      <c r="N69" s="21" t="inlineStr">
        <is>
          <t xml:space="preserve">          1M             1M            10K</t>
        </is>
      </c>
      <c r="O69" s="21" t="inlineStr">
        <is>
          <t>ErRNM6LhrSLVHt42m1FpMdretssiMaN7j6YM4hKnWcVM</t>
        </is>
      </c>
      <c r="P69" s="21">
        <f>HYPERLINK("https://dexscreener.com/solana/ErRNM6LhrSLVHt42m1FpMdretssiMaN7j6YM4hKnWcVM", "View")</f>
        <v/>
      </c>
    </row>
    <row r="70">
      <c r="A70" s="16" t="inlineStr">
        <is>
          <t>Baxter</t>
        </is>
      </c>
      <c r="B70" s="17" t="n">
        <v>7236480</v>
      </c>
      <c r="C70" s="17" t="n">
        <v>4631347</v>
      </c>
      <c r="D70" s="17" t="inlineStr">
        <is>
          <t>0.000380</t>
        </is>
      </c>
      <c r="E70" s="17" t="inlineStr">
        <is>
          <t>17.000 SOL</t>
        </is>
      </c>
      <c r="F70" s="17" t="inlineStr">
        <is>
          <t>37.162 SOL</t>
        </is>
      </c>
      <c r="G70" s="24" t="inlineStr">
        <is>
          <t>20.162 SOL</t>
        </is>
      </c>
      <c r="H70" s="24" t="inlineStr">
        <is>
          <t>118.60%</t>
        </is>
      </c>
      <c r="I70" s="17" t="inlineStr">
        <is>
          <t>N/A</t>
        </is>
      </c>
      <c r="J70" s="17" t="n">
        <v>4</v>
      </c>
      <c r="K70" s="17" t="n">
        <v>3</v>
      </c>
      <c r="L70" s="17" t="inlineStr">
        <is>
          <t>24.10.2024 21:30:59</t>
        </is>
      </c>
      <c r="M70" s="17" t="inlineStr">
        <is>
          <t>53 min</t>
        </is>
      </c>
      <c r="N70" s="17" t="inlineStr">
        <is>
          <t xml:space="preserve">        478K           409K            20K</t>
        </is>
      </c>
      <c r="O70" s="17" t="inlineStr">
        <is>
          <t>7LRwrLyztjtusMxCknD4UXMs9f8Cvn3GTobjH4ctt8AN</t>
        </is>
      </c>
      <c r="P70" s="17">
        <f>HYPERLINK("https://dexscreener.com/solana/7LRwrLyztjtusMxCknD4UXMs9f8Cvn3GTobjH4ctt8AN", "View")</f>
        <v/>
      </c>
    </row>
    <row r="71">
      <c r="A71" s="20" t="inlineStr">
        <is>
          <t>GIGA</t>
        </is>
      </c>
      <c r="B71" s="21" t="n">
        <v>16861255</v>
      </c>
      <c r="C71" s="21" t="n">
        <v>0</v>
      </c>
      <c r="D71" s="21" t="inlineStr">
        <is>
          <t>0.000110</t>
        </is>
      </c>
      <c r="E71" s="21" t="inlineStr">
        <is>
          <t>9.000 SOL</t>
        </is>
      </c>
      <c r="F71" s="21" t="inlineStr">
        <is>
          <t>0.000 SOL</t>
        </is>
      </c>
      <c r="G71" s="18" t="inlineStr">
        <is>
          <t>-9.000 SOL</t>
        </is>
      </c>
      <c r="H71" s="18" t="inlineStr">
        <is>
          <t>0.00%</t>
        </is>
      </c>
      <c r="I71" s="21" t="inlineStr">
        <is>
          <t>16,861,255</t>
        </is>
      </c>
      <c r="J71" s="21" t="n">
        <v>2</v>
      </c>
      <c r="K71" s="21" t="n">
        <v>0</v>
      </c>
      <c r="L71" s="21" t="inlineStr">
        <is>
          <t>24.10.2024 21:24:57</t>
        </is>
      </c>
      <c r="M71" s="21" t="inlineStr">
        <is>
          <t>1 min</t>
        </is>
      </c>
      <c r="N71" s="21" t="inlineStr">
        <is>
          <t xml:space="preserve">        101K            85K             4K</t>
        </is>
      </c>
      <c r="O71" s="21" t="inlineStr">
        <is>
          <t>FUpSAr2f3HF5sQ4YEFw1mYcvXfqs8k7qHRNEtW9ysPY7</t>
        </is>
      </c>
      <c r="P71" s="21">
        <f>HYPERLINK("https://dexscreener.com/solana/FUpSAr2f3HF5sQ4YEFw1mYcvXfqs8k7qHRNEtW9ysPY7", "View")</f>
        <v/>
      </c>
    </row>
    <row r="72">
      <c r="A72" s="16" t="inlineStr">
        <is>
          <t>GOATGOSPEL</t>
        </is>
      </c>
      <c r="B72" s="17" t="n">
        <v>3069854</v>
      </c>
      <c r="C72" s="17" t="n">
        <v>3069854</v>
      </c>
      <c r="D72" s="17" t="inlineStr">
        <is>
          <t>0.000110</t>
        </is>
      </c>
      <c r="E72" s="17" t="inlineStr">
        <is>
          <t>5.000 SOL</t>
        </is>
      </c>
      <c r="F72" s="17" t="inlineStr">
        <is>
          <t>5.457 SOL</t>
        </is>
      </c>
      <c r="G72" s="22" t="inlineStr">
        <is>
          <t>0.457 SOL</t>
        </is>
      </c>
      <c r="H72" s="22" t="inlineStr">
        <is>
          <t>9.15%</t>
        </is>
      </c>
      <c r="I72" s="17" t="inlineStr">
        <is>
          <t>N/A</t>
        </is>
      </c>
      <c r="J72" s="17" t="n">
        <v>1</v>
      </c>
      <c r="K72" s="17" t="n">
        <v>1</v>
      </c>
      <c r="L72" s="17" t="inlineStr">
        <is>
          <t>24.10.2024 20:53:55</t>
        </is>
      </c>
      <c r="M72" s="17" t="inlineStr">
        <is>
          <t>13 min</t>
        </is>
      </c>
      <c r="N72" s="17" t="inlineStr">
        <is>
          <t xml:space="preserve">        286K           286K            21K</t>
        </is>
      </c>
      <c r="O72" s="17" t="inlineStr">
        <is>
          <t>6rzxx5bCej7aB5WQnDsvTvPxgpo5LENimtkRy5FL5xKo</t>
        </is>
      </c>
      <c r="P72" s="17">
        <f>HYPERLINK("https://dexscreener.com/solana/6rzxx5bCej7aB5WQnDsvTvPxgpo5LENimtkRy5FL5xKo", "View")</f>
        <v/>
      </c>
    </row>
    <row r="73">
      <c r="A73" s="20" t="inlineStr">
        <is>
          <t>CHIIKAWA</t>
        </is>
      </c>
      <c r="B73" s="21" t="n">
        <v>942458</v>
      </c>
      <c r="C73" s="21" t="n">
        <v>0</v>
      </c>
      <c r="D73" s="21" t="inlineStr">
        <is>
          <t>0.000060</t>
        </is>
      </c>
      <c r="E73" s="21" t="inlineStr">
        <is>
          <t>2.000 SOL</t>
        </is>
      </c>
      <c r="F73" s="21" t="inlineStr">
        <is>
          <t>0.000 SOL</t>
        </is>
      </c>
      <c r="G73" s="18" t="inlineStr">
        <is>
          <t>-2.000 SOL</t>
        </is>
      </c>
      <c r="H73" s="18" t="inlineStr">
        <is>
          <t>0.00%</t>
        </is>
      </c>
      <c r="I73" s="21" t="inlineStr">
        <is>
          <t>942,458</t>
        </is>
      </c>
      <c r="J73" s="21" t="n">
        <v>1</v>
      </c>
      <c r="K73" s="21" t="n">
        <v>0</v>
      </c>
      <c r="L73" s="21" t="inlineStr">
        <is>
          <t>24.10.2024 16:39:46</t>
        </is>
      </c>
      <c r="M73" s="19" t="inlineStr">
        <is>
          <t>0 sec</t>
        </is>
      </c>
      <c r="N73" s="21" t="inlineStr">
        <is>
          <t xml:space="preserve">        372K           372K           290K</t>
        </is>
      </c>
      <c r="O73" s="21" t="inlineStr">
        <is>
          <t>DHoadXCbf6TcadkcMGJ8kFRdDa2sXPQ1KrgodUDRpump</t>
        </is>
      </c>
      <c r="P73" s="21">
        <f>HYPERLINK("https://dexscreener.com/solana/DHoadXCbf6TcadkcMGJ8kFRdDa2sXPQ1KrgodUDRpump", "View")</f>
        <v/>
      </c>
    </row>
    <row r="74">
      <c r="A74" s="16" t="inlineStr">
        <is>
          <t>Moloch</t>
        </is>
      </c>
      <c r="B74" s="17" t="n">
        <v>7795531</v>
      </c>
      <c r="C74" s="17" t="n">
        <v>0</v>
      </c>
      <c r="D74" s="17" t="inlineStr">
        <is>
          <t>0.000160</t>
        </is>
      </c>
      <c r="E74" s="17" t="inlineStr">
        <is>
          <t>4.000 SOL</t>
        </is>
      </c>
      <c r="F74" s="17" t="inlineStr">
        <is>
          <t>0.000 SOL</t>
        </is>
      </c>
      <c r="G74" s="18" t="inlineStr">
        <is>
          <t>-4.000 SOL</t>
        </is>
      </c>
      <c r="H74" s="18" t="inlineStr">
        <is>
          <t>0.00%</t>
        </is>
      </c>
      <c r="I74" s="17" t="inlineStr">
        <is>
          <t>7,795,531</t>
        </is>
      </c>
      <c r="J74" s="17" t="n">
        <v>3</v>
      </c>
      <c r="K74" s="17" t="n">
        <v>0</v>
      </c>
      <c r="L74" s="17" t="inlineStr">
        <is>
          <t>24.10.2024 16:37:01</t>
        </is>
      </c>
      <c r="M74" s="17" t="inlineStr">
        <is>
          <t>39 min</t>
        </is>
      </c>
      <c r="N74" s="17" t="inlineStr">
        <is>
          <t xml:space="preserve">        123K            51K             8K</t>
        </is>
      </c>
      <c r="O74" s="17" t="inlineStr">
        <is>
          <t>FdniK3BrfdcdBntCjDzBU4ikXdy1yH7hJJTF3eP2pump</t>
        </is>
      </c>
      <c r="P74" s="17">
        <f>HYPERLINK("https://dexscreener.com/solana/FdniK3BrfdcdBntCjDzBU4ikXdy1yH7hJJTF3eP2pump", "View")</f>
        <v/>
      </c>
    </row>
    <row r="75">
      <c r="A75" s="20" t="inlineStr">
        <is>
          <t>L/ACC</t>
        </is>
      </c>
      <c r="B75" s="21" t="n">
        <v>4788731</v>
      </c>
      <c r="C75" s="21" t="n">
        <v>0</v>
      </c>
      <c r="D75" s="21" t="inlineStr">
        <is>
          <t>0.000060</t>
        </is>
      </c>
      <c r="E75" s="21" t="inlineStr">
        <is>
          <t>1.022 SOL</t>
        </is>
      </c>
      <c r="F75" s="21" t="inlineStr">
        <is>
          <t>0.000 SOL</t>
        </is>
      </c>
      <c r="G75" s="18" t="inlineStr">
        <is>
          <t>-1.022 SOL</t>
        </is>
      </c>
      <c r="H75" s="18" t="inlineStr">
        <is>
          <t>0.00%</t>
        </is>
      </c>
      <c r="I75" s="21" t="inlineStr">
        <is>
          <t>4,788,731</t>
        </is>
      </c>
      <c r="J75" s="21" t="n">
        <v>1</v>
      </c>
      <c r="K75" s="21" t="n">
        <v>0</v>
      </c>
      <c r="L75" s="21" t="inlineStr">
        <is>
          <t>24.10.2024 16:25:15</t>
        </is>
      </c>
      <c r="M75" s="19" t="inlineStr">
        <is>
          <t>0 sec</t>
        </is>
      </c>
      <c r="N75" s="21" t="inlineStr">
        <is>
          <t xml:space="preserve">         37K            37K             6K</t>
        </is>
      </c>
      <c r="O75" s="21" t="inlineStr">
        <is>
          <t>4aRVGE1TvAjxsPggECAbBSSaoxNXZDkci6fnDC5Cpump</t>
        </is>
      </c>
      <c r="P75" s="21">
        <f>HYPERLINK("https://photon-sol.tinyastro.io/en/lp/4aRVGE1TvAjxsPggECAbBSSaoxNXZDkci6fnDC5Cpump?handle=676050794bc1b1657a56b", "View")</f>
        <v/>
      </c>
    </row>
    <row r="76">
      <c r="A76" s="16" t="inlineStr">
        <is>
          <t>pmarca</t>
        </is>
      </c>
      <c r="B76" s="17" t="n">
        <v>738684</v>
      </c>
      <c r="C76" s="17" t="n">
        <v>0</v>
      </c>
      <c r="D76" s="17" t="inlineStr">
        <is>
          <t>0.000060</t>
        </is>
      </c>
      <c r="E76" s="17" t="inlineStr">
        <is>
          <t>1.000 SOL</t>
        </is>
      </c>
      <c r="F76" s="17" t="inlineStr">
        <is>
          <t>0.000 SOL</t>
        </is>
      </c>
      <c r="G76" s="18" t="inlineStr">
        <is>
          <t>-1.000 SOL</t>
        </is>
      </c>
      <c r="H76" s="18" t="inlineStr">
        <is>
          <t>0.00%</t>
        </is>
      </c>
      <c r="I76" s="17" t="inlineStr">
        <is>
          <t>738,684</t>
        </is>
      </c>
      <c r="J76" s="17" t="n">
        <v>1</v>
      </c>
      <c r="K76" s="17" t="n">
        <v>0</v>
      </c>
      <c r="L76" s="17" t="inlineStr">
        <is>
          <t>24.10.2024 16:13:28</t>
        </is>
      </c>
      <c r="M76" s="19" t="inlineStr">
        <is>
          <t>0 sec</t>
        </is>
      </c>
      <c r="N76" s="17" t="inlineStr">
        <is>
          <t xml:space="preserve">        237K           237K            34K</t>
        </is>
      </c>
      <c r="O76" s="17" t="inlineStr">
        <is>
          <t>ASYYqwd3opdXHmmK3KSDHrtB1gCmZzB8PA8QVbaB39Qx</t>
        </is>
      </c>
      <c r="P76" s="17">
        <f>HYPERLINK("https://dexscreener.com/solana/ASYYqwd3opdXHmmK3KSDHrtB1gCmZzB8PA8QVbaB39Qx", "View")</f>
        <v/>
      </c>
    </row>
    <row r="77">
      <c r="A77" s="20" t="inlineStr">
        <is>
          <t>JIZZCOIN</t>
        </is>
      </c>
      <c r="B77" s="21" t="n">
        <v>1623969</v>
      </c>
      <c r="C77" s="21" t="n">
        <v>0</v>
      </c>
      <c r="D77" s="21" t="inlineStr">
        <is>
          <t>0.000060</t>
        </is>
      </c>
      <c r="E77" s="21" t="inlineStr">
        <is>
          <t>2.000 SOL</t>
        </is>
      </c>
      <c r="F77" s="21" t="inlineStr">
        <is>
          <t>0.000 SOL</t>
        </is>
      </c>
      <c r="G77" s="18" t="inlineStr">
        <is>
          <t>-2.000 SOL</t>
        </is>
      </c>
      <c r="H77" s="18" t="inlineStr">
        <is>
          <t>0.00%</t>
        </is>
      </c>
      <c r="I77" s="21" t="inlineStr">
        <is>
          <t>1,623,969</t>
        </is>
      </c>
      <c r="J77" s="21" t="n">
        <v>1</v>
      </c>
      <c r="K77" s="21" t="n">
        <v>0</v>
      </c>
      <c r="L77" s="21" t="inlineStr">
        <is>
          <t>24.10.2024 15:14:21</t>
        </is>
      </c>
      <c r="M77" s="19" t="inlineStr">
        <is>
          <t>0 sec</t>
        </is>
      </c>
      <c r="N77" s="21" t="inlineStr">
        <is>
          <t xml:space="preserve">        216K           216K             5K</t>
        </is>
      </c>
      <c r="O77" s="21" t="inlineStr">
        <is>
          <t>3qrEHV8zMR8BySfkQUCVQRnqjSDaCr9str6gRgRspump</t>
        </is>
      </c>
      <c r="P77" s="21">
        <f>HYPERLINK("https://dexscreener.com/solana/3qrEHV8zMR8BySfkQUCVQRnqjSDaCr9str6gRgRspump", "View")</f>
        <v/>
      </c>
    </row>
    <row r="78">
      <c r="A78" s="16" t="inlineStr">
        <is>
          <t>TOH</t>
        </is>
      </c>
      <c r="B78" s="17" t="n">
        <v>905103</v>
      </c>
      <c r="C78" s="17" t="n">
        <v>0</v>
      </c>
      <c r="D78" s="17" t="inlineStr">
        <is>
          <t>0.000060</t>
        </is>
      </c>
      <c r="E78" s="17" t="inlineStr">
        <is>
          <t>2.000 SOL</t>
        </is>
      </c>
      <c r="F78" s="17" t="inlineStr">
        <is>
          <t>0.000 SOL</t>
        </is>
      </c>
      <c r="G78" s="18" t="inlineStr">
        <is>
          <t>-2.000 SOL</t>
        </is>
      </c>
      <c r="H78" s="18" t="inlineStr">
        <is>
          <t>0.00%</t>
        </is>
      </c>
      <c r="I78" s="17" t="inlineStr">
        <is>
          <t>905,103</t>
        </is>
      </c>
      <c r="J78" s="17" t="n">
        <v>1</v>
      </c>
      <c r="K78" s="17" t="n">
        <v>0</v>
      </c>
      <c r="L78" s="17" t="inlineStr">
        <is>
          <t>24.10.2024 15:00:19</t>
        </is>
      </c>
      <c r="M78" s="19" t="inlineStr">
        <is>
          <t>0 sec</t>
        </is>
      </c>
      <c r="N78" s="17" t="inlineStr">
        <is>
          <t xml:space="preserve">        388K           388K             4K</t>
        </is>
      </c>
      <c r="O78" s="17" t="inlineStr">
        <is>
          <t>2aPiXF1oruhA75AJUTUwPE8N5vW2a2sjnMvJdmpopump</t>
        </is>
      </c>
      <c r="P78" s="17">
        <f>HYPERLINK("https://dexscreener.com/solana/2aPiXF1oruhA75AJUTUwPE8N5vW2a2sjnMvJdmpopump", "View")</f>
        <v/>
      </c>
    </row>
    <row r="79">
      <c r="A79" s="20" t="inlineStr">
        <is>
          <t>REMILIAI</t>
        </is>
      </c>
      <c r="B79" s="21" t="n">
        <v>12405498</v>
      </c>
      <c r="C79" s="21" t="n">
        <v>0</v>
      </c>
      <c r="D79" s="21" t="inlineStr">
        <is>
          <t>0.000060</t>
        </is>
      </c>
      <c r="E79" s="21" t="inlineStr">
        <is>
          <t>2.000 SOL</t>
        </is>
      </c>
      <c r="F79" s="21" t="inlineStr">
        <is>
          <t>0.000 SOL</t>
        </is>
      </c>
      <c r="G79" s="18" t="inlineStr">
        <is>
          <t>-2.000 SOL</t>
        </is>
      </c>
      <c r="H79" s="18" t="inlineStr">
        <is>
          <t>0.00%</t>
        </is>
      </c>
      <c r="I79" s="21" t="inlineStr">
        <is>
          <t>12,405,498</t>
        </is>
      </c>
      <c r="J79" s="21" t="n">
        <v>1</v>
      </c>
      <c r="K79" s="21" t="n">
        <v>0</v>
      </c>
      <c r="L79" s="21" t="inlineStr">
        <is>
          <t>24.10.2024 14:11:17</t>
        </is>
      </c>
      <c r="M79" s="19" t="inlineStr">
        <is>
          <t>0 sec</t>
        </is>
      </c>
      <c r="N79" s="21" t="inlineStr">
        <is>
          <t xml:space="preserve">         28K            28K            13K</t>
        </is>
      </c>
      <c r="O79" s="21" t="inlineStr">
        <is>
          <t>55kg2An8ucQzEzXpvNVpYXq9579dETmgkbYVud1vpump</t>
        </is>
      </c>
      <c r="P79" s="21">
        <f>HYPERLINK("https://dexscreener.com/solana/55kg2An8ucQzEzXpvNVpYXq9579dETmgkbYVud1vpump", "View")</f>
        <v/>
      </c>
    </row>
    <row r="80">
      <c r="A80" s="16" t="inlineStr">
        <is>
          <t>KIRK</t>
        </is>
      </c>
      <c r="B80" s="17" t="n">
        <v>32136491</v>
      </c>
      <c r="C80" s="17" t="n">
        <v>0</v>
      </c>
      <c r="D80" s="17" t="inlineStr">
        <is>
          <t>0.000220</t>
        </is>
      </c>
      <c r="E80" s="17" t="inlineStr">
        <is>
          <t>15.000 SOL</t>
        </is>
      </c>
      <c r="F80" s="17" t="inlineStr">
        <is>
          <t>0.000 SOL</t>
        </is>
      </c>
      <c r="G80" s="18" t="inlineStr">
        <is>
          <t>-15.000 SOL</t>
        </is>
      </c>
      <c r="H80" s="18" t="inlineStr">
        <is>
          <t>0.00%</t>
        </is>
      </c>
      <c r="I80" s="17" t="inlineStr">
        <is>
          <t>32,136,491</t>
        </is>
      </c>
      <c r="J80" s="17" t="n">
        <v>4</v>
      </c>
      <c r="K80" s="17" t="n">
        <v>0</v>
      </c>
      <c r="L80" s="17" t="inlineStr">
        <is>
          <t>24.10.2024 13:28:34</t>
        </is>
      </c>
      <c r="M80" s="17" t="inlineStr">
        <is>
          <t>10 min</t>
        </is>
      </c>
      <c r="N80" s="17" t="inlineStr">
        <is>
          <t xml:space="preserve">         53K           162K            65K</t>
        </is>
      </c>
      <c r="O80" s="17" t="inlineStr">
        <is>
          <t>9CA4oDuvnP5oULiechySPf6FxnNS7JmG1VL19X5spump</t>
        </is>
      </c>
      <c r="P80" s="17">
        <f>HYPERLINK("https://dexscreener.com/solana/9CA4oDuvnP5oULiechySPf6FxnNS7JmG1VL19X5spump", "View")</f>
        <v/>
      </c>
    </row>
    <row r="81">
      <c r="A81" s="20" t="inlineStr">
        <is>
          <t>GOATSE</t>
        </is>
      </c>
      <c r="B81" s="21" t="n">
        <v>16412295</v>
      </c>
      <c r="C81" s="21" t="n">
        <v>0</v>
      </c>
      <c r="D81" s="21" t="inlineStr">
        <is>
          <t>0.000060</t>
        </is>
      </c>
      <c r="E81" s="21" t="inlineStr">
        <is>
          <t>2.000 SOL</t>
        </is>
      </c>
      <c r="F81" s="21" t="inlineStr">
        <is>
          <t>0.000 SOL</t>
        </is>
      </c>
      <c r="G81" s="18" t="inlineStr">
        <is>
          <t>-2.000 SOL</t>
        </is>
      </c>
      <c r="H81" s="18" t="inlineStr">
        <is>
          <t>0.00%</t>
        </is>
      </c>
      <c r="I81" s="21" t="inlineStr">
        <is>
          <t>16,412,295</t>
        </is>
      </c>
      <c r="J81" s="21" t="n">
        <v>1</v>
      </c>
      <c r="K81" s="21" t="n">
        <v>0</v>
      </c>
      <c r="L81" s="21" t="inlineStr">
        <is>
          <t>24.10.2024 06:14:45</t>
        </is>
      </c>
      <c r="M81" s="19" t="inlineStr">
        <is>
          <t>0 sec</t>
        </is>
      </c>
      <c r="N81" s="21" t="inlineStr">
        <is>
          <t xml:space="preserve">        218K           218K            58K</t>
        </is>
      </c>
      <c r="O81" s="21" t="inlineStr">
        <is>
          <t>4f9Nc1vPWvcbGP9Zfi6TWD9tApyMgBrqmXexNZnR4Wmo</t>
        </is>
      </c>
      <c r="P81" s="21">
        <f>HYPERLINK("https://dexscreener.com/solana/4f9Nc1vPWvcbGP9Zfi6TWD9tApyMgBrqmXexNZnR4Wmo", "View")</f>
        <v/>
      </c>
    </row>
    <row r="82">
      <c r="A82" s="16" t="inlineStr">
        <is>
          <t>BLU</t>
        </is>
      </c>
      <c r="B82" s="17" t="n">
        <v>3517738</v>
      </c>
      <c r="C82" s="17" t="n">
        <v>1758869</v>
      </c>
      <c r="D82" s="17" t="inlineStr">
        <is>
          <t>0.000110</t>
        </is>
      </c>
      <c r="E82" s="17" t="inlineStr">
        <is>
          <t>8.000 SOL</t>
        </is>
      </c>
      <c r="F82" s="17" t="inlineStr">
        <is>
          <t>4.782 SOL</t>
        </is>
      </c>
      <c r="G82" s="25" t="inlineStr">
        <is>
          <t>-3.218 SOL</t>
        </is>
      </c>
      <c r="H82" s="25" t="inlineStr">
        <is>
          <t>-40.23%</t>
        </is>
      </c>
      <c r="I82" s="17" t="inlineStr">
        <is>
          <t>N/A</t>
        </is>
      </c>
      <c r="J82" s="17" t="n">
        <v>1</v>
      </c>
      <c r="K82" s="17" t="n">
        <v>1</v>
      </c>
      <c r="L82" s="17" t="inlineStr">
        <is>
          <t>24.10.2024 04:35:21</t>
        </is>
      </c>
      <c r="M82" s="17" t="inlineStr">
        <is>
          <t>31 min</t>
        </is>
      </c>
      <c r="N82" s="17" t="inlineStr">
        <is>
          <t xml:space="preserve">        399K           478K            34K</t>
        </is>
      </c>
      <c r="O82" s="17" t="inlineStr">
        <is>
          <t>FXPn4kM8M252tbRXV4mvdqSQvY6jrg3J5cuRCphXpump</t>
        </is>
      </c>
      <c r="P82" s="17">
        <f>HYPERLINK("https://dexscreener.com/solana/FXPn4kM8M252tbRXV4mvdqSQvY6jrg3J5cuRCphXpump", "View")</f>
        <v/>
      </c>
    </row>
    <row r="83">
      <c r="A83" s="20" t="inlineStr">
        <is>
          <t>NEO</t>
        </is>
      </c>
      <c r="B83" s="21" t="n">
        <v>6851144</v>
      </c>
      <c r="C83" s="21" t="n">
        <v>0</v>
      </c>
      <c r="D83" s="21" t="inlineStr">
        <is>
          <t>0.000110</t>
        </is>
      </c>
      <c r="E83" s="21" t="inlineStr">
        <is>
          <t>7.000 SOL</t>
        </is>
      </c>
      <c r="F83" s="21" t="inlineStr">
        <is>
          <t>0.000 SOL</t>
        </is>
      </c>
      <c r="G83" s="18" t="inlineStr">
        <is>
          <t>-7.000 SOL</t>
        </is>
      </c>
      <c r="H83" s="18" t="inlineStr">
        <is>
          <t>0.00%</t>
        </is>
      </c>
      <c r="I83" s="21" t="inlineStr">
        <is>
          <t>6,851,144</t>
        </is>
      </c>
      <c r="J83" s="21" t="n">
        <v>2</v>
      </c>
      <c r="K83" s="21" t="n">
        <v>0</v>
      </c>
      <c r="L83" s="21" t="inlineStr">
        <is>
          <t>24.10.2024 03:58:15</t>
        </is>
      </c>
      <c r="M83" s="19" t="inlineStr">
        <is>
          <t>22 sec</t>
        </is>
      </c>
      <c r="N83" s="21" t="inlineStr">
        <is>
          <t xml:space="preserve">        156K           223K            18K</t>
        </is>
      </c>
      <c r="O83" s="21" t="inlineStr">
        <is>
          <t>E5B5yyJWgNSQCHELcPWHsHPmpxj97rTnifNo28RXpump</t>
        </is>
      </c>
      <c r="P83" s="21">
        <f>HYPERLINK("https://dexscreener.com/solana/E5B5yyJWgNSQCHELcPWHsHPmpxj97rTnifNo28RXpump", "View")</f>
        <v/>
      </c>
    </row>
    <row r="84">
      <c r="A84" s="16" t="inlineStr">
        <is>
          <t>SCOOP</t>
        </is>
      </c>
      <c r="B84" s="17" t="n">
        <v>114638</v>
      </c>
      <c r="C84" s="17" t="n">
        <v>114638</v>
      </c>
      <c r="D84" s="17" t="inlineStr">
        <is>
          <t>0.000110</t>
        </is>
      </c>
      <c r="E84" s="17" t="inlineStr">
        <is>
          <t>3.000 SOL</t>
        </is>
      </c>
      <c r="F84" s="17" t="inlineStr">
        <is>
          <t>9.317 SOL</t>
        </is>
      </c>
      <c r="G84" s="24" t="inlineStr">
        <is>
          <t>6.317 SOL</t>
        </is>
      </c>
      <c r="H84" s="24" t="inlineStr">
        <is>
          <t>210.57%</t>
        </is>
      </c>
      <c r="I84" s="17" t="inlineStr">
        <is>
          <t>N/A</t>
        </is>
      </c>
      <c r="J84" s="17" t="n">
        <v>1</v>
      </c>
      <c r="K84" s="17" t="n">
        <v>1</v>
      </c>
      <c r="L84" s="17" t="inlineStr">
        <is>
          <t>24.10.2024 03:08:12</t>
        </is>
      </c>
      <c r="M84" s="17" t="inlineStr">
        <is>
          <t>3 hours</t>
        </is>
      </c>
      <c r="N84" s="17" t="inlineStr">
        <is>
          <t xml:space="preserve">          5M             5M           516K</t>
        </is>
      </c>
      <c r="O84" s="17" t="inlineStr">
        <is>
          <t>4TcqMXdZBjxirf2vtYikWt1ix3YoHJoFAZwrqe39pump</t>
        </is>
      </c>
      <c r="P84" s="17">
        <f>HYPERLINK("https://dexscreener.com/solana/4TcqMXdZBjxirf2vtYikWt1ix3YoHJoFAZwrqe39pump", "View")</f>
        <v/>
      </c>
    </row>
    <row r="85">
      <c r="A85" s="20" t="inlineStr">
        <is>
          <t>SCOOP</t>
        </is>
      </c>
      <c r="B85" s="21" t="n">
        <v>24891189</v>
      </c>
      <c r="C85" s="21" t="n">
        <v>0</v>
      </c>
      <c r="D85" s="21" t="inlineStr">
        <is>
          <t>0.000060</t>
        </is>
      </c>
      <c r="E85" s="21" t="inlineStr">
        <is>
          <t>2.000 SOL</t>
        </is>
      </c>
      <c r="F85" s="21" t="inlineStr">
        <is>
          <t>0.000 SOL</t>
        </is>
      </c>
      <c r="G85" s="18" t="inlineStr">
        <is>
          <t>-2.000 SOL</t>
        </is>
      </c>
      <c r="H85" s="18" t="inlineStr">
        <is>
          <t>0.00%</t>
        </is>
      </c>
      <c r="I85" s="21" t="inlineStr">
        <is>
          <t>24,891,189</t>
        </is>
      </c>
      <c r="J85" s="21" t="n">
        <v>1</v>
      </c>
      <c r="K85" s="21" t="n">
        <v>0</v>
      </c>
      <c r="L85" s="21" t="inlineStr">
        <is>
          <t>24.10.2024 01:18:41</t>
        </is>
      </c>
      <c r="M85" s="19" t="inlineStr">
        <is>
          <t>0 sec</t>
        </is>
      </c>
      <c r="N85" s="21" t="inlineStr">
        <is>
          <t xml:space="preserve">         14K            14K             4K</t>
        </is>
      </c>
      <c r="O85" s="21" t="inlineStr">
        <is>
          <t>6rSjoegunjMh6aQR9XTgHnxtXGXPnw4dZ598e9BFpump</t>
        </is>
      </c>
      <c r="P85" s="21">
        <f>HYPERLINK("https://dexscreener.com/solana/6rSjoegunjMh6aQR9XTgHnxtXGXPnw4dZ598e9BFpump", "View")</f>
        <v/>
      </c>
    </row>
    <row r="86">
      <c r="A86" s="16" t="inlineStr">
        <is>
          <t>Docuverse</t>
        </is>
      </c>
      <c r="B86" s="17" t="n">
        <v>2870727</v>
      </c>
      <c r="C86" s="17" t="n">
        <v>0</v>
      </c>
      <c r="D86" s="17" t="inlineStr">
        <is>
          <t>0.000060</t>
        </is>
      </c>
      <c r="E86" s="17" t="inlineStr">
        <is>
          <t>2.000 SOL</t>
        </is>
      </c>
      <c r="F86" s="17" t="inlineStr">
        <is>
          <t>0.000 SOL</t>
        </is>
      </c>
      <c r="G86" s="18" t="inlineStr">
        <is>
          <t>-2.000 SOL</t>
        </is>
      </c>
      <c r="H86" s="18" t="inlineStr">
        <is>
          <t>0.00%</t>
        </is>
      </c>
      <c r="I86" s="17" t="inlineStr">
        <is>
          <t>2,870,727</t>
        </is>
      </c>
      <c r="J86" s="17" t="n">
        <v>1</v>
      </c>
      <c r="K86" s="17" t="n">
        <v>0</v>
      </c>
      <c r="L86" s="17" t="inlineStr">
        <is>
          <t>24.10.2024 00:23:15</t>
        </is>
      </c>
      <c r="M86" s="19" t="inlineStr">
        <is>
          <t>0 sec</t>
        </is>
      </c>
      <c r="N86" s="17" t="inlineStr">
        <is>
          <t xml:space="preserve">        123K           123K             4K</t>
        </is>
      </c>
      <c r="O86" s="17" t="inlineStr">
        <is>
          <t>qtcA7YoqGHybqFhBi8MjaU4rgppRepffxsPU167pump</t>
        </is>
      </c>
      <c r="P86" s="17">
        <f>HYPERLINK("https://dexscreener.com/solana/qtcA7YoqGHybqFhBi8MjaU4rgppRepffxsPU167pump", "View")</f>
        <v/>
      </c>
    </row>
    <row r="87">
      <c r="A87" s="20" t="inlineStr">
        <is>
          <t>EXO</t>
        </is>
      </c>
      <c r="B87" s="21" t="n">
        <v>1276676</v>
      </c>
      <c r="C87" s="21" t="n">
        <v>0</v>
      </c>
      <c r="D87" s="21" t="inlineStr">
        <is>
          <t>0.000110</t>
        </is>
      </c>
      <c r="E87" s="21" t="inlineStr">
        <is>
          <t>5.000 SOL</t>
        </is>
      </c>
      <c r="F87" s="21" t="inlineStr">
        <is>
          <t>0.000 SOL</t>
        </is>
      </c>
      <c r="G87" s="18" t="inlineStr">
        <is>
          <t>-5.000 SOL</t>
        </is>
      </c>
      <c r="H87" s="18" t="inlineStr">
        <is>
          <t>0.00%</t>
        </is>
      </c>
      <c r="I87" s="21" t="inlineStr">
        <is>
          <t>1,276,676</t>
        </is>
      </c>
      <c r="J87" s="21" t="n">
        <v>2</v>
      </c>
      <c r="K87" s="21" t="n">
        <v>0</v>
      </c>
      <c r="L87" s="21" t="inlineStr">
        <is>
          <t>23.10.2024 23:43:48</t>
        </is>
      </c>
      <c r="M87" s="21" t="inlineStr">
        <is>
          <t>4 min</t>
        </is>
      </c>
      <c r="N87" s="21" t="inlineStr">
        <is>
          <t xml:space="preserve">        717K           671K            25K</t>
        </is>
      </c>
      <c r="O87" s="21" t="inlineStr">
        <is>
          <t>2ho4cNvfFV9DWvw7DzCqrN2HMRdvzYJFHTR2Ts8Kpump</t>
        </is>
      </c>
      <c r="P87" s="21">
        <f>HYPERLINK("https://dexscreener.com/solana/2ho4cNvfFV9DWvw7DzCqrN2HMRdvzYJFHTR2Ts8Kpump", "View")</f>
        <v/>
      </c>
    </row>
    <row r="88">
      <c r="A88" s="16" t="inlineStr">
        <is>
          <t xml:space="preserve">GRUMPY </t>
        </is>
      </c>
      <c r="B88" s="17" t="n">
        <v>16284981</v>
      </c>
      <c r="C88" s="17" t="n">
        <v>0</v>
      </c>
      <c r="D88" s="17" t="inlineStr">
        <is>
          <t>0.000060</t>
        </is>
      </c>
      <c r="E88" s="17" t="inlineStr">
        <is>
          <t>2.000 SOL</t>
        </is>
      </c>
      <c r="F88" s="17" t="inlineStr">
        <is>
          <t>0.000 SOL</t>
        </is>
      </c>
      <c r="G88" s="18" t="inlineStr">
        <is>
          <t>-2.000 SOL</t>
        </is>
      </c>
      <c r="H88" s="18" t="inlineStr">
        <is>
          <t>0.00%</t>
        </is>
      </c>
      <c r="I88" s="17" t="inlineStr">
        <is>
          <t>16,284,981</t>
        </is>
      </c>
      <c r="J88" s="17" t="n">
        <v>1</v>
      </c>
      <c r="K88" s="17" t="n">
        <v>0</v>
      </c>
      <c r="L88" s="17" t="inlineStr">
        <is>
          <t>23.10.2024 21:24:03</t>
        </is>
      </c>
      <c r="M88" s="19" t="inlineStr">
        <is>
          <t>0 sec</t>
        </is>
      </c>
      <c r="N88" s="17" t="inlineStr">
        <is>
          <t xml:space="preserve">         21K            21K             4K</t>
        </is>
      </c>
      <c r="O88" s="17" t="inlineStr">
        <is>
          <t>DfFXNtqWf37ToztB3tKQqbcdA9rQCX8TU3WHPaYApump</t>
        </is>
      </c>
      <c r="P88" s="17">
        <f>HYPERLINK("https://dexscreener.com/solana/DfFXNtqWf37ToztB3tKQqbcdA9rQCX8TU3WHPaYApump", "View")</f>
        <v/>
      </c>
    </row>
    <row r="89">
      <c r="A89" s="20" t="inlineStr">
        <is>
          <t>LUCAS</t>
        </is>
      </c>
      <c r="B89" s="21" t="n">
        <v>19476508</v>
      </c>
      <c r="C89" s="21" t="n">
        <v>0</v>
      </c>
      <c r="D89" s="21" t="inlineStr">
        <is>
          <t>0.000060</t>
        </is>
      </c>
      <c r="E89" s="21" t="inlineStr">
        <is>
          <t>0.981 SOL</t>
        </is>
      </c>
      <c r="F89" s="21" t="inlineStr">
        <is>
          <t>0.000 SOL</t>
        </is>
      </c>
      <c r="G89" s="18" t="inlineStr">
        <is>
          <t>-0.981 SOL</t>
        </is>
      </c>
      <c r="H89" s="18" t="inlineStr">
        <is>
          <t>0.00%</t>
        </is>
      </c>
      <c r="I89" s="21" t="inlineStr">
        <is>
          <t>19,476,508</t>
        </is>
      </c>
      <c r="J89" s="21" t="n">
        <v>1</v>
      </c>
      <c r="K89" s="21" t="n">
        <v>0</v>
      </c>
      <c r="L89" s="21" t="inlineStr">
        <is>
          <t>23.10.2024 21:20:03</t>
        </is>
      </c>
      <c r="M89" s="19" t="inlineStr">
        <is>
          <t>0 sec</t>
        </is>
      </c>
      <c r="N89" s="21" t="inlineStr">
        <is>
          <t xml:space="preserve">          9K             9K             6K</t>
        </is>
      </c>
      <c r="O89" s="21" t="inlineStr">
        <is>
          <t>2nVvcPoTDVKk7dqRzGwFGAPz3HGbP27v8vydtSsjpump</t>
        </is>
      </c>
      <c r="P89" s="21">
        <f>HYPERLINK("https://photon-sol.tinyastro.io/en/lp/2nVvcPoTDVKk7dqRzGwFGAPz3HGbP27v8vydtSsjpump?handle=676050794bc1b1657a56b", "View")</f>
        <v/>
      </c>
    </row>
    <row r="90">
      <c r="A90" s="16" t="inlineStr">
        <is>
          <t>WojakAI</t>
        </is>
      </c>
      <c r="B90" s="17" t="n">
        <v>1812534</v>
      </c>
      <c r="C90" s="17" t="n">
        <v>0</v>
      </c>
      <c r="D90" s="17" t="inlineStr">
        <is>
          <t>0.000060</t>
        </is>
      </c>
      <c r="E90" s="17" t="inlineStr">
        <is>
          <t>3.000 SOL</t>
        </is>
      </c>
      <c r="F90" s="17" t="inlineStr">
        <is>
          <t>0.000 SOL</t>
        </is>
      </c>
      <c r="G90" s="18" t="inlineStr">
        <is>
          <t>-3.000 SOL</t>
        </is>
      </c>
      <c r="H90" s="18" t="inlineStr">
        <is>
          <t>0.00%</t>
        </is>
      </c>
      <c r="I90" s="17" t="inlineStr">
        <is>
          <t>1,812,534</t>
        </is>
      </c>
      <c r="J90" s="17" t="n">
        <v>1</v>
      </c>
      <c r="K90" s="17" t="n">
        <v>0</v>
      </c>
      <c r="L90" s="17" t="inlineStr">
        <is>
          <t>23.10.2024 21:13:54</t>
        </is>
      </c>
      <c r="M90" s="19" t="inlineStr">
        <is>
          <t>0 sec</t>
        </is>
      </c>
      <c r="N90" s="17" t="inlineStr">
        <is>
          <t xml:space="preserve">        292K           292K            14K</t>
        </is>
      </c>
      <c r="O90" s="17" t="inlineStr">
        <is>
          <t>GLz7XZbAuqakNKqpheYFZfkj7gcY3K3RxFLQPqFpump</t>
        </is>
      </c>
      <c r="P90" s="17">
        <f>HYPERLINK("https://dexscreener.com/solana/GLz7XZbAuqakNKqpheYFZfkj7gcY3K3RxFLQPqFpump", "View")</f>
        <v/>
      </c>
    </row>
    <row r="91">
      <c r="A91" s="20" t="inlineStr">
        <is>
          <t>lucy</t>
        </is>
      </c>
      <c r="B91" s="21" t="n">
        <v>16943449</v>
      </c>
      <c r="C91" s="21" t="n">
        <v>0</v>
      </c>
      <c r="D91" s="21" t="inlineStr">
        <is>
          <t>0.000110</t>
        </is>
      </c>
      <c r="E91" s="21" t="inlineStr">
        <is>
          <t>5.000 SOL</t>
        </is>
      </c>
      <c r="F91" s="21" t="inlineStr">
        <is>
          <t>0.000 SOL</t>
        </is>
      </c>
      <c r="G91" s="18" t="inlineStr">
        <is>
          <t>-5.000 SOL</t>
        </is>
      </c>
      <c r="H91" s="18" t="inlineStr">
        <is>
          <t>0.00%</t>
        </is>
      </c>
      <c r="I91" s="21" t="inlineStr">
        <is>
          <t>16,943,449</t>
        </is>
      </c>
      <c r="J91" s="21" t="n">
        <v>2</v>
      </c>
      <c r="K91" s="21" t="n">
        <v>0</v>
      </c>
      <c r="L91" s="21" t="inlineStr">
        <is>
          <t>23.10.2024 21:06:04</t>
        </is>
      </c>
      <c r="M91" s="19" t="inlineStr">
        <is>
          <t>23 sec</t>
        </is>
      </c>
      <c r="N91" s="21" t="inlineStr">
        <is>
          <t xml:space="preserve">         77K            23K             4K</t>
        </is>
      </c>
      <c r="O91" s="21" t="inlineStr">
        <is>
          <t>BEGZpbEFqjkqwXYMU7iUknt7sW36J3bH2dKKZVVUpump</t>
        </is>
      </c>
      <c r="P91" s="21">
        <f>HYPERLINK("https://dexscreener.com/solana/BEGZpbEFqjkqwXYMU7iUknt7sW36J3bH2dKKZVVUpump", "View")</f>
        <v/>
      </c>
    </row>
    <row r="92">
      <c r="A92" s="16" t="inlineStr">
        <is>
          <t>Lucy</t>
        </is>
      </c>
      <c r="B92" s="17" t="n">
        <v>11151296</v>
      </c>
      <c r="C92" s="17" t="n">
        <v>0</v>
      </c>
      <c r="D92" s="17" t="inlineStr">
        <is>
          <t>0.000060</t>
        </is>
      </c>
      <c r="E92" s="17" t="inlineStr">
        <is>
          <t>2.042 SOL</t>
        </is>
      </c>
      <c r="F92" s="17" t="inlineStr">
        <is>
          <t>0.000 SOL</t>
        </is>
      </c>
      <c r="G92" s="18" t="inlineStr">
        <is>
          <t>-2.042 SOL</t>
        </is>
      </c>
      <c r="H92" s="18" t="inlineStr">
        <is>
          <t>0.00%</t>
        </is>
      </c>
      <c r="I92" s="17" t="inlineStr">
        <is>
          <t>11,151,296</t>
        </is>
      </c>
      <c r="J92" s="17" t="n">
        <v>1</v>
      </c>
      <c r="K92" s="17" t="n">
        <v>0</v>
      </c>
      <c r="L92" s="17" t="inlineStr">
        <is>
          <t>23.10.2024 21:01:54</t>
        </is>
      </c>
      <c r="M92" s="19" t="inlineStr">
        <is>
          <t>0 sec</t>
        </is>
      </c>
      <c r="N92" s="17" t="inlineStr">
        <is>
          <t xml:space="preserve">         32K            32K             6K</t>
        </is>
      </c>
      <c r="O92" s="17" t="inlineStr">
        <is>
          <t>ADVzHqPLrEhC4M1U4nbJTYaKHVoq2ZryNfePFPvfpump</t>
        </is>
      </c>
      <c r="P92" s="17">
        <f>HYPERLINK("https://photon-sol.tinyastro.io/en/lp/ADVzHqPLrEhC4M1U4nbJTYaKHVoq2ZryNfePFPvfpump?handle=676050794bc1b1657a56b", "View")</f>
        <v/>
      </c>
    </row>
    <row r="93">
      <c r="A93" s="20" t="inlineStr">
        <is>
          <t>す る AI</t>
        </is>
      </c>
      <c r="B93" s="21" t="n">
        <v>1056269</v>
      </c>
      <c r="C93" s="21" t="n">
        <v>0</v>
      </c>
      <c r="D93" s="21" t="inlineStr">
        <is>
          <t>0.000060</t>
        </is>
      </c>
      <c r="E93" s="21" t="inlineStr">
        <is>
          <t>2.000 SOL</t>
        </is>
      </c>
      <c r="F93" s="21" t="inlineStr">
        <is>
          <t>0.000 SOL</t>
        </is>
      </c>
      <c r="G93" s="18" t="inlineStr">
        <is>
          <t>-2.000 SOL</t>
        </is>
      </c>
      <c r="H93" s="18" t="inlineStr">
        <is>
          <t>0.00%</t>
        </is>
      </c>
      <c r="I93" s="21" t="inlineStr">
        <is>
          <t>1,056,269</t>
        </is>
      </c>
      <c r="J93" s="21" t="n">
        <v>1</v>
      </c>
      <c r="K93" s="21" t="n">
        <v>0</v>
      </c>
      <c r="L93" s="21" t="inlineStr">
        <is>
          <t>23.10.2024 20:26:38</t>
        </is>
      </c>
      <c r="M93" s="19" t="inlineStr">
        <is>
          <t>0 sec</t>
        </is>
      </c>
      <c r="N93" s="21" t="inlineStr">
        <is>
          <t xml:space="preserve">        332K           332K             8K</t>
        </is>
      </c>
      <c r="O93" s="21" t="inlineStr">
        <is>
          <t>Ctkd5XNt9SAYVgdoD36BQw7cTktjMAUJ954kah1Hpump</t>
        </is>
      </c>
      <c r="P93" s="21">
        <f>HYPERLINK("https://dexscreener.com/solana/Ctkd5XNt9SAYVgdoD36BQw7cTktjMAUJ954kah1Hpump", "View")</f>
        <v/>
      </c>
    </row>
    <row r="94">
      <c r="A94" s="16" t="inlineStr">
        <is>
          <t>Shapeless</t>
        </is>
      </c>
      <c r="B94" s="17" t="n">
        <v>1715140</v>
      </c>
      <c r="C94" s="17" t="n">
        <v>0</v>
      </c>
      <c r="D94" s="17" t="inlineStr">
        <is>
          <t>0.000060</t>
        </is>
      </c>
      <c r="E94" s="17" t="inlineStr">
        <is>
          <t>2.000 SOL</t>
        </is>
      </c>
      <c r="F94" s="17" t="inlineStr">
        <is>
          <t>0.000 SOL</t>
        </is>
      </c>
      <c r="G94" s="18" t="inlineStr">
        <is>
          <t>-2.000 SOL</t>
        </is>
      </c>
      <c r="H94" s="18" t="inlineStr">
        <is>
          <t>0.00%</t>
        </is>
      </c>
      <c r="I94" s="17" t="inlineStr">
        <is>
          <t>1,715,140</t>
        </is>
      </c>
      <c r="J94" s="17" t="n">
        <v>1</v>
      </c>
      <c r="K94" s="17" t="n">
        <v>0</v>
      </c>
      <c r="L94" s="17" t="inlineStr">
        <is>
          <t>23.10.2024 19:55:31</t>
        </is>
      </c>
      <c r="M94" s="19" t="inlineStr">
        <is>
          <t>0 sec</t>
        </is>
      </c>
      <c r="N94" s="17" t="inlineStr">
        <is>
          <t xml:space="preserve">        205K           205K            16K</t>
        </is>
      </c>
      <c r="O94" s="17" t="inlineStr">
        <is>
          <t>A1mvjhm4nTxGSHuW1EYqpkSMfQxjdTapbcVHLgm1pump</t>
        </is>
      </c>
      <c r="P94" s="17">
        <f>HYPERLINK("https://dexscreener.com/solana/A1mvjhm4nTxGSHuW1EYqpkSMfQxjdTapbcVHLgm1pump", "View")</f>
        <v/>
      </c>
    </row>
    <row r="95">
      <c r="A95" s="20" t="inlineStr">
        <is>
          <t>HUGH</t>
        </is>
      </c>
      <c r="B95" s="21" t="n">
        <v>25421381</v>
      </c>
      <c r="C95" s="21" t="n">
        <v>0</v>
      </c>
      <c r="D95" s="21" t="inlineStr">
        <is>
          <t>0.000220</t>
        </is>
      </c>
      <c r="E95" s="21" t="inlineStr">
        <is>
          <t>25.000 SOL</t>
        </is>
      </c>
      <c r="F95" s="21" t="inlineStr">
        <is>
          <t>0.000 SOL</t>
        </is>
      </c>
      <c r="G95" s="18" t="inlineStr">
        <is>
          <t>-25.000 SOL</t>
        </is>
      </c>
      <c r="H95" s="18" t="inlineStr">
        <is>
          <t>0.00%</t>
        </is>
      </c>
      <c r="I95" s="21" t="inlineStr">
        <is>
          <t>25,421,381</t>
        </is>
      </c>
      <c r="J95" s="21" t="n">
        <v>4</v>
      </c>
      <c r="K95" s="21" t="n">
        <v>0</v>
      </c>
      <c r="L95" s="21" t="inlineStr">
        <is>
          <t>23.10.2024 19:35:54</t>
        </is>
      </c>
      <c r="M95" s="21" t="inlineStr">
        <is>
          <t>1 min</t>
        </is>
      </c>
      <c r="N95" s="21" t="inlineStr">
        <is>
          <t xml:space="preserve">         81K           322K            25K</t>
        </is>
      </c>
      <c r="O95" s="21" t="inlineStr">
        <is>
          <t>FPpUFFAr7pmwGA4sqhwRBFJ4oB5URjWensimfL3zpump</t>
        </is>
      </c>
      <c r="P95" s="21">
        <f>HYPERLINK("https://dexscreener.com/solana/FPpUFFAr7pmwGA4sqhwRBFJ4oB5URjWensimfL3zpump", "View")</f>
        <v/>
      </c>
    </row>
    <row r="96">
      <c r="A96" s="16" t="inlineStr">
        <is>
          <t>MANLET</t>
        </is>
      </c>
      <c r="B96" s="17" t="n">
        <v>3593167</v>
      </c>
      <c r="C96" s="17" t="n">
        <v>0</v>
      </c>
      <c r="D96" s="17" t="inlineStr">
        <is>
          <t>0.000060</t>
        </is>
      </c>
      <c r="E96" s="17" t="inlineStr">
        <is>
          <t>5.000 SOL</t>
        </is>
      </c>
      <c r="F96" s="17" t="inlineStr">
        <is>
          <t>0.000 SOL</t>
        </is>
      </c>
      <c r="G96" s="18" t="inlineStr">
        <is>
          <t>-5.000 SOL</t>
        </is>
      </c>
      <c r="H96" s="18" t="inlineStr">
        <is>
          <t>0.00%</t>
        </is>
      </c>
      <c r="I96" s="17" t="inlineStr">
        <is>
          <t>3,593,167</t>
        </is>
      </c>
      <c r="J96" s="17" t="n">
        <v>1</v>
      </c>
      <c r="K96" s="17" t="n">
        <v>0</v>
      </c>
      <c r="L96" s="17" t="inlineStr">
        <is>
          <t>23.10.2024 19:16:54</t>
        </is>
      </c>
      <c r="M96" s="19" t="inlineStr">
        <is>
          <t>0 sec</t>
        </is>
      </c>
      <c r="N96" s="17" t="inlineStr">
        <is>
          <t xml:space="preserve">        244K           244K           211K</t>
        </is>
      </c>
      <c r="O96" s="17" t="inlineStr">
        <is>
          <t>5HvxUFGRRV5FhzJtHDYM5uhSTjWGPp9XQxLLjhMcj382</t>
        </is>
      </c>
      <c r="P96" s="17">
        <f>HYPERLINK("https://dexscreener.com/solana/5HvxUFGRRV5FhzJtHDYM5uhSTjWGPp9XQxLLjhMcj382", "View")</f>
        <v/>
      </c>
    </row>
    <row r="97">
      <c r="A97" s="20" t="inlineStr">
        <is>
          <t>YUDHOAI</t>
        </is>
      </c>
      <c r="B97" s="21" t="n">
        <v>13296292</v>
      </c>
      <c r="C97" s="21" t="n">
        <v>9972219</v>
      </c>
      <c r="D97" s="21" t="inlineStr">
        <is>
          <t>0.000220</t>
        </is>
      </c>
      <c r="E97" s="21" t="inlineStr">
        <is>
          <t>13.000 SOL</t>
        </is>
      </c>
      <c r="F97" s="21" t="inlineStr">
        <is>
          <t>10.408 SOL</t>
        </is>
      </c>
      <c r="G97" s="25" t="inlineStr">
        <is>
          <t>-2.592 SOL</t>
        </is>
      </c>
      <c r="H97" s="25" t="inlineStr">
        <is>
          <t>-19.94%</t>
        </is>
      </c>
      <c r="I97" s="21" t="inlineStr">
        <is>
          <t>N/A</t>
        </is>
      </c>
      <c r="J97" s="21" t="n">
        <v>2</v>
      </c>
      <c r="K97" s="21" t="n">
        <v>2</v>
      </c>
      <c r="L97" s="21" t="inlineStr">
        <is>
          <t>23.10.2024 19:06:27</t>
        </is>
      </c>
      <c r="M97" s="21" t="inlineStr">
        <is>
          <t>9 min</t>
        </is>
      </c>
      <c r="N97" s="21" t="inlineStr">
        <is>
          <t xml:space="preserve">        150K           163K            81K</t>
        </is>
      </c>
      <c r="O97" s="21" t="inlineStr">
        <is>
          <t>5Gw2SboaCeKWPE9YErGMkoJ9eETq13EkeFV3ee8rpump</t>
        </is>
      </c>
      <c r="P97" s="21">
        <f>HYPERLINK("https://dexscreener.com/solana/5Gw2SboaCeKWPE9YErGMkoJ9eETq13EkeFV3ee8rpump", "View")</f>
        <v/>
      </c>
    </row>
    <row r="98">
      <c r="A98" s="16" t="inlineStr">
        <is>
          <t>express</t>
        </is>
      </c>
      <c r="B98" s="17" t="n">
        <v>5545417</v>
      </c>
      <c r="C98" s="17" t="n">
        <v>0</v>
      </c>
      <c r="D98" s="17" t="inlineStr">
        <is>
          <t>0.000060</t>
        </is>
      </c>
      <c r="E98" s="17" t="inlineStr">
        <is>
          <t>2.000 SOL</t>
        </is>
      </c>
      <c r="F98" s="17" t="inlineStr">
        <is>
          <t>0.000 SOL</t>
        </is>
      </c>
      <c r="G98" s="18" t="inlineStr">
        <is>
          <t>-2.000 SOL</t>
        </is>
      </c>
      <c r="H98" s="18" t="inlineStr">
        <is>
          <t>0.00%</t>
        </is>
      </c>
      <c r="I98" s="17" t="inlineStr">
        <is>
          <t>5,545,417</t>
        </is>
      </c>
      <c r="J98" s="17" t="n">
        <v>1</v>
      </c>
      <c r="K98" s="17" t="n">
        <v>0</v>
      </c>
      <c r="L98" s="17" t="inlineStr">
        <is>
          <t>23.10.2024 18:58:38</t>
        </is>
      </c>
      <c r="M98" s="19" t="inlineStr">
        <is>
          <t>0 sec</t>
        </is>
      </c>
      <c r="N98" s="17" t="inlineStr">
        <is>
          <t xml:space="preserve">         63K            63K             6K</t>
        </is>
      </c>
      <c r="O98" s="17" t="inlineStr">
        <is>
          <t>95H2EDxSvP2AFP7kHtu1BPRH1MHmnxrSTpz71Xcopump</t>
        </is>
      </c>
      <c r="P98" s="17">
        <f>HYPERLINK("https://dexscreener.com/solana/95H2EDxSvP2AFP7kHtu1BPRH1MHmnxrSTpz71Xcopump", "View")</f>
        <v/>
      </c>
    </row>
    <row r="99">
      <c r="A99" s="20" t="inlineStr">
        <is>
          <t>STRZY</t>
        </is>
      </c>
      <c r="B99" s="21" t="n">
        <v>8808587</v>
      </c>
      <c r="C99" s="21" t="n">
        <v>0</v>
      </c>
      <c r="D99" s="21" t="inlineStr">
        <is>
          <t>0.000110</t>
        </is>
      </c>
      <c r="E99" s="21" t="inlineStr">
        <is>
          <t>5.000 SOL</t>
        </is>
      </c>
      <c r="F99" s="21" t="inlineStr">
        <is>
          <t>0.000 SOL</t>
        </is>
      </c>
      <c r="G99" s="18" t="inlineStr">
        <is>
          <t>-5.000 SOL</t>
        </is>
      </c>
      <c r="H99" s="18" t="inlineStr">
        <is>
          <t>0.00%</t>
        </is>
      </c>
      <c r="I99" s="21" t="inlineStr">
        <is>
          <t>8,808,587</t>
        </is>
      </c>
      <c r="J99" s="21" t="n">
        <v>2</v>
      </c>
      <c r="K99" s="21" t="n">
        <v>0</v>
      </c>
      <c r="L99" s="21" t="inlineStr">
        <is>
          <t>23.10.2024 18:36:55</t>
        </is>
      </c>
      <c r="M99" s="19" t="inlineStr">
        <is>
          <t>58 sec</t>
        </is>
      </c>
      <c r="N99" s="21" t="inlineStr">
        <is>
          <t xml:space="preserve">        102K            98K             7K</t>
        </is>
      </c>
      <c r="O99" s="21" t="inlineStr">
        <is>
          <t>6SH9YZqVXfEmb1bV4ZHWtxUAaR4ua9bKjkd6z1ELpump</t>
        </is>
      </c>
      <c r="P99" s="21">
        <f>HYPERLINK("https://dexscreener.com/solana/6SH9YZqVXfEmb1bV4ZHWtxUAaR4ua9bKjkd6z1ELpump", "View")</f>
        <v/>
      </c>
    </row>
    <row r="100">
      <c r="A100" s="16" t="inlineStr">
        <is>
          <t>PSTAR</t>
        </is>
      </c>
      <c r="B100" s="17" t="n">
        <v>362747</v>
      </c>
      <c r="C100" s="17" t="n">
        <v>0</v>
      </c>
      <c r="D100" s="17" t="inlineStr">
        <is>
          <t>0.000110</t>
        </is>
      </c>
      <c r="E100" s="17" t="inlineStr">
        <is>
          <t>6.000 SOL</t>
        </is>
      </c>
      <c r="F100" s="17" t="inlineStr">
        <is>
          <t>0.000 SOL</t>
        </is>
      </c>
      <c r="G100" s="18" t="inlineStr">
        <is>
          <t>-6.000 SOL</t>
        </is>
      </c>
      <c r="H100" s="18" t="inlineStr">
        <is>
          <t>0.00%</t>
        </is>
      </c>
      <c r="I100" s="17" t="inlineStr">
        <is>
          <t>362,747</t>
        </is>
      </c>
      <c r="J100" s="17" t="n">
        <v>2</v>
      </c>
      <c r="K100" s="17" t="n">
        <v>0</v>
      </c>
      <c r="L100" s="17" t="inlineStr">
        <is>
          <t>23.10.2024 17:57:39</t>
        </is>
      </c>
      <c r="M100" s="17" t="inlineStr">
        <is>
          <t>25 min</t>
        </is>
      </c>
      <c r="N100" s="17" t="inlineStr">
        <is>
          <t xml:space="preserve">          2M             6M            35K</t>
        </is>
      </c>
      <c r="O100" s="17" t="inlineStr">
        <is>
          <t>8Z2h8VsYqUoExZNwrtGQ1LQiHru6nnUsPSpvCwNapump</t>
        </is>
      </c>
      <c r="P100" s="17">
        <f>HYPERLINK("https://dexscreener.com/solana/8Z2h8VsYqUoExZNwrtGQ1LQiHru6nnUsPSpvCwNapump", "View")</f>
        <v/>
      </c>
    </row>
    <row r="101">
      <c r="A101" s="20" t="inlineStr">
        <is>
          <t>Addict</t>
        </is>
      </c>
      <c r="B101" s="21" t="n">
        <v>2226377</v>
      </c>
      <c r="C101" s="21" t="n">
        <v>0</v>
      </c>
      <c r="D101" s="21" t="inlineStr">
        <is>
          <t>0.000060</t>
        </is>
      </c>
      <c r="E101" s="21" t="inlineStr">
        <is>
          <t>5.000 SOL</t>
        </is>
      </c>
      <c r="F101" s="21" t="inlineStr">
        <is>
          <t>0.000 SOL</t>
        </is>
      </c>
      <c r="G101" s="18" t="inlineStr">
        <is>
          <t>-5.000 SOL</t>
        </is>
      </c>
      <c r="H101" s="18" t="inlineStr">
        <is>
          <t>0.00%</t>
        </is>
      </c>
      <c r="I101" s="21" t="inlineStr">
        <is>
          <t>2,226,377</t>
        </is>
      </c>
      <c r="J101" s="21" t="n">
        <v>1</v>
      </c>
      <c r="K101" s="21" t="n">
        <v>0</v>
      </c>
      <c r="L101" s="21" t="inlineStr">
        <is>
          <t>23.10.2024 17:36:29</t>
        </is>
      </c>
      <c r="M101" s="19" t="inlineStr">
        <is>
          <t>0 sec</t>
        </is>
      </c>
      <c r="N101" s="21" t="inlineStr">
        <is>
          <t xml:space="preserve">        395K           395K            14K</t>
        </is>
      </c>
      <c r="O101" s="21" t="inlineStr">
        <is>
          <t>9dV5wyv4U9MHtz8r28JNmkVimrE7mAGDiddyK9e3pump</t>
        </is>
      </c>
      <c r="P101" s="21">
        <f>HYPERLINK("https://dexscreener.com/solana/9dV5wyv4U9MHtz8r28JNmkVimrE7mAGDiddyK9e3pump", "View")</f>
        <v/>
      </c>
    </row>
    <row r="102">
      <c r="A102" s="16" t="inlineStr">
        <is>
          <t>󠅔</t>
        </is>
      </c>
      <c r="B102" s="17" t="n">
        <v>1971473</v>
      </c>
      <c r="C102" s="17" t="n">
        <v>0</v>
      </c>
      <c r="D102" s="17" t="inlineStr">
        <is>
          <t>0.000060</t>
        </is>
      </c>
      <c r="E102" s="17" t="inlineStr">
        <is>
          <t>1.000 SOL</t>
        </is>
      </c>
      <c r="F102" s="17" t="inlineStr">
        <is>
          <t>0.000 SOL</t>
        </is>
      </c>
      <c r="G102" s="18" t="inlineStr">
        <is>
          <t>-1.000 SOL</t>
        </is>
      </c>
      <c r="H102" s="18" t="inlineStr">
        <is>
          <t>0.00%</t>
        </is>
      </c>
      <c r="I102" s="17" t="inlineStr">
        <is>
          <t>1,971,473</t>
        </is>
      </c>
      <c r="J102" s="17" t="n">
        <v>1</v>
      </c>
      <c r="K102" s="17" t="n">
        <v>0</v>
      </c>
      <c r="L102" s="17" t="inlineStr">
        <is>
          <t>23.10.2024 17:19:38</t>
        </is>
      </c>
      <c r="M102" s="19" t="inlineStr">
        <is>
          <t>0 sec</t>
        </is>
      </c>
      <c r="N102" s="17" t="inlineStr">
        <is>
          <t xml:space="preserve">         89K            89K             5K</t>
        </is>
      </c>
      <c r="O102" s="17" t="inlineStr">
        <is>
          <t>KgGKSwPvhBDZbeN7hsvi7Bjx9VfKekqLRCMB6VBpump</t>
        </is>
      </c>
      <c r="P102" s="17">
        <f>HYPERLINK("https://dexscreener.com/solana/KgGKSwPvhBDZbeN7hsvi7Bjx9VfKekqLRCMB6VBpump", "View")</f>
        <v/>
      </c>
    </row>
    <row r="103">
      <c r="A103" s="20" t="inlineStr">
        <is>
          <t>EVA</t>
        </is>
      </c>
      <c r="B103" s="21" t="n">
        <v>2528024</v>
      </c>
      <c r="C103" s="21" t="n">
        <v>0</v>
      </c>
      <c r="D103" s="21" t="inlineStr">
        <is>
          <t>0.000060</t>
        </is>
      </c>
      <c r="E103" s="21" t="inlineStr">
        <is>
          <t>3.000 SOL</t>
        </is>
      </c>
      <c r="F103" s="21" t="inlineStr">
        <is>
          <t>0.000 SOL</t>
        </is>
      </c>
      <c r="G103" s="18" t="inlineStr">
        <is>
          <t>-3.000 SOL</t>
        </is>
      </c>
      <c r="H103" s="18" t="inlineStr">
        <is>
          <t>0.00%</t>
        </is>
      </c>
      <c r="I103" s="21" t="inlineStr">
        <is>
          <t>2,528,024</t>
        </is>
      </c>
      <c r="J103" s="21" t="n">
        <v>1</v>
      </c>
      <c r="K103" s="21" t="n">
        <v>0</v>
      </c>
      <c r="L103" s="21" t="inlineStr">
        <is>
          <t>23.10.2024 14:22:21</t>
        </is>
      </c>
      <c r="M103" s="19" t="inlineStr">
        <is>
          <t>0 sec</t>
        </is>
      </c>
      <c r="N103" s="21" t="inlineStr">
        <is>
          <t xml:space="preserve">        202K           202K             6K</t>
        </is>
      </c>
      <c r="O103" s="21" t="inlineStr">
        <is>
          <t>Ffju557FLtavTnLpMKaRMZNsiiAoxeQmsxStpwnKpump</t>
        </is>
      </c>
      <c r="P103" s="21">
        <f>HYPERLINK("https://dexscreener.com/solana/Ffju557FLtavTnLpMKaRMZNsiiAoxeQmsxStpwnKpump", "View")</f>
        <v/>
      </c>
    </row>
    <row r="104">
      <c r="A104" s="16" t="inlineStr">
        <is>
          <t>HORSE</t>
        </is>
      </c>
      <c r="B104" s="17" t="n">
        <v>4229475</v>
      </c>
      <c r="C104" s="17" t="n">
        <v>0</v>
      </c>
      <c r="D104" s="17" t="inlineStr">
        <is>
          <t>0.000060</t>
        </is>
      </c>
      <c r="E104" s="17" t="inlineStr">
        <is>
          <t>1.046 SOL</t>
        </is>
      </c>
      <c r="F104" s="17" t="inlineStr">
        <is>
          <t>0.000 SOL</t>
        </is>
      </c>
      <c r="G104" s="18" t="inlineStr">
        <is>
          <t>-1.046 SOL</t>
        </is>
      </c>
      <c r="H104" s="18" t="inlineStr">
        <is>
          <t>0.00%</t>
        </is>
      </c>
      <c r="I104" s="17" t="inlineStr">
        <is>
          <t>4,229,475</t>
        </is>
      </c>
      <c r="J104" s="17" t="n">
        <v>1</v>
      </c>
      <c r="K104" s="17" t="n">
        <v>0</v>
      </c>
      <c r="L104" s="17" t="inlineStr">
        <is>
          <t>23.10.2024 05:46:09</t>
        </is>
      </c>
      <c r="M104" s="19" t="inlineStr">
        <is>
          <t>0 sec</t>
        </is>
      </c>
      <c r="N104" s="17" t="inlineStr">
        <is>
          <t xml:space="preserve">         44K            44K             5K</t>
        </is>
      </c>
      <c r="O104" s="17" t="inlineStr">
        <is>
          <t>9a1eFxKPBzK5Nh28ArSi3TjoQE9VJnBALWccwRoJpump</t>
        </is>
      </c>
      <c r="P104" s="17">
        <f>HYPERLINK("https://photon-sol.tinyastro.io/en/lp/9a1eFxKPBzK5Nh28ArSi3TjoQE9VJnBALWccwRoJpump?handle=676050794bc1b1657a56b", "View")</f>
        <v/>
      </c>
    </row>
    <row r="105">
      <c r="A105" s="20" t="inlineStr">
        <is>
          <t>donut</t>
        </is>
      </c>
      <c r="B105" s="21" t="n">
        <v>6394667</v>
      </c>
      <c r="C105" s="21" t="n">
        <v>0</v>
      </c>
      <c r="D105" s="21" t="inlineStr">
        <is>
          <t>0.000060</t>
        </is>
      </c>
      <c r="E105" s="21" t="inlineStr">
        <is>
          <t>3.000 SOL</t>
        </is>
      </c>
      <c r="F105" s="21" t="inlineStr">
        <is>
          <t>0.000 SOL</t>
        </is>
      </c>
      <c r="G105" s="18" t="inlineStr">
        <is>
          <t>-3.000 SOL</t>
        </is>
      </c>
      <c r="H105" s="18" t="inlineStr">
        <is>
          <t>0.00%</t>
        </is>
      </c>
      <c r="I105" s="21" t="inlineStr">
        <is>
          <t>6,394,667</t>
        </is>
      </c>
      <c r="J105" s="21" t="n">
        <v>1</v>
      </c>
      <c r="K105" s="21" t="n">
        <v>0</v>
      </c>
      <c r="L105" s="21" t="inlineStr">
        <is>
          <t>23.10.2024 05:00:17</t>
        </is>
      </c>
      <c r="M105" s="19" t="inlineStr">
        <is>
          <t>0 sec</t>
        </is>
      </c>
      <c r="N105" s="21" t="inlineStr">
        <is>
          <t xml:space="preserve">         83K            83K           103K</t>
        </is>
      </c>
      <c r="O105" s="21" t="inlineStr">
        <is>
          <t>DQ8C36Zbjqk1q2E89thZa8mJXbP3DnMP45Mu87J7pump</t>
        </is>
      </c>
      <c r="P105" s="21">
        <f>HYPERLINK("https://dexscreener.com/solana/DQ8C36Zbjqk1q2E89thZa8mJXbP3DnMP45Mu87J7pump", "View")</f>
        <v/>
      </c>
    </row>
    <row r="106">
      <c r="A106" s="16" t="inlineStr">
        <is>
          <t>$LYNX</t>
        </is>
      </c>
      <c r="B106" s="17" t="n">
        <v>2154219</v>
      </c>
      <c r="C106" s="17" t="n">
        <v>0</v>
      </c>
      <c r="D106" s="17" t="inlineStr">
        <is>
          <t>0.000160</t>
        </is>
      </c>
      <c r="E106" s="17" t="inlineStr">
        <is>
          <t>6.000 SOL</t>
        </is>
      </c>
      <c r="F106" s="17" t="inlineStr">
        <is>
          <t>0.000 SOL</t>
        </is>
      </c>
      <c r="G106" s="18" t="inlineStr">
        <is>
          <t>-6.000 SOL</t>
        </is>
      </c>
      <c r="H106" s="18" t="inlineStr">
        <is>
          <t>0.00%</t>
        </is>
      </c>
      <c r="I106" s="17" t="inlineStr">
        <is>
          <t>2,154,219</t>
        </is>
      </c>
      <c r="J106" s="17" t="n">
        <v>3</v>
      </c>
      <c r="K106" s="17" t="n">
        <v>0</v>
      </c>
      <c r="L106" s="17" t="inlineStr">
        <is>
          <t>23.10.2024 00:04:20</t>
        </is>
      </c>
      <c r="M106" s="17" t="inlineStr">
        <is>
          <t>5 min</t>
        </is>
      </c>
      <c r="N106" s="17" t="inlineStr">
        <is>
          <t xml:space="preserve">        658K           444K            21K</t>
        </is>
      </c>
      <c r="O106" s="17" t="inlineStr">
        <is>
          <t>HYTWunEns5k3CBBrr8gTJjNqA93avuEPB3RB1Kud3MWg</t>
        </is>
      </c>
      <c r="P106" s="17">
        <f>HYPERLINK("https://dexscreener.com/solana/HYTWunEns5k3CBBrr8gTJjNqA93avuEPB3RB1Kud3MWg", "View")</f>
        <v/>
      </c>
    </row>
    <row r="107">
      <c r="A107" s="20" t="inlineStr">
        <is>
          <t>Aella</t>
        </is>
      </c>
      <c r="B107" s="21" t="n">
        <v>7715411</v>
      </c>
      <c r="C107" s="21" t="n">
        <v>0</v>
      </c>
      <c r="D107" s="21" t="inlineStr">
        <is>
          <t>0.000060</t>
        </is>
      </c>
      <c r="E107" s="21" t="inlineStr">
        <is>
          <t>2.000 SOL</t>
        </is>
      </c>
      <c r="F107" s="21" t="inlineStr">
        <is>
          <t>0.000 SOL</t>
        </is>
      </c>
      <c r="G107" s="18" t="inlineStr">
        <is>
          <t>-2.000 SOL</t>
        </is>
      </c>
      <c r="H107" s="18" t="inlineStr">
        <is>
          <t>0.00%</t>
        </is>
      </c>
      <c r="I107" s="21" t="inlineStr">
        <is>
          <t>7,715,411</t>
        </is>
      </c>
      <c r="J107" s="21" t="n">
        <v>1</v>
      </c>
      <c r="K107" s="21" t="n">
        <v>0</v>
      </c>
      <c r="L107" s="21" t="inlineStr">
        <is>
          <t>22.10.2024 23:30:03</t>
        </is>
      </c>
      <c r="M107" s="19" t="inlineStr">
        <is>
          <t>0 sec</t>
        </is>
      </c>
      <c r="N107" s="21" t="inlineStr">
        <is>
          <t xml:space="preserve">         46K            46K             4K</t>
        </is>
      </c>
      <c r="O107" s="21" t="inlineStr">
        <is>
          <t>7BAQnH4CRnL8Jrd3zGa944LW5YT5R9TE3dx1FHkfpump</t>
        </is>
      </c>
      <c r="P107" s="21">
        <f>HYPERLINK("https://dexscreener.com/solana/7BAQnH4CRnL8Jrd3zGa944LW5YT5R9TE3dx1FHkfpump", "View")</f>
        <v/>
      </c>
    </row>
    <row r="108">
      <c r="A108" s="16" t="inlineStr">
        <is>
          <t xml:space="preserve">iwasa </t>
        </is>
      </c>
      <c r="B108" s="17" t="n">
        <v>8560512</v>
      </c>
      <c r="C108" s="17" t="n">
        <v>0</v>
      </c>
      <c r="D108" s="17" t="inlineStr">
        <is>
          <t>0.000110</t>
        </is>
      </c>
      <c r="E108" s="17" t="inlineStr">
        <is>
          <t>5.000 SOL</t>
        </is>
      </c>
      <c r="F108" s="17" t="inlineStr">
        <is>
          <t>0.000 SOL</t>
        </is>
      </c>
      <c r="G108" s="18" t="inlineStr">
        <is>
          <t>-5.000 SOL</t>
        </is>
      </c>
      <c r="H108" s="18" t="inlineStr">
        <is>
          <t>0.00%</t>
        </is>
      </c>
      <c r="I108" s="17" t="inlineStr">
        <is>
          <t>8,560,512</t>
        </is>
      </c>
      <c r="J108" s="17" t="n">
        <v>2</v>
      </c>
      <c r="K108" s="17" t="n">
        <v>0</v>
      </c>
      <c r="L108" s="17" t="inlineStr">
        <is>
          <t>22.10.2024 23:22:05</t>
        </is>
      </c>
      <c r="M108" s="19" t="inlineStr">
        <is>
          <t>15 sec</t>
        </is>
      </c>
      <c r="N108" s="17" t="inlineStr">
        <is>
          <t xml:space="preserve">        109K            93K             4K</t>
        </is>
      </c>
      <c r="O108" s="17" t="inlineStr">
        <is>
          <t>CHUdNGxk91c9pWhWnBtkN4PzXkC7USpRm5WYKdpkpump</t>
        </is>
      </c>
      <c r="P108" s="17">
        <f>HYPERLINK("https://dexscreener.com/solana/CHUdNGxk91c9pWhWnBtkN4PzXkC7USpRm5WYKdpkpump", "View")</f>
        <v/>
      </c>
    </row>
    <row r="109">
      <c r="A109" s="20" t="inlineStr">
        <is>
          <t>Stepmom</t>
        </is>
      </c>
      <c r="B109" s="21" t="n">
        <v>30114987</v>
      </c>
      <c r="C109" s="21" t="n">
        <v>0</v>
      </c>
      <c r="D109" s="21" t="inlineStr">
        <is>
          <t>0.000110</t>
        </is>
      </c>
      <c r="E109" s="21" t="inlineStr">
        <is>
          <t>6.000 SOL</t>
        </is>
      </c>
      <c r="F109" s="21" t="inlineStr">
        <is>
          <t>0.000 SOL</t>
        </is>
      </c>
      <c r="G109" s="18" t="inlineStr">
        <is>
          <t>-6.000 SOL</t>
        </is>
      </c>
      <c r="H109" s="18" t="inlineStr">
        <is>
          <t>0.00%</t>
        </is>
      </c>
      <c r="I109" s="21" t="inlineStr">
        <is>
          <t>30,114,987</t>
        </is>
      </c>
      <c r="J109" s="21" t="n">
        <v>2</v>
      </c>
      <c r="K109" s="21" t="n">
        <v>0</v>
      </c>
      <c r="L109" s="21" t="inlineStr">
        <is>
          <t>22.10.2024 21:41:01</t>
        </is>
      </c>
      <c r="M109" s="21" t="inlineStr">
        <is>
          <t>1 min</t>
        </is>
      </c>
      <c r="N109" s="21" t="inlineStr">
        <is>
          <t xml:space="preserve">         40K            32K            12K</t>
        </is>
      </c>
      <c r="O109" s="21" t="inlineStr">
        <is>
          <t>HaYFERJX3TwcFAJpQxNy3mwjctU3oSQB5gcP4ZWq3mSn</t>
        </is>
      </c>
      <c r="P109" s="21">
        <f>HYPERLINK("https://dexscreener.com/solana/HaYFERJX3TwcFAJpQxNy3mwjctU3oSQB5gcP4ZWq3mSn", "View")</f>
        <v/>
      </c>
    </row>
    <row r="110">
      <c r="A110" s="16" t="inlineStr">
        <is>
          <t>SMILE</t>
        </is>
      </c>
      <c r="B110" s="17" t="n">
        <v>728529</v>
      </c>
      <c r="C110" s="17" t="n">
        <v>728529</v>
      </c>
      <c r="D110" s="17" t="inlineStr">
        <is>
          <t>0.000110</t>
        </is>
      </c>
      <c r="E110" s="17" t="inlineStr">
        <is>
          <t>3.000 SOL</t>
        </is>
      </c>
      <c r="F110" s="17" t="inlineStr">
        <is>
          <t>2.915 SOL</t>
        </is>
      </c>
      <c r="G110" s="25" t="inlineStr">
        <is>
          <t>-0.085 SOL</t>
        </is>
      </c>
      <c r="H110" s="25" t="inlineStr">
        <is>
          <t>-2.85%</t>
        </is>
      </c>
      <c r="I110" s="17" t="inlineStr">
        <is>
          <t>N/A</t>
        </is>
      </c>
      <c r="J110" s="17" t="n">
        <v>1</v>
      </c>
      <c r="K110" s="17" t="n">
        <v>1</v>
      </c>
      <c r="L110" s="17" t="inlineStr">
        <is>
          <t>22.10.2024 20:43:10</t>
        </is>
      </c>
      <c r="M110" s="17" t="inlineStr">
        <is>
          <t>1 min</t>
        </is>
      </c>
      <c r="N110" s="17" t="inlineStr">
        <is>
          <t xml:space="preserve">        723K           702K             5K</t>
        </is>
      </c>
      <c r="O110" s="17" t="inlineStr">
        <is>
          <t>8dwEGohqpP4p6bXdyNRswgQQ85PX8ueNEoETz5sSpump</t>
        </is>
      </c>
      <c r="P110" s="17">
        <f>HYPERLINK("https://dexscreener.com/solana/8dwEGohqpP4p6bXdyNRswgQQ85PX8ueNEoETz5sSpump", "View")</f>
        <v/>
      </c>
    </row>
    <row r="111">
      <c r="A111" s="20" t="inlineStr">
        <is>
          <t>Orakaro</t>
        </is>
      </c>
      <c r="B111" s="21" t="n">
        <v>4856112</v>
      </c>
      <c r="C111" s="21" t="n">
        <v>0</v>
      </c>
      <c r="D111" s="21" t="inlineStr">
        <is>
          <t>0.000060</t>
        </is>
      </c>
      <c r="E111" s="21" t="inlineStr">
        <is>
          <t>4.000 SOL</t>
        </is>
      </c>
      <c r="F111" s="21" t="inlineStr">
        <is>
          <t>0.000 SOL</t>
        </is>
      </c>
      <c r="G111" s="18" t="inlineStr">
        <is>
          <t>-4.000 SOL</t>
        </is>
      </c>
      <c r="H111" s="18" t="inlineStr">
        <is>
          <t>0.00%</t>
        </is>
      </c>
      <c r="I111" s="21" t="inlineStr">
        <is>
          <t>4,856,112</t>
        </is>
      </c>
      <c r="J111" s="21" t="n">
        <v>1</v>
      </c>
      <c r="K111" s="21" t="n">
        <v>0</v>
      </c>
      <c r="L111" s="21" t="inlineStr">
        <is>
          <t>22.10.2024 17:13:02</t>
        </is>
      </c>
      <c r="M111" s="19" t="inlineStr">
        <is>
          <t>0 sec</t>
        </is>
      </c>
      <c r="N111" s="21" t="inlineStr">
        <is>
          <t xml:space="preserve">        144K           144K             4K</t>
        </is>
      </c>
      <c r="O111" s="21" t="inlineStr">
        <is>
          <t>AQwXd59Nayk1FqWHLQoMxJRbLC9Cikd9d9sb36qXpump</t>
        </is>
      </c>
      <c r="P111" s="21">
        <f>HYPERLINK("https://dexscreener.com/solana/AQwXd59Nayk1FqWHLQoMxJRbLC9Cikd9d9sb36qXpump", "View")</f>
        <v/>
      </c>
    </row>
    <row r="112">
      <c r="A112" s="16" t="inlineStr">
        <is>
          <t>ZIPPY</t>
        </is>
      </c>
      <c r="B112" s="17" t="n">
        <v>4176970</v>
      </c>
      <c r="C112" s="17" t="n">
        <v>0</v>
      </c>
      <c r="D112" s="17" t="inlineStr">
        <is>
          <t>0.000060</t>
        </is>
      </c>
      <c r="E112" s="17" t="inlineStr">
        <is>
          <t>3.000 SOL</t>
        </is>
      </c>
      <c r="F112" s="17" t="inlineStr">
        <is>
          <t>0.000 SOL</t>
        </is>
      </c>
      <c r="G112" s="18" t="inlineStr">
        <is>
          <t>-3.000 SOL</t>
        </is>
      </c>
      <c r="H112" s="18" t="inlineStr">
        <is>
          <t>0.00%</t>
        </is>
      </c>
      <c r="I112" s="17" t="inlineStr">
        <is>
          <t>4,176,970</t>
        </is>
      </c>
      <c r="J112" s="17" t="n">
        <v>1</v>
      </c>
      <c r="K112" s="17" t="n">
        <v>0</v>
      </c>
      <c r="L112" s="17" t="inlineStr">
        <is>
          <t>22.10.2024 16:28:44</t>
        </is>
      </c>
      <c r="M112" s="19" t="inlineStr">
        <is>
          <t>0 sec</t>
        </is>
      </c>
      <c r="N112" s="17" t="inlineStr">
        <is>
          <t xml:space="preserve">        123K           123K             4K</t>
        </is>
      </c>
      <c r="O112" s="17" t="inlineStr">
        <is>
          <t>AnEGqHFgSy2DRzmRGNYZTvQPhaM2TBKLqHUgQktBpump</t>
        </is>
      </c>
      <c r="P112" s="17">
        <f>HYPERLINK("https://dexscreener.com/solana/AnEGqHFgSy2DRzmRGNYZTvQPhaM2TBKLqHUgQktBpump", "View")</f>
        <v/>
      </c>
    </row>
    <row r="113">
      <c r="A113" s="20" t="inlineStr">
        <is>
          <t>FNCP</t>
        </is>
      </c>
      <c r="B113" s="21" t="n">
        <v>3196063</v>
      </c>
      <c r="C113" s="21" t="n">
        <v>0</v>
      </c>
      <c r="D113" s="21" t="inlineStr">
        <is>
          <t>0.000060</t>
        </is>
      </c>
      <c r="E113" s="21" t="inlineStr">
        <is>
          <t>2.000 SOL</t>
        </is>
      </c>
      <c r="F113" s="21" t="inlineStr">
        <is>
          <t>0.000 SOL</t>
        </is>
      </c>
      <c r="G113" s="18" t="inlineStr">
        <is>
          <t>-2.000 SOL</t>
        </is>
      </c>
      <c r="H113" s="18" t="inlineStr">
        <is>
          <t>0.00%</t>
        </is>
      </c>
      <c r="I113" s="21" t="inlineStr">
        <is>
          <t>3,196,063</t>
        </is>
      </c>
      <c r="J113" s="21" t="n">
        <v>1</v>
      </c>
      <c r="K113" s="21" t="n">
        <v>0</v>
      </c>
      <c r="L113" s="21" t="inlineStr">
        <is>
          <t>22.10.2024 16:20:13</t>
        </is>
      </c>
      <c r="M113" s="19" t="inlineStr">
        <is>
          <t>0 sec</t>
        </is>
      </c>
      <c r="N113" s="21" t="inlineStr">
        <is>
          <t xml:space="preserve">        111K           111K           420K</t>
        </is>
      </c>
      <c r="O113" s="21" t="inlineStr">
        <is>
          <t>A6bCsh37hM4FybN4MXstnup6WEcichSQNK8AGvXDpump</t>
        </is>
      </c>
      <c r="P113" s="21">
        <f>HYPERLINK("https://dexscreener.com/solana/A6bCsh37hM4FybN4MXstnup6WEcichSQNK8AGvXDpump", "View")</f>
        <v/>
      </c>
    </row>
    <row r="114">
      <c r="A114" s="16" t="inlineStr">
        <is>
          <t>ROHMO</t>
        </is>
      </c>
      <c r="B114" s="17" t="n">
        <v>13321314</v>
      </c>
      <c r="C114" s="17" t="n">
        <v>0</v>
      </c>
      <c r="D114" s="17" t="inlineStr">
        <is>
          <t>0.000060</t>
        </is>
      </c>
      <c r="E114" s="17" t="inlineStr">
        <is>
          <t>1.022 SOL</t>
        </is>
      </c>
      <c r="F114" s="17" t="inlineStr">
        <is>
          <t>0.000 SOL</t>
        </is>
      </c>
      <c r="G114" s="18" t="inlineStr">
        <is>
          <t>-1.022 SOL</t>
        </is>
      </c>
      <c r="H114" s="18" t="inlineStr">
        <is>
          <t>0.00%</t>
        </is>
      </c>
      <c r="I114" s="17" t="inlineStr">
        <is>
          <t>13,321,314</t>
        </is>
      </c>
      <c r="J114" s="17" t="n">
        <v>1</v>
      </c>
      <c r="K114" s="17" t="n">
        <v>0</v>
      </c>
      <c r="L114" s="17" t="inlineStr">
        <is>
          <t>22.10.2024 16:09:10</t>
        </is>
      </c>
      <c r="M114" s="19" t="inlineStr">
        <is>
          <t>0 sec</t>
        </is>
      </c>
      <c r="N114" s="17" t="inlineStr">
        <is>
          <t xml:space="preserve">         14K            14K             6K</t>
        </is>
      </c>
      <c r="O114" s="17" t="inlineStr">
        <is>
          <t>iNMddxzi4oEkSgGUDsL76nmkge2MsoNMqtgAmazpump</t>
        </is>
      </c>
      <c r="P114" s="17">
        <f>HYPERLINK("https://photon-sol.tinyastro.io/en/lp/iNMddxzi4oEkSgGUDsL76nmkge2MsoNMqtgAmazpump?handle=676050794bc1b1657a56b", "View")</f>
        <v/>
      </c>
    </row>
    <row r="115">
      <c r="A115" s="20" t="inlineStr">
        <is>
          <t>KID</t>
        </is>
      </c>
      <c r="B115" s="21" t="n">
        <v>13806452</v>
      </c>
      <c r="C115" s="21" t="n">
        <v>0</v>
      </c>
      <c r="D115" s="21" t="inlineStr">
        <is>
          <t>0.000060</t>
        </is>
      </c>
      <c r="E115" s="21" t="inlineStr">
        <is>
          <t>2.320 SOL</t>
        </is>
      </c>
      <c r="F115" s="21" t="inlineStr">
        <is>
          <t>0.000 SOL</t>
        </is>
      </c>
      <c r="G115" s="18" t="inlineStr">
        <is>
          <t>-2.320 SOL</t>
        </is>
      </c>
      <c r="H115" s="18" t="inlineStr">
        <is>
          <t>0.00%</t>
        </is>
      </c>
      <c r="I115" s="21" t="inlineStr">
        <is>
          <t>13,806,452</t>
        </is>
      </c>
      <c r="J115" s="21" t="n">
        <v>1</v>
      </c>
      <c r="K115" s="21" t="n">
        <v>0</v>
      </c>
      <c r="L115" s="21" t="inlineStr">
        <is>
          <t>22.10.2024 16:05:15</t>
        </is>
      </c>
      <c r="M115" s="19" t="inlineStr">
        <is>
          <t>0 sec</t>
        </is>
      </c>
      <c r="N115" s="21" t="inlineStr">
        <is>
          <t xml:space="preserve">         30K            30K             5K</t>
        </is>
      </c>
      <c r="O115" s="21" t="inlineStr">
        <is>
          <t>AoeDs19YMRFDKx2jLAtj4Fu4YyAD8mku33epp8LRpump</t>
        </is>
      </c>
      <c r="P115" s="21">
        <f>HYPERLINK("https://photon-sol.tinyastro.io/en/lp/AoeDs19YMRFDKx2jLAtj4Fu4YyAD8mku33epp8LRpump?handle=676050794bc1b1657a56b", "View")</f>
        <v/>
      </c>
    </row>
    <row r="116">
      <c r="A116" s="16" t="inlineStr">
        <is>
          <t>CHEMO</t>
        </is>
      </c>
      <c r="B116" s="17" t="n">
        <v>4200571</v>
      </c>
      <c r="C116" s="17" t="n">
        <v>0</v>
      </c>
      <c r="D116" s="17" t="inlineStr">
        <is>
          <t>0.000060</t>
        </is>
      </c>
      <c r="E116" s="17" t="inlineStr">
        <is>
          <t>2.000 SOL</t>
        </is>
      </c>
      <c r="F116" s="17" t="inlineStr">
        <is>
          <t>0.000 SOL</t>
        </is>
      </c>
      <c r="G116" s="18" t="inlineStr">
        <is>
          <t>-2.000 SOL</t>
        </is>
      </c>
      <c r="H116" s="18" t="inlineStr">
        <is>
          <t>0.00%</t>
        </is>
      </c>
      <c r="I116" s="17" t="inlineStr">
        <is>
          <t>4,200,571</t>
        </is>
      </c>
      <c r="J116" s="17" t="n">
        <v>1</v>
      </c>
      <c r="K116" s="17" t="n">
        <v>0</v>
      </c>
      <c r="L116" s="17" t="inlineStr">
        <is>
          <t>22.10.2024 00:36:23</t>
        </is>
      </c>
      <c r="M116" s="19" t="inlineStr">
        <is>
          <t>0 sec</t>
        </is>
      </c>
      <c r="N116" s="17" t="inlineStr">
        <is>
          <t xml:space="preserve">         84K            84K             4K</t>
        </is>
      </c>
      <c r="O116" s="17" t="inlineStr">
        <is>
          <t>2BGXAiDH1wNTV7EG8m5KCBfJQEuZfsKCQEPsd1Cspump</t>
        </is>
      </c>
      <c r="P116" s="17">
        <f>HYPERLINK("https://dexscreener.com/solana/2BGXAiDH1wNTV7EG8m5KCBfJQEuZfsKCQEPsd1Cspump", "View")</f>
        <v/>
      </c>
    </row>
    <row r="117">
      <c r="A117" s="20" t="inlineStr">
        <is>
          <t>Choccy</t>
        </is>
      </c>
      <c r="B117" s="21" t="n">
        <v>7254451</v>
      </c>
      <c r="C117" s="21" t="n">
        <v>0</v>
      </c>
      <c r="D117" s="21" t="inlineStr">
        <is>
          <t>0.000110</t>
        </is>
      </c>
      <c r="E117" s="21" t="inlineStr">
        <is>
          <t>13.000 SOL</t>
        </is>
      </c>
      <c r="F117" s="21" t="inlineStr">
        <is>
          <t>0.000 SOL</t>
        </is>
      </c>
      <c r="G117" s="18" t="inlineStr">
        <is>
          <t>-13.000 SOL</t>
        </is>
      </c>
      <c r="H117" s="18" t="inlineStr">
        <is>
          <t>0.00%</t>
        </is>
      </c>
      <c r="I117" s="21" t="inlineStr">
        <is>
          <t>7,254,451</t>
        </is>
      </c>
      <c r="J117" s="21" t="n">
        <v>2</v>
      </c>
      <c r="K117" s="21" t="n">
        <v>0</v>
      </c>
      <c r="L117" s="21" t="inlineStr">
        <is>
          <t>21.10.2024 23:31:53</t>
        </is>
      </c>
      <c r="M117" s="19" t="inlineStr">
        <is>
          <t>7 sec</t>
        </is>
      </c>
      <c r="N117" s="21" t="inlineStr">
        <is>
          <t xml:space="preserve">        313K           318K            36K</t>
        </is>
      </c>
      <c r="O117" s="21" t="inlineStr">
        <is>
          <t>9LZmD16W9Mw7jJAg8WG5EBpkCoLYJsTPopR6VnTCpump</t>
        </is>
      </c>
      <c r="P117" s="21">
        <f>HYPERLINK("https://dexscreener.com/solana/9LZmD16W9Mw7jJAg8WG5EBpkCoLYJsTPopR6VnTCpump", "View")</f>
        <v/>
      </c>
    </row>
    <row r="118">
      <c r="A118" s="16" t="inlineStr">
        <is>
          <t>$some</t>
        </is>
      </c>
      <c r="B118" s="17" t="n">
        <v>3674616</v>
      </c>
      <c r="C118" s="17" t="n">
        <v>0</v>
      </c>
      <c r="D118" s="17" t="inlineStr">
        <is>
          <t>0.000060</t>
        </is>
      </c>
      <c r="E118" s="17" t="inlineStr">
        <is>
          <t>5.000 SOL</t>
        </is>
      </c>
      <c r="F118" s="17" t="inlineStr">
        <is>
          <t>0.000 SOL</t>
        </is>
      </c>
      <c r="G118" s="18" t="inlineStr">
        <is>
          <t>-5.000 SOL</t>
        </is>
      </c>
      <c r="H118" s="18" t="inlineStr">
        <is>
          <t>0.00%</t>
        </is>
      </c>
      <c r="I118" s="17" t="inlineStr">
        <is>
          <t>3,674,616</t>
        </is>
      </c>
      <c r="J118" s="17" t="n">
        <v>1</v>
      </c>
      <c r="K118" s="17" t="n">
        <v>0</v>
      </c>
      <c r="L118" s="17" t="inlineStr">
        <is>
          <t>21.10.2024 20:30:31</t>
        </is>
      </c>
      <c r="M118" s="19" t="inlineStr">
        <is>
          <t>0 sec</t>
        </is>
      </c>
      <c r="N118" s="17" t="inlineStr">
        <is>
          <t xml:space="preserve">        239K           239K            20K</t>
        </is>
      </c>
      <c r="O118" s="17" t="inlineStr">
        <is>
          <t>3JtfvzFVzkPh1we7DPDGW5xPsrPB5nX5dbAVgTeVpump</t>
        </is>
      </c>
      <c r="P118" s="17">
        <f>HYPERLINK("https://dexscreener.com/solana/3JtfvzFVzkPh1we7DPDGW5xPsrPB5nX5dbAVgTeVpump", "View")</f>
        <v/>
      </c>
    </row>
    <row r="119">
      <c r="A119" s="20" t="inlineStr">
        <is>
          <t>P5JS</t>
        </is>
      </c>
      <c r="B119" s="21" t="n">
        <v>243772</v>
      </c>
      <c r="C119" s="21" t="n">
        <v>0</v>
      </c>
      <c r="D119" s="21" t="inlineStr">
        <is>
          <t>0.000060</t>
        </is>
      </c>
      <c r="E119" s="21" t="inlineStr">
        <is>
          <t>2.000 SOL</t>
        </is>
      </c>
      <c r="F119" s="21" t="inlineStr">
        <is>
          <t>0.000 SOL</t>
        </is>
      </c>
      <c r="G119" s="18" t="inlineStr">
        <is>
          <t>-2.000 SOL</t>
        </is>
      </c>
      <c r="H119" s="18" t="inlineStr">
        <is>
          <t>0.00%</t>
        </is>
      </c>
      <c r="I119" s="21" t="inlineStr">
        <is>
          <t>243,772</t>
        </is>
      </c>
      <c r="J119" s="21" t="n">
        <v>1</v>
      </c>
      <c r="K119" s="21" t="n">
        <v>0</v>
      </c>
      <c r="L119" s="21" t="inlineStr">
        <is>
          <t>21.10.2024 16:31:48</t>
        </is>
      </c>
      <c r="M119" s="19" t="inlineStr">
        <is>
          <t>0 sec</t>
        </is>
      </c>
      <c r="N119" s="21" t="inlineStr">
        <is>
          <t xml:space="preserve">          1M             1M            17K</t>
        </is>
      </c>
      <c r="O119" s="21" t="inlineStr">
        <is>
          <t>98JbJ8zzca8nwsM3Z9Ex1Fz6zNAbpp3LM5vA8Tqrpump</t>
        </is>
      </c>
      <c r="P119" s="21">
        <f>HYPERLINK("https://dexscreener.com/solana/98JbJ8zzca8nwsM3Z9Ex1Fz6zNAbpp3LM5vA8Tqrpump", "View")</f>
        <v/>
      </c>
    </row>
    <row r="120">
      <c r="A120" s="16" t="inlineStr">
        <is>
          <t>CIMON</t>
        </is>
      </c>
      <c r="B120" s="17" t="n">
        <v>12402650</v>
      </c>
      <c r="C120" s="17" t="n">
        <v>0</v>
      </c>
      <c r="D120" s="17" t="inlineStr">
        <is>
          <t>0.000110</t>
        </is>
      </c>
      <c r="E120" s="17" t="inlineStr">
        <is>
          <t>11.000 SOL</t>
        </is>
      </c>
      <c r="F120" s="17" t="inlineStr">
        <is>
          <t>0.000 SOL</t>
        </is>
      </c>
      <c r="G120" s="18" t="inlineStr">
        <is>
          <t>-11.000 SOL</t>
        </is>
      </c>
      <c r="H120" s="18" t="inlineStr">
        <is>
          <t>0.00%</t>
        </is>
      </c>
      <c r="I120" s="17" t="inlineStr">
        <is>
          <t>12,402,650</t>
        </is>
      </c>
      <c r="J120" s="17" t="n">
        <v>2</v>
      </c>
      <c r="K120" s="17" t="n">
        <v>0</v>
      </c>
      <c r="L120" s="17" t="inlineStr">
        <is>
          <t>21.10.2024 16:24:04</t>
        </is>
      </c>
      <c r="M120" s="17" t="inlineStr">
        <is>
          <t>8 min</t>
        </is>
      </c>
      <c r="N120" s="17" t="inlineStr">
        <is>
          <t xml:space="preserve">        288K            70K             5K</t>
        </is>
      </c>
      <c r="O120" s="17" t="inlineStr">
        <is>
          <t>Dfi9wKAzomtmcqV8PoKEWMgtyiA4mbpu5xCWGLrhpump</t>
        </is>
      </c>
      <c r="P120" s="17">
        <f>HYPERLINK("https://dexscreener.com/solana/Dfi9wKAzomtmcqV8PoKEWMgtyiA4mbpu5xCWGLrhpump", "View")</f>
        <v/>
      </c>
    </row>
    <row r="121">
      <c r="A121" s="20" t="inlineStr">
        <is>
          <t>ton</t>
        </is>
      </c>
      <c r="B121" s="21" t="n">
        <v>4565907</v>
      </c>
      <c r="C121" s="21" t="n">
        <v>0</v>
      </c>
      <c r="D121" s="21" t="inlineStr">
        <is>
          <t>0.000160</t>
        </is>
      </c>
      <c r="E121" s="21" t="inlineStr">
        <is>
          <t>11.000 SOL</t>
        </is>
      </c>
      <c r="F121" s="21" t="inlineStr">
        <is>
          <t>0.000 SOL</t>
        </is>
      </c>
      <c r="G121" s="18" t="inlineStr">
        <is>
          <t>-11.000 SOL</t>
        </is>
      </c>
      <c r="H121" s="18" t="inlineStr">
        <is>
          <t>0.00%</t>
        </is>
      </c>
      <c r="I121" s="21" t="inlineStr">
        <is>
          <t>4,565,907</t>
        </is>
      </c>
      <c r="J121" s="21" t="n">
        <v>3</v>
      </c>
      <c r="K121" s="21" t="n">
        <v>0</v>
      </c>
      <c r="L121" s="21" t="inlineStr">
        <is>
          <t>21.10.2024 16:15:58</t>
        </is>
      </c>
      <c r="M121" s="21" t="inlineStr">
        <is>
          <t>15 hours</t>
        </is>
      </c>
      <c r="N121" s="21" t="inlineStr">
        <is>
          <t xml:space="preserve">        374K           476K            26K</t>
        </is>
      </c>
      <c r="O121" s="21" t="inlineStr">
        <is>
          <t>DQ9ecb5Pxgz9YTUBaB4PyhRkmM2jSK4P4j6kTZUFpump</t>
        </is>
      </c>
      <c r="P121" s="21">
        <f>HYPERLINK("https://dexscreener.com/solana/DQ9ecb5Pxgz9YTUBaB4PyhRkmM2jSK4P4j6kTZUFpump", "View")</f>
        <v/>
      </c>
    </row>
    <row r="122">
      <c r="A122" s="16" t="inlineStr">
        <is>
          <t>FRAUD</t>
        </is>
      </c>
      <c r="B122" s="17" t="n">
        <v>257085</v>
      </c>
      <c r="C122" s="17" t="n">
        <v>0</v>
      </c>
      <c r="D122" s="17" t="inlineStr">
        <is>
          <t>0.000060</t>
        </is>
      </c>
      <c r="E122" s="17" t="inlineStr">
        <is>
          <t>5.000 SOL</t>
        </is>
      </c>
      <c r="F122" s="17" t="inlineStr">
        <is>
          <t>0.000 SOL</t>
        </is>
      </c>
      <c r="G122" s="18" t="inlineStr">
        <is>
          <t>-5.000 SOL</t>
        </is>
      </c>
      <c r="H122" s="18" t="inlineStr">
        <is>
          <t>0.00%</t>
        </is>
      </c>
      <c r="I122" s="17" t="inlineStr">
        <is>
          <t>257,085</t>
        </is>
      </c>
      <c r="J122" s="17" t="n">
        <v>1</v>
      </c>
      <c r="K122" s="17" t="n">
        <v>0</v>
      </c>
      <c r="L122" s="17" t="inlineStr">
        <is>
          <t>21.10.2024 16:04:37</t>
        </is>
      </c>
      <c r="M122" s="19" t="inlineStr">
        <is>
          <t>0 sec</t>
        </is>
      </c>
      <c r="N122" s="17" t="inlineStr">
        <is>
          <t xml:space="preserve">          3M             3M            43K</t>
        </is>
      </c>
      <c r="O122" s="17" t="inlineStr">
        <is>
          <t>CUots31KNMDbswxamS4fYQD3g4L3i4g2smT1djitpump</t>
        </is>
      </c>
      <c r="P122" s="17">
        <f>HYPERLINK("https://dexscreener.com/solana/CUots31KNMDbswxamS4fYQD3g4L3i4g2smT1djitpump", "View")</f>
        <v/>
      </c>
    </row>
    <row r="123">
      <c r="A123" s="20" t="inlineStr">
        <is>
          <t>save</t>
        </is>
      </c>
      <c r="B123" s="21" t="n">
        <v>26468141</v>
      </c>
      <c r="C123" s="21" t="n">
        <v>0</v>
      </c>
      <c r="D123" s="21" t="inlineStr">
        <is>
          <t>0.000060</t>
        </is>
      </c>
      <c r="E123" s="21" t="inlineStr">
        <is>
          <t>1.000 SOL</t>
        </is>
      </c>
      <c r="F123" s="21" t="inlineStr">
        <is>
          <t>0.000 SOL</t>
        </is>
      </c>
      <c r="G123" s="18" t="inlineStr">
        <is>
          <t>-1.000 SOL</t>
        </is>
      </c>
      <c r="H123" s="18" t="inlineStr">
        <is>
          <t>0.00%</t>
        </is>
      </c>
      <c r="I123" s="21" t="inlineStr">
        <is>
          <t>26,468,141</t>
        </is>
      </c>
      <c r="J123" s="21" t="n">
        <v>1</v>
      </c>
      <c r="K123" s="21" t="n">
        <v>0</v>
      </c>
      <c r="L123" s="21" t="inlineStr">
        <is>
          <t>21.10.2024 15:54:26</t>
        </is>
      </c>
      <c r="M123" s="19" t="inlineStr">
        <is>
          <t>0 sec</t>
        </is>
      </c>
      <c r="N123" s="21" t="inlineStr">
        <is>
          <t xml:space="preserve">          7K             7K             4K</t>
        </is>
      </c>
      <c r="O123" s="21" t="inlineStr">
        <is>
          <t>Hiz5YNZFudg6g5VvDYCfUHoCspKVbXfXFwSGfuWVpump</t>
        </is>
      </c>
      <c r="P123" s="21">
        <f>HYPERLINK("https://dexscreener.com/solana/Hiz5YNZFudg6g5VvDYCfUHoCspKVbXfXFwSGfuWVpump", "View")</f>
        <v/>
      </c>
    </row>
    <row r="124">
      <c r="A124" s="16" t="inlineStr">
        <is>
          <t>loki</t>
        </is>
      </c>
      <c r="B124" s="17" t="n">
        <v>13180827</v>
      </c>
      <c r="C124" s="17" t="n">
        <v>0</v>
      </c>
      <c r="D124" s="17" t="inlineStr">
        <is>
          <t>0.000060</t>
        </is>
      </c>
      <c r="E124" s="17" t="inlineStr">
        <is>
          <t>1.000 SOL</t>
        </is>
      </c>
      <c r="F124" s="17" t="inlineStr">
        <is>
          <t>0.000 SOL</t>
        </is>
      </c>
      <c r="G124" s="18" t="inlineStr">
        <is>
          <t>-1.000 SOL</t>
        </is>
      </c>
      <c r="H124" s="18" t="inlineStr">
        <is>
          <t>0.00%</t>
        </is>
      </c>
      <c r="I124" s="17" t="inlineStr">
        <is>
          <t>13,180,827</t>
        </is>
      </c>
      <c r="J124" s="17" t="n">
        <v>1</v>
      </c>
      <c r="K124" s="17" t="n">
        <v>0</v>
      </c>
      <c r="L124" s="17" t="inlineStr">
        <is>
          <t>21.10.2024 05:36:04</t>
        </is>
      </c>
      <c r="M124" s="19" t="inlineStr">
        <is>
          <t>0 sec</t>
        </is>
      </c>
      <c r="N124" s="17" t="inlineStr">
        <is>
          <t xml:space="preserve">         14K            14K             4K</t>
        </is>
      </c>
      <c r="O124" s="17" t="inlineStr">
        <is>
          <t>HBgd18cv3HpcCUXU2A5Cav9hVd6t7k9miaSKnrJdpump</t>
        </is>
      </c>
      <c r="P124" s="17">
        <f>HYPERLINK("https://dexscreener.com/solana/HBgd18cv3HpcCUXU2A5Cav9hVd6t7k9miaSKnrJdpump", "View")</f>
        <v/>
      </c>
    </row>
    <row r="125">
      <c r="A125" s="20" t="inlineStr">
        <is>
          <t>HORNY</t>
        </is>
      </c>
      <c r="B125" s="21" t="n">
        <v>3206066</v>
      </c>
      <c r="C125" s="21" t="n">
        <v>0</v>
      </c>
      <c r="D125" s="21" t="inlineStr">
        <is>
          <t>0.000060</t>
        </is>
      </c>
      <c r="E125" s="21" t="inlineStr">
        <is>
          <t>2.000 SOL</t>
        </is>
      </c>
      <c r="F125" s="21" t="inlineStr">
        <is>
          <t>0.000 SOL</t>
        </is>
      </c>
      <c r="G125" s="18" t="inlineStr">
        <is>
          <t>-2.000 SOL</t>
        </is>
      </c>
      <c r="H125" s="18" t="inlineStr">
        <is>
          <t>0.00%</t>
        </is>
      </c>
      <c r="I125" s="21" t="inlineStr">
        <is>
          <t>3,206,066</t>
        </is>
      </c>
      <c r="J125" s="21" t="n">
        <v>1</v>
      </c>
      <c r="K125" s="21" t="n">
        <v>0</v>
      </c>
      <c r="L125" s="21" t="inlineStr">
        <is>
          <t>21.10.2024 05:16:20</t>
        </is>
      </c>
      <c r="M125" s="19" t="inlineStr">
        <is>
          <t>0 sec</t>
        </is>
      </c>
      <c r="N125" s="21" t="inlineStr">
        <is>
          <t xml:space="preserve">        109K           109K            12K</t>
        </is>
      </c>
      <c r="O125" s="21" t="inlineStr">
        <is>
          <t>STCVQT4YQGGVsp9o2xYRjYPM6mcM6ZBs3mxicHXpump</t>
        </is>
      </c>
      <c r="P125" s="21">
        <f>HYPERLINK("https://dexscreener.com/solana/STCVQT4YQGGVsp9o2xYRjYPM6mcM6ZBs3mxicHXpump", "View")</f>
        <v/>
      </c>
    </row>
    <row r="126">
      <c r="A126" s="16" t="inlineStr">
        <is>
          <t>kino</t>
        </is>
      </c>
      <c r="B126" s="17" t="n">
        <v>22767444</v>
      </c>
      <c r="C126" s="17" t="n">
        <v>0</v>
      </c>
      <c r="D126" s="17" t="inlineStr">
        <is>
          <t>0.000060</t>
        </is>
      </c>
      <c r="E126" s="17" t="inlineStr">
        <is>
          <t>2.042 SOL</t>
        </is>
      </c>
      <c r="F126" s="17" t="inlineStr">
        <is>
          <t>0.000 SOL</t>
        </is>
      </c>
      <c r="G126" s="18" t="inlineStr">
        <is>
          <t>-2.042 SOL</t>
        </is>
      </c>
      <c r="H126" s="18" t="inlineStr">
        <is>
          <t>0.00%</t>
        </is>
      </c>
      <c r="I126" s="17" t="inlineStr">
        <is>
          <t>22,767,444</t>
        </is>
      </c>
      <c r="J126" s="17" t="n">
        <v>1</v>
      </c>
      <c r="K126" s="17" t="n">
        <v>0</v>
      </c>
      <c r="L126" s="17" t="inlineStr">
        <is>
          <t>21.10.2024 05:02:57</t>
        </is>
      </c>
      <c r="M126" s="19" t="inlineStr">
        <is>
          <t>0 sec</t>
        </is>
      </c>
      <c r="N126" s="17" t="inlineStr">
        <is>
          <t xml:space="preserve">         16K            16K            23K</t>
        </is>
      </c>
      <c r="O126" s="17" t="inlineStr">
        <is>
          <t>FYC5nxJ75GTU4Bq1SGtzfa3XB2MsbxrfAqYtZt8kpump</t>
        </is>
      </c>
      <c r="P126" s="17">
        <f>HYPERLINK("https://photon-sol.tinyastro.io/en/lp/FYC5nxJ75GTU4Bq1SGtzfa3XB2MsbxrfAqYtZt8kpump?handle=676050794bc1b1657a56b", "View")</f>
        <v/>
      </c>
    </row>
    <row r="127">
      <c r="A127" s="20" t="inlineStr">
        <is>
          <t>Prime</t>
        </is>
      </c>
      <c r="B127" s="21" t="n">
        <v>8553055</v>
      </c>
      <c r="C127" s="21" t="n">
        <v>0</v>
      </c>
      <c r="D127" s="21" t="inlineStr">
        <is>
          <t>0.000110</t>
        </is>
      </c>
      <c r="E127" s="21" t="inlineStr">
        <is>
          <t>10.000 SOL</t>
        </is>
      </c>
      <c r="F127" s="21" t="inlineStr">
        <is>
          <t>0.000 SOL</t>
        </is>
      </c>
      <c r="G127" s="18" t="inlineStr">
        <is>
          <t>-10.000 SOL</t>
        </is>
      </c>
      <c r="H127" s="18" t="inlineStr">
        <is>
          <t>0.00%</t>
        </is>
      </c>
      <c r="I127" s="21" t="inlineStr">
        <is>
          <t>8,553,055</t>
        </is>
      </c>
      <c r="J127" s="21" t="n">
        <v>2</v>
      </c>
      <c r="K127" s="21" t="n">
        <v>0</v>
      </c>
      <c r="L127" s="21" t="inlineStr">
        <is>
          <t>21.10.2024 02:28:04</t>
        </is>
      </c>
      <c r="M127" s="21" t="inlineStr">
        <is>
          <t>1 min</t>
        </is>
      </c>
      <c r="N127" s="21" t="inlineStr">
        <is>
          <t xml:space="preserve">        198K           216K             9K</t>
        </is>
      </c>
      <c r="O127" s="21" t="inlineStr">
        <is>
          <t>EkzxmLhvHx7mLDvbWgRGFrHQDNRmpTbHE4EsA5Uupump</t>
        </is>
      </c>
      <c r="P127" s="21">
        <f>HYPERLINK("https://dexscreener.com/solana/EkzxmLhvHx7mLDvbWgRGFrHQDNRmpTbHE4EsA5Uupump", "View")</f>
        <v/>
      </c>
    </row>
    <row r="128">
      <c r="A128" s="16" t="inlineStr">
        <is>
          <t>MD</t>
        </is>
      </c>
      <c r="B128" s="17" t="n">
        <v>1187064</v>
      </c>
      <c r="C128" s="17" t="n">
        <v>0</v>
      </c>
      <c r="D128" s="17" t="inlineStr">
        <is>
          <t>0.000060</t>
        </is>
      </c>
      <c r="E128" s="17" t="inlineStr">
        <is>
          <t>2.000 SOL</t>
        </is>
      </c>
      <c r="F128" s="17" t="inlineStr">
        <is>
          <t>0.000 SOL</t>
        </is>
      </c>
      <c r="G128" s="18" t="inlineStr">
        <is>
          <t>-2.000 SOL</t>
        </is>
      </c>
      <c r="H128" s="18" t="inlineStr">
        <is>
          <t>0.00%</t>
        </is>
      </c>
      <c r="I128" s="17" t="inlineStr">
        <is>
          <t>1,187,064</t>
        </is>
      </c>
      <c r="J128" s="17" t="n">
        <v>1</v>
      </c>
      <c r="K128" s="17" t="n">
        <v>0</v>
      </c>
      <c r="L128" s="17" t="inlineStr">
        <is>
          <t>21.10.2024 02:16:36</t>
        </is>
      </c>
      <c r="M128" s="19" t="inlineStr">
        <is>
          <t>0 sec</t>
        </is>
      </c>
      <c r="N128" s="17" t="inlineStr">
        <is>
          <t xml:space="preserve">        162K           162K           816K</t>
        </is>
      </c>
      <c r="O128" s="17" t="inlineStr">
        <is>
          <t>C4j7kPx9PqDnfvxe2uycJQRTAeyGwmU4DyGf21Xgpump</t>
        </is>
      </c>
      <c r="P128" s="17">
        <f>HYPERLINK("https://dexscreener.com/solana/C4j7kPx9PqDnfvxe2uycJQRTAeyGwmU4DyGf21Xgpump", "View")</f>
        <v/>
      </c>
    </row>
    <row r="129">
      <c r="A129" s="20" t="inlineStr">
        <is>
          <t>fabian</t>
        </is>
      </c>
      <c r="B129" s="21" t="n">
        <v>3077678</v>
      </c>
      <c r="C129" s="21" t="n">
        <v>0</v>
      </c>
      <c r="D129" s="21" t="inlineStr">
        <is>
          <t>0.000060</t>
        </is>
      </c>
      <c r="E129" s="21" t="inlineStr">
        <is>
          <t>2.000 SOL</t>
        </is>
      </c>
      <c r="F129" s="21" t="inlineStr">
        <is>
          <t>0.000 SOL</t>
        </is>
      </c>
      <c r="G129" s="18" t="inlineStr">
        <is>
          <t>-2.000 SOL</t>
        </is>
      </c>
      <c r="H129" s="18" t="inlineStr">
        <is>
          <t>0.00%</t>
        </is>
      </c>
      <c r="I129" s="21" t="inlineStr">
        <is>
          <t>3,077,678</t>
        </is>
      </c>
      <c r="J129" s="21" t="n">
        <v>1</v>
      </c>
      <c r="K129" s="21" t="n">
        <v>0</v>
      </c>
      <c r="L129" s="21" t="inlineStr">
        <is>
          <t>21.10.2024 02:05:54</t>
        </is>
      </c>
      <c r="M129" s="19" t="inlineStr">
        <is>
          <t>0 sec</t>
        </is>
      </c>
      <c r="N129" s="21" t="inlineStr">
        <is>
          <t xml:space="preserve">        114K           114K             6K</t>
        </is>
      </c>
      <c r="O129" s="21" t="inlineStr">
        <is>
          <t>Hej96eAZNrdTPvZQe9b91311BJMWMqJRHztmYCjay8qb</t>
        </is>
      </c>
      <c r="P129" s="21">
        <f>HYPERLINK("https://dexscreener.com/solana/Hej96eAZNrdTPvZQe9b91311BJMWMqJRHztmYCjay8qb", "View")</f>
        <v/>
      </c>
    </row>
    <row r="130">
      <c r="A130" s="16" t="inlineStr">
        <is>
          <t>Prime</t>
        </is>
      </c>
      <c r="B130" s="17" t="n">
        <v>7837971</v>
      </c>
      <c r="C130" s="17" t="n">
        <v>0</v>
      </c>
      <c r="D130" s="17" t="inlineStr">
        <is>
          <t>0.000060</t>
        </is>
      </c>
      <c r="E130" s="17" t="inlineStr">
        <is>
          <t>2.069 SOL</t>
        </is>
      </c>
      <c r="F130" s="17" t="inlineStr">
        <is>
          <t>0.000 SOL</t>
        </is>
      </c>
      <c r="G130" s="18" t="inlineStr">
        <is>
          <t>-2.069 SOL</t>
        </is>
      </c>
      <c r="H130" s="18" t="inlineStr">
        <is>
          <t>0.00%</t>
        </is>
      </c>
      <c r="I130" s="17" t="inlineStr">
        <is>
          <t>7,837,971</t>
        </is>
      </c>
      <c r="J130" s="17" t="n">
        <v>1</v>
      </c>
      <c r="K130" s="17" t="n">
        <v>0</v>
      </c>
      <c r="L130" s="17" t="inlineStr">
        <is>
          <t>21.10.2024 01:06:48</t>
        </is>
      </c>
      <c r="M130" s="19" t="inlineStr">
        <is>
          <t>0 sec</t>
        </is>
      </c>
      <c r="N130" s="17" t="inlineStr">
        <is>
          <t xml:space="preserve">         46K            46K             4K</t>
        </is>
      </c>
      <c r="O130" s="17" t="inlineStr">
        <is>
          <t>FqYh5Fns3hDkxbCFuzxgBz2Dso5bo5Q8ykCveXzZpump</t>
        </is>
      </c>
      <c r="P130" s="17">
        <f>HYPERLINK("https://photon-sol.tinyastro.io/en/lp/FqYh5Fns3hDkxbCFuzxgBz2Dso5bo5Q8ykCveXzZpump?handle=676050794bc1b1657a56b", "View")</f>
        <v/>
      </c>
    </row>
    <row r="131">
      <c r="A131" s="20" t="inlineStr">
        <is>
          <t>Chublon</t>
        </is>
      </c>
      <c r="B131" s="21" t="n">
        <v>18098382</v>
      </c>
      <c r="C131" s="21" t="n">
        <v>0</v>
      </c>
      <c r="D131" s="21" t="inlineStr">
        <is>
          <t>0.000060</t>
        </is>
      </c>
      <c r="E131" s="21" t="inlineStr">
        <is>
          <t>2.000 SOL</t>
        </is>
      </c>
      <c r="F131" s="21" t="inlineStr">
        <is>
          <t>0.000 SOL</t>
        </is>
      </c>
      <c r="G131" s="18" t="inlineStr">
        <is>
          <t>-2.000 SOL</t>
        </is>
      </c>
      <c r="H131" s="18" t="inlineStr">
        <is>
          <t>0.00%</t>
        </is>
      </c>
      <c r="I131" s="21" t="inlineStr">
        <is>
          <t>18,098,382</t>
        </is>
      </c>
      <c r="J131" s="21" t="n">
        <v>1</v>
      </c>
      <c r="K131" s="21" t="n">
        <v>0</v>
      </c>
      <c r="L131" s="21" t="inlineStr">
        <is>
          <t>21.10.2024 00:41:12</t>
        </is>
      </c>
      <c r="M131" s="19" t="inlineStr">
        <is>
          <t>0 sec</t>
        </is>
      </c>
      <c r="N131" s="21" t="inlineStr">
        <is>
          <t xml:space="preserve">         19K            19K            16K</t>
        </is>
      </c>
      <c r="O131" s="21" t="inlineStr">
        <is>
          <t>AD8NyaTRc1HtvSTrfLKxbgBrMSY4o2rLCPL3xTMSq6NY</t>
        </is>
      </c>
      <c r="P131" s="21">
        <f>HYPERLINK("https://dexscreener.com/solana/AD8NyaTRc1HtvSTrfLKxbgBrMSY4o2rLCPL3xTMSq6NY", "View")</f>
        <v/>
      </c>
    </row>
    <row r="132">
      <c r="A132" s="16" t="inlineStr">
        <is>
          <t xml:space="preserve">Penia </t>
        </is>
      </c>
      <c r="B132" s="17" t="n">
        <v>4540232</v>
      </c>
      <c r="C132" s="17" t="n">
        <v>0</v>
      </c>
      <c r="D132" s="17" t="inlineStr">
        <is>
          <t>0.000060</t>
        </is>
      </c>
      <c r="E132" s="17" t="inlineStr">
        <is>
          <t>1.000 SOL</t>
        </is>
      </c>
      <c r="F132" s="17" t="inlineStr">
        <is>
          <t>0.000 SOL</t>
        </is>
      </c>
      <c r="G132" s="18" t="inlineStr">
        <is>
          <t>-1.000 SOL</t>
        </is>
      </c>
      <c r="H132" s="18" t="inlineStr">
        <is>
          <t>0.00%</t>
        </is>
      </c>
      <c r="I132" s="17" t="inlineStr">
        <is>
          <t>4,540,232</t>
        </is>
      </c>
      <c r="J132" s="17" t="n">
        <v>1</v>
      </c>
      <c r="K132" s="17" t="n">
        <v>0</v>
      </c>
      <c r="L132" s="17" t="inlineStr">
        <is>
          <t>20.10.2024 23:57:24</t>
        </is>
      </c>
      <c r="M132" s="19" t="inlineStr">
        <is>
          <t>0 sec</t>
        </is>
      </c>
      <c r="N132" s="17" t="inlineStr">
        <is>
          <t xml:space="preserve">         39K            39K            12K</t>
        </is>
      </c>
      <c r="O132" s="17" t="inlineStr">
        <is>
          <t>6QWTF7nbZaLWd63WpRkigEgJ6bHrTHtoXGy2zjsqpump</t>
        </is>
      </c>
      <c r="P132" s="17">
        <f>HYPERLINK("https://dexscreener.com/solana/6QWTF7nbZaLWd63WpRkigEgJ6bHrTHtoXGy2zjsqpump", "View")</f>
        <v/>
      </c>
    </row>
    <row r="133">
      <c r="A133" s="20" t="inlineStr">
        <is>
          <t>US</t>
        </is>
      </c>
      <c r="B133" s="21" t="n">
        <v>5962320</v>
      </c>
      <c r="C133" s="21" t="n">
        <v>0</v>
      </c>
      <c r="D133" s="21" t="inlineStr">
        <is>
          <t>0.000110</t>
        </is>
      </c>
      <c r="E133" s="21" t="inlineStr">
        <is>
          <t>4.000 SOL</t>
        </is>
      </c>
      <c r="F133" s="21" t="inlineStr">
        <is>
          <t>0.000 SOL</t>
        </is>
      </c>
      <c r="G133" s="18" t="inlineStr">
        <is>
          <t>-4.000 SOL</t>
        </is>
      </c>
      <c r="H133" s="18" t="inlineStr">
        <is>
          <t>0.00%</t>
        </is>
      </c>
      <c r="I133" s="21" t="inlineStr">
        <is>
          <t>5,962,320</t>
        </is>
      </c>
      <c r="J133" s="21" t="n">
        <v>2</v>
      </c>
      <c r="K133" s="21" t="n">
        <v>0</v>
      </c>
      <c r="L133" s="21" t="inlineStr">
        <is>
          <t>20.10.2024 22:26:30</t>
        </is>
      </c>
      <c r="M133" s="21" t="inlineStr">
        <is>
          <t>1 min</t>
        </is>
      </c>
      <c r="N133" s="21" t="inlineStr">
        <is>
          <t xml:space="preserve">        111K           126K             4K</t>
        </is>
      </c>
      <c r="O133" s="21" t="inlineStr">
        <is>
          <t>BbbYo2naPz4xR9EJsLCwF5XpVWg9pTs3wwMbg1Kcpump</t>
        </is>
      </c>
      <c r="P133" s="21">
        <f>HYPERLINK("https://dexscreener.com/solana/BbbYo2naPz4xR9EJsLCwF5XpVWg9pTs3wwMbg1Kcpump", "View")</f>
        <v/>
      </c>
    </row>
    <row r="134">
      <c r="A134" s="16" t="inlineStr">
        <is>
          <t>fag</t>
        </is>
      </c>
      <c r="B134" s="17" t="n">
        <v>6445363</v>
      </c>
      <c r="C134" s="17" t="n">
        <v>0</v>
      </c>
      <c r="D134" s="17" t="inlineStr">
        <is>
          <t>0.000060</t>
        </is>
      </c>
      <c r="E134" s="17" t="inlineStr">
        <is>
          <t>3.000 SOL</t>
        </is>
      </c>
      <c r="F134" s="17" t="inlineStr">
        <is>
          <t>0.000 SOL</t>
        </is>
      </c>
      <c r="G134" s="18" t="inlineStr">
        <is>
          <t>-3.000 SOL</t>
        </is>
      </c>
      <c r="H134" s="18" t="inlineStr">
        <is>
          <t>0.00%</t>
        </is>
      </c>
      <c r="I134" s="17" t="inlineStr">
        <is>
          <t>6,445,363</t>
        </is>
      </c>
      <c r="J134" s="17" t="n">
        <v>1</v>
      </c>
      <c r="K134" s="17" t="n">
        <v>0</v>
      </c>
      <c r="L134" s="17" t="inlineStr">
        <is>
          <t>20.10.2024 22:09:08</t>
        </is>
      </c>
      <c r="M134" s="19" t="inlineStr">
        <is>
          <t>0 sec</t>
        </is>
      </c>
      <c r="N134" s="17" t="inlineStr">
        <is>
          <t xml:space="preserve">         83K            83K             5K</t>
        </is>
      </c>
      <c r="O134" s="17" t="inlineStr">
        <is>
          <t>Gnq3u69LJGrr4k1Dw7JZTFUt1cftHwVcrxmUsMEHpump</t>
        </is>
      </c>
      <c r="P134" s="17">
        <f>HYPERLINK("https://dexscreener.com/solana/Gnq3u69LJGrr4k1Dw7JZTFUt1cftHwVcrxmUsMEHpump", "View")</f>
        <v/>
      </c>
    </row>
    <row r="135">
      <c r="A135" s="20" t="inlineStr">
        <is>
          <t>SKBDDY</t>
        </is>
      </c>
      <c r="B135" s="21" t="n">
        <v>3485950</v>
      </c>
      <c r="C135" s="21" t="n">
        <v>0</v>
      </c>
      <c r="D135" s="21" t="inlineStr">
        <is>
          <t>0.000060</t>
        </is>
      </c>
      <c r="E135" s="21" t="inlineStr">
        <is>
          <t>5.000 SOL</t>
        </is>
      </c>
      <c r="F135" s="21" t="inlineStr">
        <is>
          <t>0.000 SOL</t>
        </is>
      </c>
      <c r="G135" s="18" t="inlineStr">
        <is>
          <t>-5.000 SOL</t>
        </is>
      </c>
      <c r="H135" s="18" t="inlineStr">
        <is>
          <t>0.00%</t>
        </is>
      </c>
      <c r="I135" s="21" t="inlineStr">
        <is>
          <t>3,485,950</t>
        </is>
      </c>
      <c r="J135" s="21" t="n">
        <v>1</v>
      </c>
      <c r="K135" s="21" t="n">
        <v>0</v>
      </c>
      <c r="L135" s="21" t="inlineStr">
        <is>
          <t>20.10.2024 20:09:38</t>
        </is>
      </c>
      <c r="M135" s="19" t="inlineStr">
        <is>
          <t>0 sec</t>
        </is>
      </c>
      <c r="N135" s="21" t="inlineStr">
        <is>
          <t xml:space="preserve">        251K           251K            36K</t>
        </is>
      </c>
      <c r="O135" s="21" t="inlineStr">
        <is>
          <t>FfhENRtsudrPbWaJhuMnYq2fKchHqU1Erd7vK9Gzpump</t>
        </is>
      </c>
      <c r="P135" s="21">
        <f>HYPERLINK("https://dexscreener.com/solana/FfhENRtsudrPbWaJhuMnYq2fKchHqU1Erd7vK9Gzpump", "View")</f>
        <v/>
      </c>
    </row>
    <row r="136">
      <c r="A136" s="16" t="inlineStr">
        <is>
          <t>⌥</t>
        </is>
      </c>
      <c r="B136" s="17" t="n">
        <v>248741</v>
      </c>
      <c r="C136" s="17" t="n">
        <v>0</v>
      </c>
      <c r="D136" s="17" t="inlineStr">
        <is>
          <t>0.000060</t>
        </is>
      </c>
      <c r="E136" s="17" t="inlineStr">
        <is>
          <t>2.000 SOL</t>
        </is>
      </c>
      <c r="F136" s="17" t="inlineStr">
        <is>
          <t>0.000 SOL</t>
        </is>
      </c>
      <c r="G136" s="18" t="inlineStr">
        <is>
          <t>-2.000 SOL</t>
        </is>
      </c>
      <c r="H136" s="18" t="inlineStr">
        <is>
          <t>0.00%</t>
        </is>
      </c>
      <c r="I136" s="17" t="inlineStr">
        <is>
          <t>248,741</t>
        </is>
      </c>
      <c r="J136" s="17" t="n">
        <v>1</v>
      </c>
      <c r="K136" s="17" t="n">
        <v>0</v>
      </c>
      <c r="L136" s="17" t="inlineStr">
        <is>
          <t>20.10.2024 18:47:28</t>
        </is>
      </c>
      <c r="M136" s="19" t="inlineStr">
        <is>
          <t>0 sec</t>
        </is>
      </c>
      <c r="N136" s="17" t="inlineStr">
        <is>
          <t xml:space="preserve">          1M             1M            25K</t>
        </is>
      </c>
      <c r="O136" s="17" t="inlineStr">
        <is>
          <t>CJJbVYyrX92FjZGWn6Ckg9SnszxGF33C6okcKsmFpump</t>
        </is>
      </c>
      <c r="P136" s="17">
        <f>HYPERLINK("https://dexscreener.com/solana/CJJbVYyrX92FjZGWn6Ckg9SnszxGF33C6okcKsmFpump", "View")</f>
        <v/>
      </c>
    </row>
    <row r="137">
      <c r="A137" s="20" t="inlineStr">
        <is>
          <t>CORRA</t>
        </is>
      </c>
      <c r="B137" s="21" t="n">
        <v>6885143</v>
      </c>
      <c r="C137" s="21" t="n">
        <v>0</v>
      </c>
      <c r="D137" s="21" t="inlineStr">
        <is>
          <t>0.000060</t>
        </is>
      </c>
      <c r="E137" s="21" t="inlineStr">
        <is>
          <t>1.000 SOL</t>
        </is>
      </c>
      <c r="F137" s="21" t="inlineStr">
        <is>
          <t>0.000 SOL</t>
        </is>
      </c>
      <c r="G137" s="18" t="inlineStr">
        <is>
          <t>-1.000 SOL</t>
        </is>
      </c>
      <c r="H137" s="18" t="inlineStr">
        <is>
          <t>0.00%</t>
        </is>
      </c>
      <c r="I137" s="21" t="inlineStr">
        <is>
          <t>6,885,143</t>
        </is>
      </c>
      <c r="J137" s="21" t="n">
        <v>1</v>
      </c>
      <c r="K137" s="21" t="n">
        <v>0</v>
      </c>
      <c r="L137" s="21" t="inlineStr">
        <is>
          <t>20.10.2024 18:31:55</t>
        </is>
      </c>
      <c r="M137" s="19" t="inlineStr">
        <is>
          <t>0 sec</t>
        </is>
      </c>
      <c r="N137" s="21" t="inlineStr">
        <is>
          <t xml:space="preserve">         26K            26K             9K</t>
        </is>
      </c>
      <c r="O137" s="21" t="inlineStr">
        <is>
          <t>CDA3CFpoJgyu8Zg4UV94G8nXeveGTHaSyquaK34fpump</t>
        </is>
      </c>
      <c r="P137" s="21">
        <f>HYPERLINK("https://dexscreener.com/solana/CDA3CFpoJgyu8Zg4UV94G8nXeveGTHaSyquaK34fpump", "View")</f>
        <v/>
      </c>
    </row>
    <row r="138">
      <c r="A138" s="16" t="inlineStr">
        <is>
          <t>01</t>
        </is>
      </c>
      <c r="B138" s="17" t="n">
        <v>582632</v>
      </c>
      <c r="C138" s="17" t="n">
        <v>0</v>
      </c>
      <c r="D138" s="17" t="inlineStr">
        <is>
          <t>0.000060</t>
        </is>
      </c>
      <c r="E138" s="17" t="inlineStr">
        <is>
          <t>2.000 SOL</t>
        </is>
      </c>
      <c r="F138" s="17" t="inlineStr">
        <is>
          <t>0.000 SOL</t>
        </is>
      </c>
      <c r="G138" s="18" t="inlineStr">
        <is>
          <t>-2.000 SOL</t>
        </is>
      </c>
      <c r="H138" s="18" t="inlineStr">
        <is>
          <t>0.00%</t>
        </is>
      </c>
      <c r="I138" s="17" t="inlineStr">
        <is>
          <t>582,632</t>
        </is>
      </c>
      <c r="J138" s="17" t="n">
        <v>1</v>
      </c>
      <c r="K138" s="17" t="n">
        <v>0</v>
      </c>
      <c r="L138" s="17" t="inlineStr">
        <is>
          <t>20.10.2024 11:05:16</t>
        </is>
      </c>
      <c r="M138" s="19" t="inlineStr">
        <is>
          <t>0 sec</t>
        </is>
      </c>
      <c r="N138" s="17" t="inlineStr">
        <is>
          <t xml:space="preserve">        602K           602K           138K</t>
        </is>
      </c>
      <c r="O138" s="17" t="inlineStr">
        <is>
          <t>GFGSBt8NUqXa6w33dScPXoJQsq7iNpjLXaB7FNj5pump</t>
        </is>
      </c>
      <c r="P138" s="17">
        <f>HYPERLINK("https://dexscreener.com/solana/GFGSBt8NUqXa6w33dScPXoJQsq7iNpjLXaB7FNj5pump", "View")</f>
        <v/>
      </c>
    </row>
    <row r="139">
      <c r="A139" s="20" t="inlineStr">
        <is>
          <t>REN</t>
        </is>
      </c>
      <c r="B139" s="21" t="n">
        <v>21924812</v>
      </c>
      <c r="C139" s="21" t="n">
        <v>0</v>
      </c>
      <c r="D139" s="21" t="inlineStr">
        <is>
          <t>0.000160</t>
        </is>
      </c>
      <c r="E139" s="21" t="inlineStr">
        <is>
          <t>4.379 SOL</t>
        </is>
      </c>
      <c r="F139" s="21" t="inlineStr">
        <is>
          <t>0.000 SOL</t>
        </is>
      </c>
      <c r="G139" s="18" t="inlineStr">
        <is>
          <t>-4.379 SOL</t>
        </is>
      </c>
      <c r="H139" s="18" t="inlineStr">
        <is>
          <t>0.00%</t>
        </is>
      </c>
      <c r="I139" s="21" t="inlineStr">
        <is>
          <t>21,924,812</t>
        </is>
      </c>
      <c r="J139" s="21" t="n">
        <v>3</v>
      </c>
      <c r="K139" s="21" t="n">
        <v>0</v>
      </c>
      <c r="L139" s="21" t="inlineStr">
        <is>
          <t>20.10.2024 11:03:11</t>
        </is>
      </c>
      <c r="M139" s="21" t="inlineStr">
        <is>
          <t>1 days</t>
        </is>
      </c>
      <c r="N139" s="21" t="inlineStr">
        <is>
          <t xml:space="preserve">         63K            33K            14K</t>
        </is>
      </c>
      <c r="O139" s="21" t="inlineStr">
        <is>
          <t>H2zb37x5nyW1yeCzVn2RecQFCdt8JK9ZioxqSNsFpump</t>
        </is>
      </c>
      <c r="P139" s="21">
        <f>HYPERLINK("https://photon-sol.tinyastro.io/en/lp/H2zb37x5nyW1yeCzVn2RecQFCdt8JK9ZioxqSNsFpump?handle=676050794bc1b1657a56b", "View")</f>
        <v/>
      </c>
    </row>
    <row r="140">
      <c r="A140" s="16" t="inlineStr">
        <is>
          <t>MIKU</t>
        </is>
      </c>
      <c r="B140" s="17" t="n">
        <v>6926003</v>
      </c>
      <c r="C140" s="17" t="n">
        <v>0</v>
      </c>
      <c r="D140" s="17" t="inlineStr">
        <is>
          <t>0.000110</t>
        </is>
      </c>
      <c r="E140" s="17" t="inlineStr">
        <is>
          <t>4.000 SOL</t>
        </is>
      </c>
      <c r="F140" s="17" t="inlineStr">
        <is>
          <t>0.000 SOL</t>
        </is>
      </c>
      <c r="G140" s="18" t="inlineStr">
        <is>
          <t>-4.000 SOL</t>
        </is>
      </c>
      <c r="H140" s="18" t="inlineStr">
        <is>
          <t>0.00%</t>
        </is>
      </c>
      <c r="I140" s="17" t="inlineStr">
        <is>
          <t>6,926,003</t>
        </is>
      </c>
      <c r="J140" s="17" t="n">
        <v>2</v>
      </c>
      <c r="K140" s="17" t="n">
        <v>0</v>
      </c>
      <c r="L140" s="17" t="inlineStr">
        <is>
          <t>20.10.2024 05:30:14</t>
        </is>
      </c>
      <c r="M140" s="17" t="inlineStr">
        <is>
          <t>1 min</t>
        </is>
      </c>
      <c r="N140" s="17" t="inlineStr">
        <is>
          <t xml:space="preserve">        102K            92K             7K</t>
        </is>
      </c>
      <c r="O140" s="17" t="inlineStr">
        <is>
          <t>fczy4cBWZ5FD5vc7rEaVDDseCtf9m64t3rrax7Lpump</t>
        </is>
      </c>
      <c r="P140" s="17">
        <f>HYPERLINK("https://dexscreener.com/solana/fczy4cBWZ5FD5vc7rEaVDDseCtf9m64t3rrax7Lpump", "View")</f>
        <v/>
      </c>
    </row>
    <row r="141">
      <c r="A141" s="20" t="inlineStr">
        <is>
          <t>CATGF</t>
        </is>
      </c>
      <c r="B141" s="21" t="n">
        <v>1251626</v>
      </c>
      <c r="C141" s="21" t="n">
        <v>450000</v>
      </c>
      <c r="D141" s="21" t="inlineStr">
        <is>
          <t>0.001060</t>
        </is>
      </c>
      <c r="E141" s="21" t="inlineStr">
        <is>
          <t>2.000 SOL</t>
        </is>
      </c>
      <c r="F141" s="21" t="inlineStr">
        <is>
          <t>16.213 SOL</t>
        </is>
      </c>
      <c r="G141" s="24" t="inlineStr">
        <is>
          <t>14.212 SOL</t>
        </is>
      </c>
      <c r="H141" s="24" t="inlineStr">
        <is>
          <t>710.23%</t>
        </is>
      </c>
      <c r="I141" s="21" t="inlineStr">
        <is>
          <t>N/A</t>
        </is>
      </c>
      <c r="J141" s="21" t="n">
        <v>1</v>
      </c>
      <c r="K141" s="21" t="n">
        <v>1</v>
      </c>
      <c r="L141" s="21" t="inlineStr">
        <is>
          <t>20.10.2024 04:04:55</t>
        </is>
      </c>
      <c r="M141" s="21" t="inlineStr">
        <is>
          <t>1 days</t>
        </is>
      </c>
      <c r="N141" s="21" t="inlineStr">
        <is>
          <t xml:space="preserve">        281K           281K             4M</t>
        </is>
      </c>
      <c r="O141" s="21" t="inlineStr">
        <is>
          <t>GVwpWU5PtJFHS1mH35sHmsRN1XWUwRV3Qo94h5Lepump</t>
        </is>
      </c>
      <c r="P141" s="21">
        <f>HYPERLINK("https://dexscreener.com/solana/GVwpWU5PtJFHS1mH35sHmsRN1XWUwRV3Qo94h5Lepump", "View")</f>
        <v/>
      </c>
    </row>
    <row r="142">
      <c r="A142" s="16" t="inlineStr">
        <is>
          <t>CLANKER</t>
        </is>
      </c>
      <c r="B142" s="17" t="n">
        <v>185575</v>
      </c>
      <c r="C142" s="17" t="n">
        <v>0</v>
      </c>
      <c r="D142" s="17" t="inlineStr">
        <is>
          <t>0.000060</t>
        </is>
      </c>
      <c r="E142" s="17" t="inlineStr">
        <is>
          <t>3.000 SOL</t>
        </is>
      </c>
      <c r="F142" s="17" t="inlineStr">
        <is>
          <t>0.000 SOL</t>
        </is>
      </c>
      <c r="G142" s="18" t="inlineStr">
        <is>
          <t>-3.000 SOL</t>
        </is>
      </c>
      <c r="H142" s="18" t="inlineStr">
        <is>
          <t>0.00%</t>
        </is>
      </c>
      <c r="I142" s="17" t="inlineStr">
        <is>
          <t>185,575</t>
        </is>
      </c>
      <c r="J142" s="17" t="n">
        <v>1</v>
      </c>
      <c r="K142" s="17" t="n">
        <v>0</v>
      </c>
      <c r="L142" s="17" t="inlineStr">
        <is>
          <t>20.10.2024 03:58:04</t>
        </is>
      </c>
      <c r="M142" s="19" t="inlineStr">
        <is>
          <t>0 sec</t>
        </is>
      </c>
      <c r="N142" s="17" t="inlineStr">
        <is>
          <t xml:space="preserve">          3M             3M             3M</t>
        </is>
      </c>
      <c r="O142" s="17" t="inlineStr">
        <is>
          <t>3qq54YqAKG3TcrwNHXFSpMCWoL8gmMuPceJ4FG9npump</t>
        </is>
      </c>
      <c r="P142" s="17">
        <f>HYPERLINK("https://dexscreener.com/solana/3qq54YqAKG3TcrwNHXFSpMCWoL8gmMuPceJ4FG9npump", "View")</f>
        <v/>
      </c>
    </row>
    <row r="143">
      <c r="A143" s="20" t="inlineStr">
        <is>
          <t>raw</t>
        </is>
      </c>
      <c r="B143" s="21" t="n">
        <v>4578130</v>
      </c>
      <c r="C143" s="21" t="n">
        <v>0</v>
      </c>
      <c r="D143" s="21" t="inlineStr">
        <is>
          <t>0.000060</t>
        </is>
      </c>
      <c r="E143" s="21" t="inlineStr">
        <is>
          <t>1.000 SOL</t>
        </is>
      </c>
      <c r="F143" s="21" t="inlineStr">
        <is>
          <t>0.000 SOL</t>
        </is>
      </c>
      <c r="G143" s="18" t="inlineStr">
        <is>
          <t>-1.000 SOL</t>
        </is>
      </c>
      <c r="H143" s="18" t="inlineStr">
        <is>
          <t>0.00%</t>
        </is>
      </c>
      <c r="I143" s="21" t="inlineStr">
        <is>
          <t>4,578,130</t>
        </is>
      </c>
      <c r="J143" s="21" t="n">
        <v>1</v>
      </c>
      <c r="K143" s="21" t="n">
        <v>0</v>
      </c>
      <c r="L143" s="21" t="inlineStr">
        <is>
          <t>20.10.2024 03:52:26</t>
        </is>
      </c>
      <c r="M143" s="19" t="inlineStr">
        <is>
          <t>0 sec</t>
        </is>
      </c>
      <c r="N143" s="21" t="inlineStr">
        <is>
          <t xml:space="preserve">         39K            39K             4K</t>
        </is>
      </c>
      <c r="O143" s="21" t="inlineStr">
        <is>
          <t>tQFfHADz2FqHmr7axYiDiYKTyprmzh15vG1mdQ2pump</t>
        </is>
      </c>
      <c r="P143" s="21">
        <f>HYPERLINK("https://dexscreener.com/solana/tQFfHADz2FqHmr7axYiDiYKTyprmzh15vG1mdQ2pump", "View")</f>
        <v/>
      </c>
    </row>
    <row r="144">
      <c r="A144" s="16" t="inlineStr">
        <is>
          <t>LAM</t>
        </is>
      </c>
      <c r="B144" s="17" t="n">
        <v>17268236</v>
      </c>
      <c r="C144" s="17" t="n">
        <v>0</v>
      </c>
      <c r="D144" s="17" t="inlineStr">
        <is>
          <t>0.000060</t>
        </is>
      </c>
      <c r="E144" s="17" t="inlineStr">
        <is>
          <t>2.042 SOL</t>
        </is>
      </c>
      <c r="F144" s="17" t="inlineStr">
        <is>
          <t>0.000 SOL</t>
        </is>
      </c>
      <c r="G144" s="18" t="inlineStr">
        <is>
          <t>-2.042 SOL</t>
        </is>
      </c>
      <c r="H144" s="18" t="inlineStr">
        <is>
          <t>0.00%</t>
        </is>
      </c>
      <c r="I144" s="17" t="inlineStr">
        <is>
          <t>17,268,236</t>
        </is>
      </c>
      <c r="J144" s="17" t="n">
        <v>1</v>
      </c>
      <c r="K144" s="17" t="n">
        <v>0</v>
      </c>
      <c r="L144" s="17" t="inlineStr">
        <is>
          <t>20.10.2024 01:56:05</t>
        </is>
      </c>
      <c r="M144" s="19" t="inlineStr">
        <is>
          <t>0 sec</t>
        </is>
      </c>
      <c r="N144" s="17" t="inlineStr">
        <is>
          <t xml:space="preserve">         21K            21K             5K</t>
        </is>
      </c>
      <c r="O144" s="17" t="inlineStr">
        <is>
          <t>6G7eLC9sxoBpFxdvKTYY5VcogJwtYBBRq88iSWxmpump</t>
        </is>
      </c>
      <c r="P144" s="17">
        <f>HYPERLINK("https://photon-sol.tinyastro.io/en/lp/6G7eLC9sxoBpFxdvKTYY5VcogJwtYBBRq88iSWxmpump?handle=676050794bc1b1657a56b", "View")</f>
        <v/>
      </c>
    </row>
    <row r="145">
      <c r="A145" s="20" t="inlineStr">
        <is>
          <t>CYBERIA</t>
        </is>
      </c>
      <c r="B145" s="21" t="n">
        <v>4087680</v>
      </c>
      <c r="C145" s="21" t="n">
        <v>0</v>
      </c>
      <c r="D145" s="21" t="inlineStr">
        <is>
          <t>0.000060</t>
        </is>
      </c>
      <c r="E145" s="21" t="inlineStr">
        <is>
          <t>3.000 SOL</t>
        </is>
      </c>
      <c r="F145" s="21" t="inlineStr">
        <is>
          <t>0.000 SOL</t>
        </is>
      </c>
      <c r="G145" s="18" t="inlineStr">
        <is>
          <t>-3.000 SOL</t>
        </is>
      </c>
      <c r="H145" s="18" t="inlineStr">
        <is>
          <t>0.00%</t>
        </is>
      </c>
      <c r="I145" s="21" t="inlineStr">
        <is>
          <t>4,087,680</t>
        </is>
      </c>
      <c r="J145" s="21" t="n">
        <v>1</v>
      </c>
      <c r="K145" s="21" t="n">
        <v>0</v>
      </c>
      <c r="L145" s="21" t="inlineStr">
        <is>
          <t>20.10.2024 01:08:36</t>
        </is>
      </c>
      <c r="M145" s="19" t="inlineStr">
        <is>
          <t>0 sec</t>
        </is>
      </c>
      <c r="N145" s="21" t="inlineStr">
        <is>
          <t xml:space="preserve">        128K           128K             7K</t>
        </is>
      </c>
      <c r="O145" s="21" t="inlineStr">
        <is>
          <t>f4NMCNnGR7qiCxDfGgFoXp6B4JFTHsHVn7eDYJ9pump</t>
        </is>
      </c>
      <c r="P145" s="21">
        <f>HYPERLINK("https://dexscreener.com/solana/f4NMCNnGR7qiCxDfGgFoXp6B4JFTHsHVn7eDYJ9pump", "View")</f>
        <v/>
      </c>
    </row>
    <row r="146">
      <c r="A146" s="16" t="inlineStr">
        <is>
          <t>DOM</t>
        </is>
      </c>
      <c r="B146" s="17" t="n">
        <v>4137667</v>
      </c>
      <c r="C146" s="17" t="n">
        <v>0</v>
      </c>
      <c r="D146" s="17" t="inlineStr">
        <is>
          <t>0.000060</t>
        </is>
      </c>
      <c r="E146" s="17" t="inlineStr">
        <is>
          <t>2.000 SOL</t>
        </is>
      </c>
      <c r="F146" s="17" t="inlineStr">
        <is>
          <t>0.000 SOL</t>
        </is>
      </c>
      <c r="G146" s="18" t="inlineStr">
        <is>
          <t>-2.000 SOL</t>
        </is>
      </c>
      <c r="H146" s="18" t="inlineStr">
        <is>
          <t>0.00%</t>
        </is>
      </c>
      <c r="I146" s="17" t="inlineStr">
        <is>
          <t>4,137,667</t>
        </is>
      </c>
      <c r="J146" s="17" t="n">
        <v>1</v>
      </c>
      <c r="K146" s="17" t="n">
        <v>0</v>
      </c>
      <c r="L146" s="17" t="inlineStr">
        <is>
          <t>20.10.2024 00:54:16</t>
        </is>
      </c>
      <c r="M146" s="19" t="inlineStr">
        <is>
          <t>0 sec</t>
        </is>
      </c>
      <c r="N146" s="17" t="inlineStr">
        <is>
          <t xml:space="preserve">         84K            84K             5K</t>
        </is>
      </c>
      <c r="O146" s="17" t="inlineStr">
        <is>
          <t>Gp7hF14qT6275Sz71bb5aaYXDTcngyFR5RPrjjuapump</t>
        </is>
      </c>
      <c r="P146" s="17">
        <f>HYPERLINK("https://dexscreener.com/solana/Gp7hF14qT6275Sz71bb5aaYXDTcngyFR5RPrjjuapump", "View")</f>
        <v/>
      </c>
    </row>
    <row r="147">
      <c r="A147" s="20" t="inlineStr">
        <is>
          <t>HUMAN</t>
        </is>
      </c>
      <c r="B147" s="21" t="n">
        <v>2065875</v>
      </c>
      <c r="C147" s="21" t="n">
        <v>0</v>
      </c>
      <c r="D147" s="21" t="inlineStr">
        <is>
          <t>0.000060</t>
        </is>
      </c>
      <c r="E147" s="21" t="inlineStr">
        <is>
          <t>2.000 SOL</t>
        </is>
      </c>
      <c r="F147" s="21" t="inlineStr">
        <is>
          <t>0.000 SOL</t>
        </is>
      </c>
      <c r="G147" s="18" t="inlineStr">
        <is>
          <t>-2.000 SOL</t>
        </is>
      </c>
      <c r="H147" s="18" t="inlineStr">
        <is>
          <t>0.00%</t>
        </is>
      </c>
      <c r="I147" s="21" t="inlineStr">
        <is>
          <t>2,065,875</t>
        </is>
      </c>
      <c r="J147" s="21" t="n">
        <v>1</v>
      </c>
      <c r="K147" s="21" t="n">
        <v>0</v>
      </c>
      <c r="L147" s="21" t="inlineStr">
        <is>
          <t>20.10.2024 00:24:36</t>
        </is>
      </c>
      <c r="M147" s="19" t="inlineStr">
        <is>
          <t>0 sec</t>
        </is>
      </c>
      <c r="N147" s="21" t="inlineStr">
        <is>
          <t xml:space="preserve">        165K           165K             6K</t>
        </is>
      </c>
      <c r="O147" s="21" t="inlineStr">
        <is>
          <t>BJWyKVWrBxdwmn9vPP7HndJTQa31BtSYX6fXivTJpump</t>
        </is>
      </c>
      <c r="P147" s="21">
        <f>HYPERLINK("https://dexscreener.com/solana/BJWyKVWrBxdwmn9vPP7HndJTQa31BtSYX6fXivTJpump", "View")</f>
        <v/>
      </c>
    </row>
    <row r="148">
      <c r="A148" s="16" t="inlineStr">
        <is>
          <t>$AxSys</t>
        </is>
      </c>
      <c r="B148" s="17" t="n">
        <v>1011372</v>
      </c>
      <c r="C148" s="17" t="n">
        <v>0</v>
      </c>
      <c r="D148" s="17" t="inlineStr">
        <is>
          <t>0.000060</t>
        </is>
      </c>
      <c r="E148" s="17" t="inlineStr">
        <is>
          <t>2.000 SOL</t>
        </is>
      </c>
      <c r="F148" s="17" t="inlineStr">
        <is>
          <t>0.000 SOL</t>
        </is>
      </c>
      <c r="G148" s="18" t="inlineStr">
        <is>
          <t>-2.000 SOL</t>
        </is>
      </c>
      <c r="H148" s="18" t="inlineStr">
        <is>
          <t>0.00%</t>
        </is>
      </c>
      <c r="I148" s="17" t="inlineStr">
        <is>
          <t>1,011,372</t>
        </is>
      </c>
      <c r="J148" s="17" t="n">
        <v>1</v>
      </c>
      <c r="K148" s="17" t="n">
        <v>0</v>
      </c>
      <c r="L148" s="17" t="inlineStr">
        <is>
          <t>19.10.2024 23:51:15</t>
        </is>
      </c>
      <c r="M148" s="19" t="inlineStr">
        <is>
          <t>0 sec</t>
        </is>
      </c>
      <c r="N148" s="17" t="inlineStr">
        <is>
          <t xml:space="preserve">        348K           348K            15K</t>
        </is>
      </c>
      <c r="O148" s="17" t="inlineStr">
        <is>
          <t>BxBWLrR2qwkTqcyMqeCAAomi5SWu1HgJoiSJtD1vpump</t>
        </is>
      </c>
      <c r="P148" s="17">
        <f>HYPERLINK("https://dexscreener.com/solana/BxBWLrR2qwkTqcyMqeCAAomi5SWu1HgJoiSJtD1vpump", "View")</f>
        <v/>
      </c>
    </row>
    <row r="149">
      <c r="A149" s="20" t="inlineStr">
        <is>
          <t>GREEN</t>
        </is>
      </c>
      <c r="B149" s="21" t="n">
        <v>11001895</v>
      </c>
      <c r="C149" s="21" t="n">
        <v>11001895</v>
      </c>
      <c r="D149" s="21" t="inlineStr">
        <is>
          <t>0.001550</t>
        </is>
      </c>
      <c r="E149" s="21" t="inlineStr">
        <is>
          <t>3.000 SOL</t>
        </is>
      </c>
      <c r="F149" s="21" t="inlineStr">
        <is>
          <t>146.452 SOL</t>
        </is>
      </c>
      <c r="G149" s="24" t="inlineStr">
        <is>
          <t>143.450 SOL</t>
        </is>
      </c>
      <c r="H149" s="24" t="inlineStr">
        <is>
          <t>4779.21%</t>
        </is>
      </c>
      <c r="I149" s="21" t="inlineStr">
        <is>
          <t>N/A</t>
        </is>
      </c>
      <c r="J149" s="21" t="n">
        <v>1</v>
      </c>
      <c r="K149" s="21" t="n">
        <v>15</v>
      </c>
      <c r="L149" s="21" t="inlineStr">
        <is>
          <t>19.10.2024 21:54:36</t>
        </is>
      </c>
      <c r="M149" s="21" t="inlineStr">
        <is>
          <t>21 hours</t>
        </is>
      </c>
      <c r="N149" s="21" t="inlineStr">
        <is>
          <t xml:space="preserve">         43K             2M           889K</t>
        </is>
      </c>
      <c r="O149" s="21" t="inlineStr">
        <is>
          <t>GGHga4iRCxEvq9Ky4MNwk9amTbLLg53bBHcSjpJLpump</t>
        </is>
      </c>
      <c r="P149" s="21">
        <f>HYPERLINK("https://dexscreener.com/solana/GGHga4iRCxEvq9Ky4MNwk9amTbLLg53bBHcSjpJLpump", "View")</f>
        <v/>
      </c>
    </row>
    <row r="150">
      <c r="A150" s="16" t="inlineStr">
        <is>
          <t>GIRL</t>
        </is>
      </c>
      <c r="B150" s="17" t="n">
        <v>11171678</v>
      </c>
      <c r="C150" s="17" t="n">
        <v>0</v>
      </c>
      <c r="D150" s="17" t="inlineStr">
        <is>
          <t>0.000210</t>
        </is>
      </c>
      <c r="E150" s="17" t="inlineStr">
        <is>
          <t>24.000 SOL</t>
        </is>
      </c>
      <c r="F150" s="17" t="inlineStr">
        <is>
          <t>0.000 SOL</t>
        </is>
      </c>
      <c r="G150" s="18" t="inlineStr">
        <is>
          <t>-24.000 SOL</t>
        </is>
      </c>
      <c r="H150" s="18" t="inlineStr">
        <is>
          <t>0.00%</t>
        </is>
      </c>
      <c r="I150" s="17" t="inlineStr">
        <is>
          <t>11,171,678</t>
        </is>
      </c>
      <c r="J150" s="17" t="n">
        <v>4</v>
      </c>
      <c r="K150" s="17" t="n">
        <v>0</v>
      </c>
      <c r="L150" s="17" t="inlineStr">
        <is>
          <t>19.10.2024 20:00:14</t>
        </is>
      </c>
      <c r="M150" s="17" t="inlineStr">
        <is>
          <t>1 hours</t>
        </is>
      </c>
      <c r="N150" s="17" t="inlineStr">
        <is>
          <t xml:space="preserve">        460K           163K            37K</t>
        </is>
      </c>
      <c r="O150" s="17" t="inlineStr">
        <is>
          <t>4DUMGk8R9YXCmuv22AvFTDRyusrEwj3bKcVzfajwpump</t>
        </is>
      </c>
      <c r="P150" s="17">
        <f>HYPERLINK("https://dexscreener.com/solana/4DUMGk8R9YXCmuv22AvFTDRyusrEwj3bKcVzfajwpump", "View")</f>
        <v/>
      </c>
    </row>
    <row r="151">
      <c r="A151" s="20" t="inlineStr">
        <is>
          <t>ESheep</t>
        </is>
      </c>
      <c r="B151" s="21" t="n">
        <v>10754167</v>
      </c>
      <c r="C151" s="21" t="n">
        <v>0</v>
      </c>
      <c r="D151" s="21" t="inlineStr">
        <is>
          <t>0.000060</t>
        </is>
      </c>
      <c r="E151" s="21" t="inlineStr">
        <is>
          <t>2.073 SOL</t>
        </is>
      </c>
      <c r="F151" s="21" t="inlineStr">
        <is>
          <t>0.000 SOL</t>
        </is>
      </c>
      <c r="G151" s="18" t="inlineStr">
        <is>
          <t>-2.073 SOL</t>
        </is>
      </c>
      <c r="H151" s="18" t="inlineStr">
        <is>
          <t>0.00%</t>
        </is>
      </c>
      <c r="I151" s="21" t="inlineStr">
        <is>
          <t>10,754,167</t>
        </is>
      </c>
      <c r="J151" s="21" t="n">
        <v>1</v>
      </c>
      <c r="K151" s="21" t="n">
        <v>0</v>
      </c>
      <c r="L151" s="21" t="inlineStr">
        <is>
          <t>19.10.2024 17:56:33</t>
        </is>
      </c>
      <c r="M151" s="19" t="inlineStr">
        <is>
          <t>0 sec</t>
        </is>
      </c>
      <c r="N151" s="21" t="inlineStr">
        <is>
          <t xml:space="preserve">         33K            33K             4K</t>
        </is>
      </c>
      <c r="O151" s="21" t="inlineStr">
        <is>
          <t>87FFrD6vqfxBhjP19z2bT186iFjHrGBuYL41w8E7pump</t>
        </is>
      </c>
      <c r="P151" s="21">
        <f>HYPERLINK("https://photon-sol.tinyastro.io/en/lp/87FFrD6vqfxBhjP19z2bT186iFjHrGBuYL41w8E7pump?handle=676050794bc1b1657a56b", "View")</f>
        <v/>
      </c>
    </row>
    <row r="152">
      <c r="A152" s="16" t="inlineStr">
        <is>
          <t>BURZEN</t>
        </is>
      </c>
      <c r="B152" s="17" t="n">
        <v>457097</v>
      </c>
      <c r="C152" s="17" t="n">
        <v>0</v>
      </c>
      <c r="D152" s="17" t="inlineStr">
        <is>
          <t>0.000110</t>
        </is>
      </c>
      <c r="E152" s="17" t="inlineStr">
        <is>
          <t>5.000 SOL</t>
        </is>
      </c>
      <c r="F152" s="17" t="inlineStr">
        <is>
          <t>0.000 SOL</t>
        </is>
      </c>
      <c r="G152" s="18" t="inlineStr">
        <is>
          <t>-5.000 SOL</t>
        </is>
      </c>
      <c r="H152" s="18" t="inlineStr">
        <is>
          <t>0.00%</t>
        </is>
      </c>
      <c r="I152" s="17" t="inlineStr">
        <is>
          <t>457,097</t>
        </is>
      </c>
      <c r="J152" s="17" t="n">
        <v>2</v>
      </c>
      <c r="K152" s="17" t="n">
        <v>0</v>
      </c>
      <c r="L152" s="17" t="inlineStr">
        <is>
          <t>19.10.2024 17:42:16</t>
        </is>
      </c>
      <c r="M152" s="17" t="inlineStr">
        <is>
          <t>2 min</t>
        </is>
      </c>
      <c r="N152" s="17" t="inlineStr">
        <is>
          <t xml:space="preserve">          2M             2M            58K</t>
        </is>
      </c>
      <c r="O152" s="17" t="inlineStr">
        <is>
          <t>8QLTsTnPN4XxTP4ZU7osE4j5XpTmJWRDNQmjLzncpump</t>
        </is>
      </c>
      <c r="P152" s="17">
        <f>HYPERLINK("https://dexscreener.com/solana/8QLTsTnPN4XxTP4ZU7osE4j5XpTmJWRDNQmjLzncpump", "View")</f>
        <v/>
      </c>
    </row>
    <row r="153">
      <c r="A153" s="20" t="inlineStr">
        <is>
          <t>aitism</t>
        </is>
      </c>
      <c r="B153" s="21" t="n">
        <v>2439783</v>
      </c>
      <c r="C153" s="21" t="n">
        <v>0</v>
      </c>
      <c r="D153" s="21" t="inlineStr">
        <is>
          <t>0.000060</t>
        </is>
      </c>
      <c r="E153" s="21" t="inlineStr">
        <is>
          <t>2.000 SOL</t>
        </is>
      </c>
      <c r="F153" s="21" t="inlineStr">
        <is>
          <t>0.000 SOL</t>
        </is>
      </c>
      <c r="G153" s="18" t="inlineStr">
        <is>
          <t>-2.000 SOL</t>
        </is>
      </c>
      <c r="H153" s="18" t="inlineStr">
        <is>
          <t>0.00%</t>
        </is>
      </c>
      <c r="I153" s="21" t="inlineStr">
        <is>
          <t>2,439,783</t>
        </is>
      </c>
      <c r="J153" s="21" t="n">
        <v>1</v>
      </c>
      <c r="K153" s="21" t="n">
        <v>0</v>
      </c>
      <c r="L153" s="21" t="inlineStr">
        <is>
          <t>19.10.2024 17:14:44</t>
        </is>
      </c>
      <c r="M153" s="19" t="inlineStr">
        <is>
          <t>0 sec</t>
        </is>
      </c>
      <c r="N153" s="21" t="inlineStr">
        <is>
          <t xml:space="preserve">        144K           144K             9K</t>
        </is>
      </c>
      <c r="O153" s="21" t="inlineStr">
        <is>
          <t>7EqfS5kHGj3mLiBaFZ2B91GccdKoUcBQvLmqkaKjpump</t>
        </is>
      </c>
      <c r="P153" s="21">
        <f>HYPERLINK("https://dexscreener.com/solana/7EqfS5kHGj3mLiBaFZ2B91GccdKoUcBQvLmqkaKjpump", "View")</f>
        <v/>
      </c>
    </row>
    <row r="154">
      <c r="A154" s="16" t="inlineStr">
        <is>
          <t>Y2K</t>
        </is>
      </c>
      <c r="B154" s="17" t="n">
        <v>6921256</v>
      </c>
      <c r="C154" s="17" t="n">
        <v>0</v>
      </c>
      <c r="D154" s="17" t="inlineStr">
        <is>
          <t>0.000060</t>
        </is>
      </c>
      <c r="E154" s="17" t="inlineStr">
        <is>
          <t>1.022 SOL</t>
        </is>
      </c>
      <c r="F154" s="17" t="inlineStr">
        <is>
          <t>0.000 SOL</t>
        </is>
      </c>
      <c r="G154" s="18" t="inlineStr">
        <is>
          <t>-1.022 SOL</t>
        </is>
      </c>
      <c r="H154" s="18" t="inlineStr">
        <is>
          <t>0.00%</t>
        </is>
      </c>
      <c r="I154" s="17" t="inlineStr">
        <is>
          <t>6,921,256</t>
        </is>
      </c>
      <c r="J154" s="17" t="n">
        <v>1</v>
      </c>
      <c r="K154" s="17" t="n">
        <v>0</v>
      </c>
      <c r="L154" s="17" t="inlineStr">
        <is>
          <t>19.10.2024 16:33:58</t>
        </is>
      </c>
      <c r="M154" s="19" t="inlineStr">
        <is>
          <t>0 sec</t>
        </is>
      </c>
      <c r="N154" s="17" t="inlineStr">
        <is>
          <t xml:space="preserve">         26K            26K             5K</t>
        </is>
      </c>
      <c r="O154" s="17" t="inlineStr">
        <is>
          <t>6hS6Lfu1tbQxFmZaG8vqpuFrj8Tk4Q75mW8sSR5wpump</t>
        </is>
      </c>
      <c r="P154" s="17">
        <f>HYPERLINK("https://photon-sol.tinyastro.io/en/lp/6hS6Lfu1tbQxFmZaG8vqpuFrj8Tk4Q75mW8sSR5wpump?handle=676050794bc1b1657a56b", "View")</f>
        <v/>
      </c>
    </row>
    <row r="155">
      <c r="A155" s="20" t="inlineStr">
        <is>
          <t>Y2K</t>
        </is>
      </c>
      <c r="B155" s="21" t="n">
        <v>16738920</v>
      </c>
      <c r="C155" s="21" t="n">
        <v>0</v>
      </c>
      <c r="D155" s="21" t="inlineStr">
        <is>
          <t>0.000060</t>
        </is>
      </c>
      <c r="E155" s="21" t="inlineStr">
        <is>
          <t>2.000 SOL</t>
        </is>
      </c>
      <c r="F155" s="21" t="inlineStr">
        <is>
          <t>0.000 SOL</t>
        </is>
      </c>
      <c r="G155" s="18" t="inlineStr">
        <is>
          <t>-2.000 SOL</t>
        </is>
      </c>
      <c r="H155" s="18" t="inlineStr">
        <is>
          <t>0.00%</t>
        </is>
      </c>
      <c r="I155" s="21" t="inlineStr">
        <is>
          <t>16,738,920</t>
        </is>
      </c>
      <c r="J155" s="21" t="n">
        <v>1</v>
      </c>
      <c r="K155" s="21" t="n">
        <v>0</v>
      </c>
      <c r="L155" s="21" t="inlineStr">
        <is>
          <t>19.10.2024 16:13:51</t>
        </is>
      </c>
      <c r="M155" s="19" t="inlineStr">
        <is>
          <t>0 sec</t>
        </is>
      </c>
      <c r="N155" s="21" t="inlineStr">
        <is>
          <t xml:space="preserve">         21K            21K             4K</t>
        </is>
      </c>
      <c r="O155" s="21" t="inlineStr">
        <is>
          <t>D9eWcgTRHapeTp6Ze2GUcfGe49N4Cyy9YkcR87mkpump</t>
        </is>
      </c>
      <c r="P155" s="21">
        <f>HYPERLINK("https://dexscreener.com/solana/D9eWcgTRHapeTp6Ze2GUcfGe49N4Cyy9YkcR87mkpump", "View")</f>
        <v/>
      </c>
    </row>
    <row r="156">
      <c r="A156" s="16" t="inlineStr">
        <is>
          <t>SOS</t>
        </is>
      </c>
      <c r="B156" s="17" t="n">
        <v>1551617</v>
      </c>
      <c r="C156" s="17" t="n">
        <v>0</v>
      </c>
      <c r="D156" s="17" t="inlineStr">
        <is>
          <t>0.000060</t>
        </is>
      </c>
      <c r="E156" s="17" t="inlineStr">
        <is>
          <t>2.000 SOL</t>
        </is>
      </c>
      <c r="F156" s="17" t="inlineStr">
        <is>
          <t>0.000 SOL</t>
        </is>
      </c>
      <c r="G156" s="18" t="inlineStr">
        <is>
          <t>-2.000 SOL</t>
        </is>
      </c>
      <c r="H156" s="18" t="inlineStr">
        <is>
          <t>0.00%</t>
        </is>
      </c>
      <c r="I156" s="17" t="inlineStr">
        <is>
          <t>1,551,617</t>
        </is>
      </c>
      <c r="J156" s="17" t="n">
        <v>1</v>
      </c>
      <c r="K156" s="17" t="n">
        <v>0</v>
      </c>
      <c r="L156" s="17" t="inlineStr">
        <is>
          <t>19.10.2024 05:14:39</t>
        </is>
      </c>
      <c r="M156" s="19" t="inlineStr">
        <is>
          <t>0 sec</t>
        </is>
      </c>
      <c r="N156" s="17" t="inlineStr">
        <is>
          <t xml:space="preserve">        226K           226K             4K</t>
        </is>
      </c>
      <c r="O156" s="17" t="inlineStr">
        <is>
          <t>B9E6jadTVWE7NonxaSvJEnZnT5RABZpv2iLGUoCepump</t>
        </is>
      </c>
      <c r="P156" s="17">
        <f>HYPERLINK("https://dexscreener.com/solana/B9E6jadTVWE7NonxaSvJEnZnT5RABZpv2iLGUoCepump", "View")</f>
        <v/>
      </c>
    </row>
    <row r="157">
      <c r="A157" s="20" t="inlineStr">
        <is>
          <t>pmarca</t>
        </is>
      </c>
      <c r="B157" s="21" t="n">
        <v>1746459</v>
      </c>
      <c r="C157" s="21" t="n">
        <v>0</v>
      </c>
      <c r="D157" s="21" t="inlineStr">
        <is>
          <t>0.000060</t>
        </is>
      </c>
      <c r="E157" s="21" t="inlineStr">
        <is>
          <t>2.000 SOL</t>
        </is>
      </c>
      <c r="F157" s="21" t="inlineStr">
        <is>
          <t>0.000 SOL</t>
        </is>
      </c>
      <c r="G157" s="18" t="inlineStr">
        <is>
          <t>-2.000 SOL</t>
        </is>
      </c>
      <c r="H157" s="18" t="inlineStr">
        <is>
          <t>0.00%</t>
        </is>
      </c>
      <c r="I157" s="21" t="inlineStr">
        <is>
          <t>1,746,459</t>
        </is>
      </c>
      <c r="J157" s="21" t="n">
        <v>1</v>
      </c>
      <c r="K157" s="21" t="n">
        <v>0</v>
      </c>
      <c r="L157" s="21" t="inlineStr">
        <is>
          <t>19.10.2024 04:47:35</t>
        </is>
      </c>
      <c r="M157" s="19" t="inlineStr">
        <is>
          <t>0 sec</t>
        </is>
      </c>
      <c r="N157" s="21" t="inlineStr">
        <is>
          <t xml:space="preserve">        202K           202K             6K</t>
        </is>
      </c>
      <c r="O157" s="21" t="inlineStr">
        <is>
          <t>GvKeVuawSzGiPkkZnQA34M2w5mkQNANJstxjaQvaGZ8a</t>
        </is>
      </c>
      <c r="P157" s="21">
        <f>HYPERLINK("https://dexscreener.com/solana/GvKeVuawSzGiPkkZnQA34M2w5mkQNANJstxjaQvaGZ8a", "View")</f>
        <v/>
      </c>
    </row>
    <row r="158">
      <c r="A158" s="16" t="inlineStr">
        <is>
          <t>Thebes</t>
        </is>
      </c>
      <c r="B158" s="17" t="n">
        <v>256177</v>
      </c>
      <c r="C158" s="17" t="n">
        <v>0</v>
      </c>
      <c r="D158" s="17" t="inlineStr">
        <is>
          <t>0.000060</t>
        </is>
      </c>
      <c r="E158" s="17" t="inlineStr">
        <is>
          <t>3.000 SOL</t>
        </is>
      </c>
      <c r="F158" s="17" t="inlineStr">
        <is>
          <t>0.000 SOL</t>
        </is>
      </c>
      <c r="G158" s="18" t="inlineStr">
        <is>
          <t>-3.000 SOL</t>
        </is>
      </c>
      <c r="H158" s="18" t="inlineStr">
        <is>
          <t>0.00%</t>
        </is>
      </c>
      <c r="I158" s="17" t="inlineStr">
        <is>
          <t>256,177</t>
        </is>
      </c>
      <c r="J158" s="17" t="n">
        <v>1</v>
      </c>
      <c r="K158" s="17" t="n">
        <v>0</v>
      </c>
      <c r="L158" s="17" t="inlineStr">
        <is>
          <t>19.10.2024 04:24:31</t>
        </is>
      </c>
      <c r="M158" s="19" t="inlineStr">
        <is>
          <t>0 sec</t>
        </is>
      </c>
      <c r="N158" s="17" t="inlineStr">
        <is>
          <t xml:space="preserve">          2M             2M            64K</t>
        </is>
      </c>
      <c r="O158" s="17" t="inlineStr">
        <is>
          <t>AgHg9Q1s9aUhU7YNMH7c5pvCghFVSFcnCEJ4ePKjrDZg</t>
        </is>
      </c>
      <c r="P158" s="17">
        <f>HYPERLINK("https://dexscreener.com/solana/AgHg9Q1s9aUhU7YNMH7c5pvCghFVSFcnCEJ4ePKjrDZg", "View")</f>
        <v/>
      </c>
    </row>
    <row r="159">
      <c r="A159" s="20" t="inlineStr">
        <is>
          <t>HERO</t>
        </is>
      </c>
      <c r="B159" s="21" t="n">
        <v>8654386</v>
      </c>
      <c r="C159" s="21" t="n">
        <v>0</v>
      </c>
      <c r="D159" s="21" t="inlineStr">
        <is>
          <t>0.000060</t>
        </is>
      </c>
      <c r="E159" s="21" t="inlineStr">
        <is>
          <t>1.000 SOL</t>
        </is>
      </c>
      <c r="F159" s="21" t="inlineStr">
        <is>
          <t>0.000 SOL</t>
        </is>
      </c>
      <c r="G159" s="18" t="inlineStr">
        <is>
          <t>-1.000 SOL</t>
        </is>
      </c>
      <c r="H159" s="18" t="inlineStr">
        <is>
          <t>0.00%</t>
        </is>
      </c>
      <c r="I159" s="21" t="inlineStr">
        <is>
          <t>8,654,386</t>
        </is>
      </c>
      <c r="J159" s="21" t="n">
        <v>1</v>
      </c>
      <c r="K159" s="21" t="n">
        <v>0</v>
      </c>
      <c r="L159" s="21" t="inlineStr">
        <is>
          <t>19.10.2024 02:41:49</t>
        </is>
      </c>
      <c r="M159" s="19" t="inlineStr">
        <is>
          <t>0 sec</t>
        </is>
      </c>
      <c r="N159" s="21" t="inlineStr">
        <is>
          <t xml:space="preserve">         21K            21K             4K</t>
        </is>
      </c>
      <c r="O159" s="21" t="inlineStr">
        <is>
          <t>2F9hMcShUSVaocwWmVJc7CemnXwajP3czFJv2Mhjpump</t>
        </is>
      </c>
      <c r="P159" s="21">
        <f>HYPERLINK("https://dexscreener.com/solana/2F9hMcShUSVaocwWmVJc7CemnXwajP3czFJv2Mhjpump", "View")</f>
        <v/>
      </c>
    </row>
    <row r="160">
      <c r="A160" s="16" t="inlineStr">
        <is>
          <t>Ruri</t>
        </is>
      </c>
      <c r="B160" s="17" t="n">
        <v>450967</v>
      </c>
      <c r="C160" s="17" t="n">
        <v>0</v>
      </c>
      <c r="D160" s="17" t="inlineStr">
        <is>
          <t>0.000060</t>
        </is>
      </c>
      <c r="E160" s="17" t="inlineStr">
        <is>
          <t>2.000 SOL</t>
        </is>
      </c>
      <c r="F160" s="17" t="inlineStr">
        <is>
          <t>0.000 SOL</t>
        </is>
      </c>
      <c r="G160" s="18" t="inlineStr">
        <is>
          <t>-2.000 SOL</t>
        </is>
      </c>
      <c r="H160" s="18" t="inlineStr">
        <is>
          <t>0.00%</t>
        </is>
      </c>
      <c r="I160" s="17" t="inlineStr">
        <is>
          <t>450,967</t>
        </is>
      </c>
      <c r="J160" s="17" t="n">
        <v>1</v>
      </c>
      <c r="K160" s="17" t="n">
        <v>0</v>
      </c>
      <c r="L160" s="17" t="inlineStr">
        <is>
          <t>18.10.2024 23:53:31</t>
        </is>
      </c>
      <c r="M160" s="19" t="inlineStr">
        <is>
          <t>0 sec</t>
        </is>
      </c>
      <c r="N160" s="17" t="inlineStr">
        <is>
          <t xml:space="preserve">        778K           778K            28K</t>
        </is>
      </c>
      <c r="O160" s="17" t="inlineStr">
        <is>
          <t>7q9koN6yzdiP3b5noPMN4V3LVVkh1msBAzHHiVCppump</t>
        </is>
      </c>
      <c r="P160" s="17">
        <f>HYPERLINK("https://dexscreener.com/solana/7q9koN6yzdiP3b5noPMN4V3LVVkh1msBAzHHiVCppump", "View")</f>
        <v/>
      </c>
    </row>
    <row r="161">
      <c r="A161" s="20" t="inlineStr">
        <is>
          <t>Fent</t>
        </is>
      </c>
      <c r="B161" s="21" t="n">
        <v>6176274</v>
      </c>
      <c r="C161" s="21" t="n">
        <v>0</v>
      </c>
      <c r="D161" s="21" t="inlineStr">
        <is>
          <t>0.000060</t>
        </is>
      </c>
      <c r="E161" s="21" t="inlineStr">
        <is>
          <t>2.000 SOL</t>
        </is>
      </c>
      <c r="F161" s="21" t="inlineStr">
        <is>
          <t>0.000 SOL</t>
        </is>
      </c>
      <c r="G161" s="18" t="inlineStr">
        <is>
          <t>-2.000 SOL</t>
        </is>
      </c>
      <c r="H161" s="18" t="inlineStr">
        <is>
          <t>0.00%</t>
        </is>
      </c>
      <c r="I161" s="21" t="inlineStr">
        <is>
          <t>6,176,274</t>
        </is>
      </c>
      <c r="J161" s="21" t="n">
        <v>1</v>
      </c>
      <c r="K161" s="21" t="n">
        <v>0</v>
      </c>
      <c r="L161" s="21" t="inlineStr">
        <is>
          <t>18.10.2024 22:24:50</t>
        </is>
      </c>
      <c r="M161" s="19" t="inlineStr">
        <is>
          <t>0 sec</t>
        </is>
      </c>
      <c r="N161" s="21" t="inlineStr">
        <is>
          <t xml:space="preserve">         56K            56K             4K</t>
        </is>
      </c>
      <c r="O161" s="21" t="inlineStr">
        <is>
          <t>AWV9HTCZqGh54JgdVmetSkXA2tMNXgBAKoxA2snkpump</t>
        </is>
      </c>
      <c r="P161" s="21">
        <f>HYPERLINK("https://dexscreener.com/solana/AWV9HTCZqGh54JgdVmetSkXA2tMNXgBAKoxA2snkpump", "View")</f>
        <v/>
      </c>
    </row>
    <row r="162">
      <c r="A162" s="16" t="inlineStr">
        <is>
          <t>MILK</t>
        </is>
      </c>
      <c r="B162" s="17" t="n">
        <v>11383908</v>
      </c>
      <c r="C162" s="17" t="n">
        <v>0</v>
      </c>
      <c r="D162" s="17" t="inlineStr">
        <is>
          <t>0.000060</t>
        </is>
      </c>
      <c r="E162" s="17" t="inlineStr">
        <is>
          <t>2.000 SOL</t>
        </is>
      </c>
      <c r="F162" s="17" t="inlineStr">
        <is>
          <t>0.000 SOL</t>
        </is>
      </c>
      <c r="G162" s="18" t="inlineStr">
        <is>
          <t>-2.000 SOL</t>
        </is>
      </c>
      <c r="H162" s="18" t="inlineStr">
        <is>
          <t>0.00%</t>
        </is>
      </c>
      <c r="I162" s="17" t="inlineStr">
        <is>
          <t>11,383,908</t>
        </is>
      </c>
      <c r="J162" s="17" t="n">
        <v>1</v>
      </c>
      <c r="K162" s="17" t="n">
        <v>0</v>
      </c>
      <c r="L162" s="17" t="inlineStr">
        <is>
          <t>18.10.2024 21:39:57</t>
        </is>
      </c>
      <c r="M162" s="19" t="inlineStr">
        <is>
          <t>0 sec</t>
        </is>
      </c>
      <c r="N162" s="17" t="inlineStr">
        <is>
          <t xml:space="preserve">         26K            26K            13K</t>
        </is>
      </c>
      <c r="O162" s="17" t="inlineStr">
        <is>
          <t>2ogmqDNJ7RvQp3jKUUz3ambtC8ypMHXxj72mV3m8pump</t>
        </is>
      </c>
      <c r="P162" s="17">
        <f>HYPERLINK("https://dexscreener.com/solana/2ogmqDNJ7RvQp3jKUUz3ambtC8ypMHXxj72mV3m8pump", "View")</f>
        <v/>
      </c>
    </row>
    <row r="163">
      <c r="A163" s="20" t="inlineStr">
        <is>
          <t>Orb</t>
        </is>
      </c>
      <c r="B163" s="21" t="n">
        <v>1620142</v>
      </c>
      <c r="C163" s="21" t="n">
        <v>0</v>
      </c>
      <c r="D163" s="21" t="inlineStr">
        <is>
          <t>0.000060</t>
        </is>
      </c>
      <c r="E163" s="21" t="inlineStr">
        <is>
          <t>1.000 SOL</t>
        </is>
      </c>
      <c r="F163" s="21" t="inlineStr">
        <is>
          <t>0.000 SOL</t>
        </is>
      </c>
      <c r="G163" s="18" t="inlineStr">
        <is>
          <t>-1.000 SOL</t>
        </is>
      </c>
      <c r="H163" s="18" t="inlineStr">
        <is>
          <t>0.00%</t>
        </is>
      </c>
      <c r="I163" s="21" t="inlineStr">
        <is>
          <t>1,620,142</t>
        </is>
      </c>
      <c r="J163" s="21" t="n">
        <v>1</v>
      </c>
      <c r="K163" s="21" t="n">
        <v>0</v>
      </c>
      <c r="L163" s="21" t="inlineStr">
        <is>
          <t>18.10.2024 21:29:57</t>
        </is>
      </c>
      <c r="M163" s="19" t="inlineStr">
        <is>
          <t>0 sec</t>
        </is>
      </c>
      <c r="N163" s="21" t="inlineStr">
        <is>
          <t xml:space="preserve">        109K           109K             6K</t>
        </is>
      </c>
      <c r="O163" s="21" t="inlineStr">
        <is>
          <t>FKFSSSk6mPQQCSt4S71m5temXzE8K2sLby7WKWsypump</t>
        </is>
      </c>
      <c r="P163" s="21">
        <f>HYPERLINK("https://dexscreener.com/solana/FKFSSSk6mPQQCSt4S71m5temXzE8K2sLby7WKWsypump", "View")</f>
        <v/>
      </c>
    </row>
    <row r="164">
      <c r="A164" s="16" t="inlineStr">
        <is>
          <t>Joi</t>
        </is>
      </c>
      <c r="B164" s="17" t="n">
        <v>5948494</v>
      </c>
      <c r="C164" s="17" t="n">
        <v>0</v>
      </c>
      <c r="D164" s="17" t="inlineStr">
        <is>
          <t>0.000060</t>
        </is>
      </c>
      <c r="E164" s="17" t="inlineStr">
        <is>
          <t>2.000 SOL</t>
        </is>
      </c>
      <c r="F164" s="17" t="inlineStr">
        <is>
          <t>0.000 SOL</t>
        </is>
      </c>
      <c r="G164" s="18" t="inlineStr">
        <is>
          <t>-2.000 SOL</t>
        </is>
      </c>
      <c r="H164" s="18" t="inlineStr">
        <is>
          <t>0.00%</t>
        </is>
      </c>
      <c r="I164" s="17" t="inlineStr">
        <is>
          <t>5,948,494</t>
        </is>
      </c>
      <c r="J164" s="17" t="n">
        <v>1</v>
      </c>
      <c r="K164" s="17" t="n">
        <v>0</v>
      </c>
      <c r="L164" s="17" t="inlineStr">
        <is>
          <t>18.10.2024 20:57:40</t>
        </is>
      </c>
      <c r="M164" s="19" t="inlineStr">
        <is>
          <t>0 sec</t>
        </is>
      </c>
      <c r="N164" s="17" t="inlineStr">
        <is>
          <t xml:space="preserve">         60K            60K             7K</t>
        </is>
      </c>
      <c r="O164" s="17" t="inlineStr">
        <is>
          <t>4Tx58YQDTePfuf26MQwxrE61ovAXZm2DkQNwoGjxpump</t>
        </is>
      </c>
      <c r="P164" s="17">
        <f>HYPERLINK("https://dexscreener.com/solana/4Tx58YQDTePfuf26MQwxrE61ovAXZm2DkQNwoGjxpump", "View")</f>
        <v/>
      </c>
    </row>
    <row r="165">
      <c r="A165" s="20" t="inlineStr">
        <is>
          <t>kundalini</t>
        </is>
      </c>
      <c r="B165" s="21" t="n">
        <v>24471991</v>
      </c>
      <c r="C165" s="21" t="n">
        <v>0</v>
      </c>
      <c r="D165" s="21" t="inlineStr">
        <is>
          <t>0.000060</t>
        </is>
      </c>
      <c r="E165" s="21" t="inlineStr">
        <is>
          <t>2.004 SOL</t>
        </is>
      </c>
      <c r="F165" s="21" t="inlineStr">
        <is>
          <t>0.000 SOL</t>
        </is>
      </c>
      <c r="G165" s="18" t="inlineStr">
        <is>
          <t>-2.004 SOL</t>
        </is>
      </c>
      <c r="H165" s="18" t="inlineStr">
        <is>
          <t>0.00%</t>
        </is>
      </c>
      <c r="I165" s="21" t="inlineStr">
        <is>
          <t>24,471,991</t>
        </is>
      </c>
      <c r="J165" s="21" t="n">
        <v>1</v>
      </c>
      <c r="K165" s="21" t="n">
        <v>0</v>
      </c>
      <c r="L165" s="21" t="inlineStr">
        <is>
          <t>18.10.2024 19:38:16</t>
        </is>
      </c>
      <c r="M165" s="19" t="inlineStr">
        <is>
          <t>0 sec</t>
        </is>
      </c>
      <c r="N165" s="21" t="inlineStr">
        <is>
          <t xml:space="preserve">         14K            14K             5K</t>
        </is>
      </c>
      <c r="O165" s="21" t="inlineStr">
        <is>
          <t>7trb6ShUrYxCfmZdBUwtzUthB7853jR5qFxjH6kLpump</t>
        </is>
      </c>
      <c r="P165" s="21">
        <f>HYPERLINK("https://photon-sol.tinyastro.io/en/lp/7trb6ShUrYxCfmZdBUwtzUthB7853jR5qFxjH6kLpump?handle=676050794bc1b1657a56b", "View")</f>
        <v/>
      </c>
    </row>
    <row r="166">
      <c r="A166" s="16" t="inlineStr">
        <is>
          <t>vvaifu</t>
        </is>
      </c>
      <c r="B166" s="17" t="n">
        <v>2454099</v>
      </c>
      <c r="C166" s="17" t="n">
        <v>0</v>
      </c>
      <c r="D166" s="17" t="inlineStr">
        <is>
          <t>0.000220</t>
        </is>
      </c>
      <c r="E166" s="17" t="inlineStr">
        <is>
          <t>17.000 SOL</t>
        </is>
      </c>
      <c r="F166" s="17" t="inlineStr">
        <is>
          <t>0.000 SOL</t>
        </is>
      </c>
      <c r="G166" s="18" t="inlineStr">
        <is>
          <t>-17.000 SOL</t>
        </is>
      </c>
      <c r="H166" s="18" t="inlineStr">
        <is>
          <t>0.00%</t>
        </is>
      </c>
      <c r="I166" s="17" t="inlineStr">
        <is>
          <t>2,454,099</t>
        </is>
      </c>
      <c r="J166" s="17" t="n">
        <v>4</v>
      </c>
      <c r="K166" s="17" t="n">
        <v>0</v>
      </c>
      <c r="L166" s="17" t="inlineStr">
        <is>
          <t>18.10.2024 19:36:43</t>
        </is>
      </c>
      <c r="M166" s="17" t="inlineStr">
        <is>
          <t>1 hours</t>
        </is>
      </c>
      <c r="N166" s="17" t="inlineStr">
        <is>
          <t xml:space="preserve">          2M           383K           417K</t>
        </is>
      </c>
      <c r="O166" s="17" t="inlineStr">
        <is>
          <t>FQ1tyso61AH1tzodyJfSwmzsD3GToybbRNoZxUBz21p8</t>
        </is>
      </c>
      <c r="P166" s="17">
        <f>HYPERLINK("https://dexscreener.com/solana/FQ1tyso61AH1tzodyJfSwmzsD3GToybbRNoZxUBz21p8", "View")</f>
        <v/>
      </c>
    </row>
    <row r="167">
      <c r="A167" s="20" t="inlineStr">
        <is>
          <t>bees</t>
        </is>
      </c>
      <c r="B167" s="21" t="n">
        <v>3096670</v>
      </c>
      <c r="C167" s="21" t="n">
        <v>0</v>
      </c>
      <c r="D167" s="21" t="inlineStr">
        <is>
          <t>0.000060</t>
        </is>
      </c>
      <c r="E167" s="21" t="inlineStr">
        <is>
          <t>2.000 SOL</t>
        </is>
      </c>
      <c r="F167" s="21" t="inlineStr">
        <is>
          <t>0.000 SOL</t>
        </is>
      </c>
      <c r="G167" s="18" t="inlineStr">
        <is>
          <t>-2.000 SOL</t>
        </is>
      </c>
      <c r="H167" s="18" t="inlineStr">
        <is>
          <t>0.00%</t>
        </is>
      </c>
      <c r="I167" s="21" t="inlineStr">
        <is>
          <t>3,096,670</t>
        </is>
      </c>
      <c r="J167" s="21" t="n">
        <v>1</v>
      </c>
      <c r="K167" s="21" t="n">
        <v>0</v>
      </c>
      <c r="L167" s="21" t="inlineStr">
        <is>
          <t>18.10.2024 19:21:22</t>
        </is>
      </c>
      <c r="M167" s="19" t="inlineStr">
        <is>
          <t>0 sec</t>
        </is>
      </c>
      <c r="N167" s="21" t="inlineStr">
        <is>
          <t xml:space="preserve">        114K           114K            11K</t>
        </is>
      </c>
      <c r="O167" s="21" t="inlineStr">
        <is>
          <t>DCrPFBDZBVdVaiu98Jr9woaPRT5BUqZwSNr9Chdgpump</t>
        </is>
      </c>
      <c r="P167" s="21">
        <f>HYPERLINK("https://dexscreener.com/solana/DCrPFBDZBVdVaiu98Jr9woaPRT5BUqZwSNr9Chdgpump", "View")</f>
        <v/>
      </c>
    </row>
    <row r="168">
      <c r="A168" s="16" t="inlineStr">
        <is>
          <t>FARTNANNY</t>
        </is>
      </c>
      <c r="B168" s="17" t="n">
        <v>14262319</v>
      </c>
      <c r="C168" s="17" t="n">
        <v>0</v>
      </c>
      <c r="D168" s="17" t="inlineStr">
        <is>
          <t>0.000060</t>
        </is>
      </c>
      <c r="E168" s="17" t="inlineStr">
        <is>
          <t>2.066 SOL</t>
        </is>
      </c>
      <c r="F168" s="17" t="inlineStr">
        <is>
          <t>0.000 SOL</t>
        </is>
      </c>
      <c r="G168" s="18" t="inlineStr">
        <is>
          <t>-2.066 SOL</t>
        </is>
      </c>
      <c r="H168" s="18" t="inlineStr">
        <is>
          <t>0.00%</t>
        </is>
      </c>
      <c r="I168" s="17" t="inlineStr">
        <is>
          <t>14,262,319</t>
        </is>
      </c>
      <c r="J168" s="17" t="n">
        <v>1</v>
      </c>
      <c r="K168" s="17" t="n">
        <v>0</v>
      </c>
      <c r="L168" s="17" t="inlineStr">
        <is>
          <t>18.10.2024 19:13:50</t>
        </is>
      </c>
      <c r="M168" s="19" t="inlineStr">
        <is>
          <t>0 sec</t>
        </is>
      </c>
      <c r="N168" s="17" t="inlineStr">
        <is>
          <t xml:space="preserve">         25K            25K             4K</t>
        </is>
      </c>
      <c r="O168" s="17" t="inlineStr">
        <is>
          <t>6oL9WTnJ4p7XUruL5UCXyvFGeHZr2JwygdruEdW9pump</t>
        </is>
      </c>
      <c r="P168" s="17">
        <f>HYPERLINK("https://photon-sol.tinyastro.io/en/lp/6oL9WTnJ4p7XUruL5UCXyvFGeHZr2JwygdruEdW9pump?handle=676050794bc1b1657a56b", "View")</f>
        <v/>
      </c>
    </row>
    <row r="169">
      <c r="A169" s="20" t="inlineStr">
        <is>
          <t>COW</t>
        </is>
      </c>
      <c r="B169" s="21" t="n">
        <v>10958888</v>
      </c>
      <c r="C169" s="21" t="n">
        <v>0</v>
      </c>
      <c r="D169" s="21" t="inlineStr">
        <is>
          <t>0.000060</t>
        </is>
      </c>
      <c r="E169" s="21" t="inlineStr">
        <is>
          <t>3.000 SOL</t>
        </is>
      </c>
      <c r="F169" s="21" t="inlineStr">
        <is>
          <t>0.000 SOL</t>
        </is>
      </c>
      <c r="G169" s="18" t="inlineStr">
        <is>
          <t>-3.000 SOL</t>
        </is>
      </c>
      <c r="H169" s="18" t="inlineStr">
        <is>
          <t>0.00%</t>
        </is>
      </c>
      <c r="I169" s="21" t="inlineStr">
        <is>
          <t>10,958,888</t>
        </is>
      </c>
      <c r="J169" s="21" t="n">
        <v>1</v>
      </c>
      <c r="K169" s="21" t="n">
        <v>0</v>
      </c>
      <c r="L169" s="21" t="inlineStr">
        <is>
          <t>18.10.2024 18:02:35</t>
        </is>
      </c>
      <c r="M169" s="19" t="inlineStr">
        <is>
          <t>0 sec</t>
        </is>
      </c>
      <c r="N169" s="21" t="inlineStr">
        <is>
          <t xml:space="preserve">         36K            36K             6K</t>
        </is>
      </c>
      <c r="O169" s="21" t="inlineStr">
        <is>
          <t>8pGX4L6vqTEBR58xdqaMswkVVPXbGLAoZ7Y68J1ZdsqC</t>
        </is>
      </c>
      <c r="P169" s="21">
        <f>HYPERLINK("https://dexscreener.com/solana/8pGX4L6vqTEBR58xdqaMswkVVPXbGLAoZ7Y68J1ZdsqC", "View")</f>
        <v/>
      </c>
    </row>
    <row r="170">
      <c r="A170" s="16" t="inlineStr">
        <is>
          <t>Mai</t>
        </is>
      </c>
      <c r="B170" s="17" t="n">
        <v>16371695</v>
      </c>
      <c r="C170" s="17" t="n">
        <v>0</v>
      </c>
      <c r="D170" s="17" t="inlineStr">
        <is>
          <t>0.000110</t>
        </is>
      </c>
      <c r="E170" s="17" t="inlineStr">
        <is>
          <t>4.053 SOL</t>
        </is>
      </c>
      <c r="F170" s="17" t="inlineStr">
        <is>
          <t>0.000 SOL</t>
        </is>
      </c>
      <c r="G170" s="18" t="inlineStr">
        <is>
          <t>-4.053 SOL</t>
        </is>
      </c>
      <c r="H170" s="18" t="inlineStr">
        <is>
          <t>0.00%</t>
        </is>
      </c>
      <c r="I170" s="17" t="inlineStr">
        <is>
          <t>16,371,695</t>
        </is>
      </c>
      <c r="J170" s="17" t="n">
        <v>2</v>
      </c>
      <c r="K170" s="17" t="n">
        <v>0</v>
      </c>
      <c r="L170" s="17" t="inlineStr">
        <is>
          <t>18.10.2024 17:55:39</t>
        </is>
      </c>
      <c r="M170" s="19" t="inlineStr">
        <is>
          <t>34 sec</t>
        </is>
      </c>
      <c r="N170" s="17" t="inlineStr">
        <is>
          <t xml:space="preserve">         44K            44K             5K</t>
        </is>
      </c>
      <c r="O170" s="17" t="inlineStr">
        <is>
          <t>9Y7PxRMohMzzQ1Vg4UJMGdXsRDHLSrt7oyBJtwF3jVci</t>
        </is>
      </c>
      <c r="P170" s="17">
        <f>HYPERLINK("https://photon-sol.tinyastro.io/en/lp/9Y7PxRMohMzzQ1Vg4UJMGdXsRDHLSrt7oyBJtwF3jVci?handle=676050794bc1b1657a56b", "View")</f>
        <v/>
      </c>
    </row>
    <row r="171">
      <c r="A171" s="20" t="inlineStr">
        <is>
          <t>BVD</t>
        </is>
      </c>
      <c r="B171" s="21" t="n">
        <v>22983725</v>
      </c>
      <c r="C171" s="21" t="n">
        <v>0</v>
      </c>
      <c r="D171" s="21" t="inlineStr">
        <is>
          <t>0.000060</t>
        </is>
      </c>
      <c r="E171" s="21" t="inlineStr">
        <is>
          <t>1.022 SOL</t>
        </is>
      </c>
      <c r="F171" s="21" t="inlineStr">
        <is>
          <t>0.000 SOL</t>
        </is>
      </c>
      <c r="G171" s="18" t="inlineStr">
        <is>
          <t>-1.022 SOL</t>
        </is>
      </c>
      <c r="H171" s="18" t="inlineStr">
        <is>
          <t>0.00%</t>
        </is>
      </c>
      <c r="I171" s="21" t="inlineStr">
        <is>
          <t>22,983,725</t>
        </is>
      </c>
      <c r="J171" s="21" t="n">
        <v>1</v>
      </c>
      <c r="K171" s="21" t="n">
        <v>0</v>
      </c>
      <c r="L171" s="21" t="inlineStr">
        <is>
          <t>18.10.2024 03:34:52</t>
        </is>
      </c>
      <c r="M171" s="19" t="inlineStr">
        <is>
          <t>0 sec</t>
        </is>
      </c>
      <c r="N171" s="21" t="inlineStr">
        <is>
          <t xml:space="preserve">          7K             7K             9K</t>
        </is>
      </c>
      <c r="O171" s="21" t="inlineStr">
        <is>
          <t>Atyo6gYvHVTkePZsXXn7248hkHUteu1swtr2VDzspump</t>
        </is>
      </c>
      <c r="P171" s="21">
        <f>HYPERLINK("https://photon-sol.tinyastro.io/en/lp/Atyo6gYvHVTkePZsXXn7248hkHUteu1swtr2VDzspump?handle=676050794bc1b1657a56b", "View")</f>
        <v/>
      </c>
    </row>
    <row r="172">
      <c r="A172" s="16" t="inlineStr">
        <is>
          <t>gem</t>
        </is>
      </c>
      <c r="B172" s="17" t="n">
        <v>8918806</v>
      </c>
      <c r="C172" s="17" t="n">
        <v>0</v>
      </c>
      <c r="D172" s="17" t="inlineStr">
        <is>
          <t>0.000110</t>
        </is>
      </c>
      <c r="E172" s="17" t="inlineStr">
        <is>
          <t>6.000 SOL</t>
        </is>
      </c>
      <c r="F172" s="17" t="inlineStr">
        <is>
          <t>0.000 SOL</t>
        </is>
      </c>
      <c r="G172" s="18" t="inlineStr">
        <is>
          <t>-6.000 SOL</t>
        </is>
      </c>
      <c r="H172" s="18" t="inlineStr">
        <is>
          <t>0.00%</t>
        </is>
      </c>
      <c r="I172" s="17" t="inlineStr">
        <is>
          <t>8,918,806</t>
        </is>
      </c>
      <c r="J172" s="17" t="n">
        <v>2</v>
      </c>
      <c r="K172" s="17" t="n">
        <v>0</v>
      </c>
      <c r="L172" s="17" t="inlineStr">
        <is>
          <t>17.10.2024 21:28:03</t>
        </is>
      </c>
      <c r="M172" s="17" t="inlineStr">
        <is>
          <t>2 min</t>
        </is>
      </c>
      <c r="N172" s="17" t="inlineStr">
        <is>
          <t xml:space="preserve">         79K           235K             7K</t>
        </is>
      </c>
      <c r="O172" s="17" t="inlineStr">
        <is>
          <t>4BJ1aXPzYhiV3TDPdyfg63cgrVuLbRh2DvejCzS7pump</t>
        </is>
      </c>
      <c r="P172" s="17">
        <f>HYPERLINK("https://dexscreener.com/solana/4BJ1aXPzYhiV3TDPdyfg63cgrVuLbRh2DvejCzS7pump", "View")</f>
        <v/>
      </c>
    </row>
    <row r="173">
      <c r="A173" s="20" t="inlineStr">
        <is>
          <t>SCREEN</t>
        </is>
      </c>
      <c r="B173" s="21" t="n">
        <v>16468494</v>
      </c>
      <c r="C173" s="21" t="n">
        <v>0</v>
      </c>
      <c r="D173" s="21" t="inlineStr">
        <is>
          <t>0.000110</t>
        </is>
      </c>
      <c r="E173" s="21" t="inlineStr">
        <is>
          <t>5.000 SOL</t>
        </is>
      </c>
      <c r="F173" s="21" t="inlineStr">
        <is>
          <t>0.000 SOL</t>
        </is>
      </c>
      <c r="G173" s="18" t="inlineStr">
        <is>
          <t>-5.000 SOL</t>
        </is>
      </c>
      <c r="H173" s="18" t="inlineStr">
        <is>
          <t>0.00%</t>
        </is>
      </c>
      <c r="I173" s="21" t="inlineStr">
        <is>
          <t>16,468,494</t>
        </is>
      </c>
      <c r="J173" s="21" t="n">
        <v>2</v>
      </c>
      <c r="K173" s="21" t="n">
        <v>0</v>
      </c>
      <c r="L173" s="21" t="inlineStr">
        <is>
          <t>17.10.2024 20:57:03</t>
        </is>
      </c>
      <c r="M173" s="19" t="inlineStr">
        <is>
          <t>29 sec</t>
        </is>
      </c>
      <c r="N173" s="21" t="inlineStr">
        <is>
          <t xml:space="preserve">         51K            56K             3K</t>
        </is>
      </c>
      <c r="O173" s="21" t="inlineStr">
        <is>
          <t>9AJE1ZTeLCgSKiHoUpNV1QDk5pfYxosZmsQLFQX9pump</t>
        </is>
      </c>
      <c r="P173" s="21">
        <f>HYPERLINK("https://dexscreener.com/solana/9AJE1ZTeLCgSKiHoUpNV1QDk5pfYxosZmsQLFQX9pump", "View")</f>
        <v/>
      </c>
    </row>
    <row r="174">
      <c r="A174" s="16" t="inlineStr">
        <is>
          <t>ICK</t>
        </is>
      </c>
      <c r="B174" s="17" t="n">
        <v>6913794</v>
      </c>
      <c r="C174" s="17" t="n">
        <v>0</v>
      </c>
      <c r="D174" s="17" t="inlineStr">
        <is>
          <t>0.000060</t>
        </is>
      </c>
      <c r="E174" s="17" t="inlineStr">
        <is>
          <t>2.000 SOL</t>
        </is>
      </c>
      <c r="F174" s="17" t="inlineStr">
        <is>
          <t>0.000 SOL</t>
        </is>
      </c>
      <c r="G174" s="18" t="inlineStr">
        <is>
          <t>-2.000 SOL</t>
        </is>
      </c>
      <c r="H174" s="18" t="inlineStr">
        <is>
          <t>0.00%</t>
        </is>
      </c>
      <c r="I174" s="17" t="inlineStr">
        <is>
          <t>6,913,794</t>
        </is>
      </c>
      <c r="J174" s="17" t="n">
        <v>1</v>
      </c>
      <c r="K174" s="17" t="n">
        <v>0</v>
      </c>
      <c r="L174" s="17" t="inlineStr">
        <is>
          <t>16.10.2024 22:55:06</t>
        </is>
      </c>
      <c r="M174" s="19" t="inlineStr">
        <is>
          <t>0 sec</t>
        </is>
      </c>
      <c r="N174" s="17" t="inlineStr">
        <is>
          <t xml:space="preserve">         51K            51K             7K</t>
        </is>
      </c>
      <c r="O174" s="17" t="inlineStr">
        <is>
          <t>AqYqcTgKqPVaMMjK9niKR4C5gLgU3RuNs5FHDQahpump</t>
        </is>
      </c>
      <c r="P174" s="17">
        <f>HYPERLINK("https://dexscreener.com/solana/AqYqcTgKqPVaMMjK9niKR4C5gLgU3RuNs5FHDQahpump", "View")</f>
        <v/>
      </c>
    </row>
    <row r="175">
      <c r="A175" s="20" t="inlineStr">
        <is>
          <t>CDS</t>
        </is>
      </c>
      <c r="B175" s="21" t="n">
        <v>17678598</v>
      </c>
      <c r="C175" s="21" t="n">
        <v>0</v>
      </c>
      <c r="D175" s="21" t="inlineStr">
        <is>
          <t>0.000160</t>
        </is>
      </c>
      <c r="E175" s="21" t="inlineStr">
        <is>
          <t>12.000 SOL</t>
        </is>
      </c>
      <c r="F175" s="21" t="inlineStr">
        <is>
          <t>0.000 SOL</t>
        </is>
      </c>
      <c r="G175" s="18" t="inlineStr">
        <is>
          <t>-12.000 SOL</t>
        </is>
      </c>
      <c r="H175" s="18" t="inlineStr">
        <is>
          <t>0.00%</t>
        </is>
      </c>
      <c r="I175" s="21" t="inlineStr">
        <is>
          <t>17,678,598</t>
        </is>
      </c>
      <c r="J175" s="21" t="n">
        <v>3</v>
      </c>
      <c r="K175" s="21" t="n">
        <v>0</v>
      </c>
      <c r="L175" s="21" t="inlineStr">
        <is>
          <t>16.10.2024 20:17:07</t>
        </is>
      </c>
      <c r="M175" s="21" t="inlineStr">
        <is>
          <t>4 min</t>
        </is>
      </c>
      <c r="N175" s="21" t="inlineStr">
        <is>
          <t xml:space="preserve">        207K            93K             6K</t>
        </is>
      </c>
      <c r="O175" s="21" t="inlineStr">
        <is>
          <t>HNZwnNQqoTvnS452UF8BPmRHetu3xvySuQCAEP7npump</t>
        </is>
      </c>
      <c r="P175" s="21">
        <f>HYPERLINK("https://dexscreener.com/solana/HNZwnNQqoTvnS452UF8BPmRHetu3xvySuQCAEP7npump", "View")</f>
        <v/>
      </c>
    </row>
    <row r="176">
      <c r="A176" s="16" t="inlineStr">
        <is>
          <t>LOTTO</t>
        </is>
      </c>
      <c r="B176" s="17" t="n">
        <v>34670156</v>
      </c>
      <c r="C176" s="17" t="n">
        <v>0</v>
      </c>
      <c r="D176" s="17" t="inlineStr">
        <is>
          <t>0.000060</t>
        </is>
      </c>
      <c r="E176" s="17" t="inlineStr">
        <is>
          <t>1.845 SOL</t>
        </is>
      </c>
      <c r="F176" s="17" t="inlineStr">
        <is>
          <t>0.000 SOL</t>
        </is>
      </c>
      <c r="G176" s="18" t="inlineStr">
        <is>
          <t>-1.845 SOL</t>
        </is>
      </c>
      <c r="H176" s="18" t="inlineStr">
        <is>
          <t>0.00%</t>
        </is>
      </c>
      <c r="I176" s="17" t="inlineStr">
        <is>
          <t>34,670,156</t>
        </is>
      </c>
      <c r="J176" s="17" t="n">
        <v>1</v>
      </c>
      <c r="K176" s="17" t="n">
        <v>0</v>
      </c>
      <c r="L176" s="17" t="inlineStr">
        <is>
          <t>16.10.2024 18:40:33</t>
        </is>
      </c>
      <c r="M176" s="19" t="inlineStr">
        <is>
          <t>0 sec</t>
        </is>
      </c>
      <c r="N176" s="17" t="inlineStr">
        <is>
          <t xml:space="preserve">        N/A           N/A           N/A</t>
        </is>
      </c>
      <c r="O176" s="17" t="inlineStr">
        <is>
          <t>CwRp7vowzLqhmKEaSAhRfqatjeHRYv5pQBT3b3BQeuvj</t>
        </is>
      </c>
      <c r="P176" s="17">
        <f>HYPERLINK("https://photon-sol.tinyastro.io/en/lp/CwRp7vowzLqhmKEaSAhRfqatjeHRYv5pQBT3b3BQeuvj?handle=676050794bc1b1657a56b", "View")</f>
        <v/>
      </c>
    </row>
    <row r="177">
      <c r="A177" s="20" t="inlineStr">
        <is>
          <t>Bakso</t>
        </is>
      </c>
      <c r="B177" s="21" t="n">
        <v>841197</v>
      </c>
      <c r="C177" s="21" t="n">
        <v>0</v>
      </c>
      <c r="D177" s="21" t="inlineStr">
        <is>
          <t>0.000060</t>
        </is>
      </c>
      <c r="E177" s="21" t="inlineStr">
        <is>
          <t>2.000 SOL</t>
        </is>
      </c>
      <c r="F177" s="21" t="inlineStr">
        <is>
          <t>0.000 SOL</t>
        </is>
      </c>
      <c r="G177" s="18" t="inlineStr">
        <is>
          <t>-2.000 SOL</t>
        </is>
      </c>
      <c r="H177" s="18" t="inlineStr">
        <is>
          <t>0.00%</t>
        </is>
      </c>
      <c r="I177" s="21" t="inlineStr">
        <is>
          <t>841,197</t>
        </is>
      </c>
      <c r="J177" s="21" t="n">
        <v>1</v>
      </c>
      <c r="K177" s="21" t="n">
        <v>0</v>
      </c>
      <c r="L177" s="21" t="inlineStr">
        <is>
          <t>16.10.2024 15:53:36</t>
        </is>
      </c>
      <c r="M177" s="19" t="inlineStr">
        <is>
          <t>0 sec</t>
        </is>
      </c>
      <c r="N177" s="21" t="inlineStr">
        <is>
          <t xml:space="preserve">        418K           418K           652K</t>
        </is>
      </c>
      <c r="O177" s="21" t="inlineStr">
        <is>
          <t>FqnqT1GKi8S4Gyk5wnSKvJjXW48HqGtKJt9WS4o2pump</t>
        </is>
      </c>
      <c r="P177" s="21">
        <f>HYPERLINK("https://dexscreener.com/solana/FqnqT1GKi8S4Gyk5wnSKvJjXW48HqGtKJt9WS4o2pump", "View")</f>
        <v/>
      </c>
    </row>
    <row r="178">
      <c r="A178" s="16" t="inlineStr">
        <is>
          <t>BAMBE</t>
        </is>
      </c>
      <c r="B178" s="17" t="n">
        <v>16669268</v>
      </c>
      <c r="C178" s="17" t="n">
        <v>0</v>
      </c>
      <c r="D178" s="17" t="inlineStr">
        <is>
          <t>0.000110</t>
        </is>
      </c>
      <c r="E178" s="17" t="inlineStr">
        <is>
          <t>2.500 SOL</t>
        </is>
      </c>
      <c r="F178" s="17" t="inlineStr">
        <is>
          <t>0.000 SOL</t>
        </is>
      </c>
      <c r="G178" s="18" t="inlineStr">
        <is>
          <t>-2.500 SOL</t>
        </is>
      </c>
      <c r="H178" s="18" t="inlineStr">
        <is>
          <t>0.00%</t>
        </is>
      </c>
      <c r="I178" s="17" t="inlineStr">
        <is>
          <t>16,669,268</t>
        </is>
      </c>
      <c r="J178" s="17" t="n">
        <v>2</v>
      </c>
      <c r="K178" s="17" t="n">
        <v>0</v>
      </c>
      <c r="L178" s="17" t="inlineStr">
        <is>
          <t>16.10.2024 15:41:12</t>
        </is>
      </c>
      <c r="M178" s="17" t="inlineStr">
        <is>
          <t>43 min</t>
        </is>
      </c>
      <c r="N178" s="17" t="inlineStr">
        <is>
          <t xml:space="preserve">         26K            28K            13K</t>
        </is>
      </c>
      <c r="O178" s="17" t="inlineStr">
        <is>
          <t>5Ys8twKWfC9aFodKRHnHLCQhzzu9DEN5ZUzdrFekFgcK</t>
        </is>
      </c>
      <c r="P178" s="17">
        <f>HYPERLINK("https://dexscreener.com/solana/5Ys8twKWfC9aFodKRHnHLCQhzzu9DEN5ZUzdrFekFgcK", "View")</f>
        <v/>
      </c>
    </row>
    <row r="179">
      <c r="A179" s="20" t="inlineStr">
        <is>
          <t>EXODIA</t>
        </is>
      </c>
      <c r="B179" s="21" t="n">
        <v>732678770</v>
      </c>
      <c r="C179" s="21" t="n">
        <v>0</v>
      </c>
      <c r="D179" s="21" t="inlineStr">
        <is>
          <t>0.000060</t>
        </is>
      </c>
      <c r="E179" s="21" t="inlineStr">
        <is>
          <t>2.000 SOL</t>
        </is>
      </c>
      <c r="F179" s="21" t="inlineStr">
        <is>
          <t>0.000 SOL</t>
        </is>
      </c>
      <c r="G179" s="18" t="inlineStr">
        <is>
          <t>-2.000 SOL</t>
        </is>
      </c>
      <c r="H179" s="18" t="inlineStr">
        <is>
          <t>0.00%</t>
        </is>
      </c>
      <c r="I179" s="21" t="inlineStr">
        <is>
          <t>732,678,770</t>
        </is>
      </c>
      <c r="J179" s="21" t="n">
        <v>1</v>
      </c>
      <c r="K179" s="21" t="n">
        <v>0</v>
      </c>
      <c r="L179" s="21" t="inlineStr">
        <is>
          <t>16.10.2024 15:19:14</t>
        </is>
      </c>
      <c r="M179" s="19" t="inlineStr">
        <is>
          <t>0 sec</t>
        </is>
      </c>
      <c r="N179" s="21" t="inlineStr">
        <is>
          <t xml:space="preserve">        N/A           N/A           126K</t>
        </is>
      </c>
      <c r="O179" s="21" t="inlineStr">
        <is>
          <t>3cy8N3asQY3WKBWaeBY3MzBQzbD4Mpy1nyGYoYKdNioA</t>
        </is>
      </c>
      <c r="P179" s="21">
        <f>HYPERLINK("https://dexscreener.com/solana/3cy8N3asQY3WKBWaeBY3MzBQzbD4Mpy1nyGYoYKdNioA", "View")</f>
        <v/>
      </c>
    </row>
    <row r="180">
      <c r="A180" s="16" t="inlineStr">
        <is>
          <t>DONKEH</t>
        </is>
      </c>
      <c r="B180" s="17" t="n">
        <v>13890411</v>
      </c>
      <c r="C180" s="17" t="n">
        <v>0</v>
      </c>
      <c r="D180" s="17" t="inlineStr">
        <is>
          <t>0.000060</t>
        </is>
      </c>
      <c r="E180" s="17" t="inlineStr">
        <is>
          <t>5.000 SOL</t>
        </is>
      </c>
      <c r="F180" s="17" t="inlineStr">
        <is>
          <t>0.000 SOL</t>
        </is>
      </c>
      <c r="G180" s="18" t="inlineStr">
        <is>
          <t>-5.000 SOL</t>
        </is>
      </c>
      <c r="H180" s="18" t="inlineStr">
        <is>
          <t>0.00%</t>
        </is>
      </c>
      <c r="I180" s="17" t="inlineStr">
        <is>
          <t>13,890,411</t>
        </is>
      </c>
      <c r="J180" s="17" t="n">
        <v>1</v>
      </c>
      <c r="K180" s="17" t="n">
        <v>0</v>
      </c>
      <c r="L180" s="17" t="inlineStr">
        <is>
          <t>16.10.2024 15:13:50</t>
        </is>
      </c>
      <c r="M180" s="19" t="inlineStr">
        <is>
          <t>0 sec</t>
        </is>
      </c>
      <c r="N180" s="17" t="inlineStr">
        <is>
          <t xml:space="preserve">         63K            63K            41K</t>
        </is>
      </c>
      <c r="O180" s="17" t="inlineStr">
        <is>
          <t>7HRFfxJdgQJTYghgve416fqDRVXUEJ72pbuF9bPBPXbA</t>
        </is>
      </c>
      <c r="P180" s="17">
        <f>HYPERLINK("https://dexscreener.com/solana/7HRFfxJdgQJTYghgve416fqDRVXUEJ72pbuF9bPBPXbA", "View")</f>
        <v/>
      </c>
    </row>
    <row r="181">
      <c r="A181" s="20" t="inlineStr">
        <is>
          <t>OI</t>
        </is>
      </c>
      <c r="B181" s="21" t="n">
        <v>10034776</v>
      </c>
      <c r="C181" s="21" t="n">
        <v>0</v>
      </c>
      <c r="D181" s="21" t="inlineStr">
        <is>
          <t>0.000060</t>
        </is>
      </c>
      <c r="E181" s="21" t="inlineStr">
        <is>
          <t>1.000 SOL</t>
        </is>
      </c>
      <c r="F181" s="21" t="inlineStr">
        <is>
          <t>0.000 SOL</t>
        </is>
      </c>
      <c r="G181" s="18" t="inlineStr">
        <is>
          <t>-1.000 SOL</t>
        </is>
      </c>
      <c r="H181" s="18" t="inlineStr">
        <is>
          <t>0.00%</t>
        </is>
      </c>
      <c r="I181" s="21" t="inlineStr">
        <is>
          <t>10,034,776</t>
        </is>
      </c>
      <c r="J181" s="21" t="n">
        <v>1</v>
      </c>
      <c r="K181" s="21" t="n">
        <v>0</v>
      </c>
      <c r="L181" s="21" t="inlineStr">
        <is>
          <t>16.10.2024 15:03:41</t>
        </is>
      </c>
      <c r="M181" s="19" t="inlineStr">
        <is>
          <t>0 sec</t>
        </is>
      </c>
      <c r="N181" s="21" t="inlineStr">
        <is>
          <t xml:space="preserve">         18K            18K             5K</t>
        </is>
      </c>
      <c r="O181" s="21" t="inlineStr">
        <is>
          <t>9jXM5YVmVu6D8DVNo7J2cLFWK1MCCWdS3GpGb2HSpump</t>
        </is>
      </c>
      <c r="P181" s="21">
        <f>HYPERLINK("https://dexscreener.com/solana/9jXM5YVmVu6D8DVNo7J2cLFWK1MCCWdS3GpGb2HSpump", "View")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HYPERLINK("https://gmgn.ai/sol/address/4ANWddp8hUV2MUD8uDdRaMPLXg68kayLpLGDbinit7QF", "GMGN")</f>
        <v/>
      </c>
    </row>
    <row r="2">
      <c r="A2" s="3" t="inlineStr">
        <is>
          <t>4ANWddp8hUV2MUD8uDdRaMPLXg68kayLpLGDbinit7QF</t>
        </is>
      </c>
      <c r="B2" s="3" t="inlineStr">
        <is>
          <t>1.01 SOL</t>
        </is>
      </c>
      <c r="C2" s="3" t="inlineStr">
        <is>
          <t>50%</t>
        </is>
      </c>
      <c r="D2" s="3" t="inlineStr">
        <is>
          <t>63%</t>
        </is>
      </c>
      <c r="E2" s="3" t="inlineStr">
        <is>
          <t>0.98 SOL</t>
        </is>
      </c>
      <c r="F2" s="3" t="inlineStr">
        <is>
          <t>0 (0%)</t>
        </is>
      </c>
      <c r="G2" s="3" t="inlineStr">
        <is>
          <t>0 (0%)</t>
        </is>
      </c>
      <c r="H2" s="3" t="n">
        <v>20</v>
      </c>
      <c r="I2" s="3" t="n">
        <v>1</v>
      </c>
      <c r="J2" s="3" t="inlineStr">
        <is>
          <t>18 days</t>
        </is>
      </c>
      <c r="K2" s="3" t="inlineStr">
        <is>
          <t>1 days</t>
        </is>
      </c>
      <c r="L2" s="3" t="n">
        <v>3</v>
      </c>
      <c r="M2" s="3" t="n">
        <v>15</v>
      </c>
      <c r="N2" s="3">
        <f>HYPERLINK("https://solscan.io/account/4ANWddp8hUV2MUD8uDdRaMPLXg68kayLpLGDbinit7QF", "Solscan")</f>
        <v/>
      </c>
    </row>
    <row r="3">
      <c r="A3" s="7" t="inlineStr">
        <is>
          <t>Median ROI</t>
        </is>
      </c>
      <c r="B3" s="4" t="inlineStr">
        <is>
          <t>4.42%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HYPERLINK("https://birdeye.so/profile/4ANWddp8hUV2MUD8uDdRaMPLXg68kayLpLGDbinit7QF", "Birdeye")</f>
        <v/>
      </c>
    </row>
    <row r="4">
      <c r="A4" s="7" t="inlineStr">
        <is>
          <t>Rockets percent</t>
        </is>
      </c>
      <c r="B4" s="3" t="inlineStr">
        <is>
          <t>15%</t>
        </is>
      </c>
      <c r="C4" s="3" t="inlineStr"/>
      <c r="D4" s="3" t="inlineStr">
        <is>
          <t>6%</t>
        </is>
      </c>
      <c r="E4" s="3" t="inlineStr">
        <is>
          <t>0.09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21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2</v>
      </c>
      <c r="D10" s="7" t="n">
        <v>1</v>
      </c>
      <c r="E10" s="7" t="n">
        <v>6</v>
      </c>
      <c r="F10" s="7" t="n">
        <v>3</v>
      </c>
      <c r="G10" s="7" t="n">
        <v>7</v>
      </c>
      <c r="H10" s="3" t="n"/>
      <c r="I10" s="3" t="inlineStr">
        <is>
          <t>&lt;5k</t>
        </is>
      </c>
      <c r="J10" s="3" t="inlineStr">
        <is>
          <t>3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5.0%</t>
        </is>
      </c>
      <c r="C11" s="7" t="inlineStr">
        <is>
          <t>10.0%</t>
        </is>
      </c>
      <c r="D11" s="7" t="inlineStr">
        <is>
          <t>5.0%</t>
        </is>
      </c>
      <c r="E11" s="7" t="inlineStr">
        <is>
          <t>30.0%</t>
        </is>
      </c>
      <c r="F11" s="7" t="inlineStr">
        <is>
          <t>15.0%</t>
        </is>
      </c>
      <c r="G11" s="7" t="inlineStr">
        <is>
          <t>35.0%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0.7 SOL</t>
        </is>
      </c>
      <c r="C12" s="7" t="inlineStr">
        <is>
          <t>0.3 SOL</t>
        </is>
      </c>
      <c r="D12" s="7" t="inlineStr">
        <is>
          <t>0.1 SOL</t>
        </is>
      </c>
      <c r="E12" s="7" t="inlineStr">
        <is>
          <t>0.2 SOL</t>
        </is>
      </c>
      <c r="F12" s="7" t="inlineStr">
        <is>
          <t>-0.1 SOL</t>
        </is>
      </c>
      <c r="G12" s="7" t="inlineStr">
        <is>
          <t>-0.2 SOL</t>
        </is>
      </c>
      <c r="H12" s="3" t="n"/>
      <c r="I12" s="3" t="inlineStr">
        <is>
          <t>30k-100k</t>
        </is>
      </c>
      <c r="J12" s="3" t="inlineStr">
        <is>
          <t>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18.5K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dorime</t>
        </is>
      </c>
      <c r="B20" s="17" t="n">
        <v>1809083</v>
      </c>
      <c r="C20" s="17" t="n">
        <v>1796901</v>
      </c>
      <c r="D20" s="17" t="inlineStr">
        <is>
          <t>0.001520</t>
        </is>
      </c>
      <c r="E20" s="17" t="inlineStr">
        <is>
          <t>0.250 SOL</t>
        </is>
      </c>
      <c r="F20" s="17" t="inlineStr">
        <is>
          <t>0.300 SOL</t>
        </is>
      </c>
      <c r="G20" s="22" t="inlineStr">
        <is>
          <t>0.048 SOL</t>
        </is>
      </c>
      <c r="H20" s="22" t="inlineStr">
        <is>
          <t>19.08%</t>
        </is>
      </c>
      <c r="I20" s="17" t="inlineStr">
        <is>
          <t>N/A</t>
        </is>
      </c>
      <c r="J20" s="17" t="n">
        <v>3</v>
      </c>
      <c r="K20" s="17" t="n">
        <v>3</v>
      </c>
      <c r="L20" s="17" t="inlineStr">
        <is>
          <t>27.10.2024 18:46:43</t>
        </is>
      </c>
      <c r="M20" s="17" t="inlineStr">
        <is>
          <t>12 days</t>
        </is>
      </c>
      <c r="N20" s="17" t="inlineStr">
        <is>
          <t xml:space="preserve">         21K            42K           253K</t>
        </is>
      </c>
      <c r="O20" s="17" t="inlineStr">
        <is>
          <t>3cFVS5jQNVgFQxBJiuuZL1jKa3fs7uhCetjKHSSipump</t>
        </is>
      </c>
      <c r="P20" s="17">
        <f>HYPERLINK("https://dexscreener.com/solana/3cFVS5jQNVgFQxBJiuuZL1jKa3fs7uhCetjKHSSipump", "View")</f>
        <v/>
      </c>
    </row>
    <row r="21">
      <c r="A21" s="20" t="inlineStr">
        <is>
          <t>Awkward</t>
        </is>
      </c>
      <c r="B21" s="21" t="n">
        <v>4914015</v>
      </c>
      <c r="C21" s="21" t="n">
        <v>4914015</v>
      </c>
      <c r="D21" s="21" t="inlineStr">
        <is>
          <t>0.000080</t>
        </is>
      </c>
      <c r="E21" s="21" t="inlineStr">
        <is>
          <t>0.100 SOL</t>
        </is>
      </c>
      <c r="F21" s="21" t="inlineStr">
        <is>
          <t>0.090 SOL</t>
        </is>
      </c>
      <c r="G21" s="25" t="inlineStr">
        <is>
          <t>-0.010 SOL</t>
        </is>
      </c>
      <c r="H21" s="25" t="inlineStr">
        <is>
          <t>-10.23%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26.10.2024 02:40:23</t>
        </is>
      </c>
      <c r="M21" s="21" t="inlineStr">
        <is>
          <t>12 days</t>
        </is>
      </c>
      <c r="N21" s="21" t="inlineStr">
        <is>
          <t xml:space="preserve">          4K             4K             3K</t>
        </is>
      </c>
      <c r="O21" s="21" t="inlineStr">
        <is>
          <t>GmnhdjaVZbgzjyYXEGGUawMrb1oS9V6WAtE9bxCZpump</t>
        </is>
      </c>
      <c r="P21" s="21">
        <f>HYPERLINK("https://dexscreener.com/solana/GmnhdjaVZbgzjyYXEGGUawMrb1oS9V6WAtE9bxCZpump", "View")</f>
        <v/>
      </c>
    </row>
    <row r="22">
      <c r="A22" s="16" t="inlineStr">
        <is>
          <t>Ĥ ψ</t>
        </is>
      </c>
      <c r="B22" s="17" t="n">
        <v>338606</v>
      </c>
      <c r="C22" s="17" t="n">
        <v>338606</v>
      </c>
      <c r="D22" s="17" t="inlineStr">
        <is>
          <t>0.000070</t>
        </is>
      </c>
      <c r="E22" s="17" t="inlineStr">
        <is>
          <t>0.012 SOL</t>
        </is>
      </c>
      <c r="F22" s="17" t="inlineStr">
        <is>
          <t>0.000 SOL</t>
        </is>
      </c>
      <c r="G22" s="23" t="inlineStr">
        <is>
          <t>-0.012 SOL</t>
        </is>
      </c>
      <c r="H22" s="23" t="inlineStr">
        <is>
          <t>-99.54%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26.10.2024 02:07:03</t>
        </is>
      </c>
      <c r="M22" s="17" t="inlineStr">
        <is>
          <t>11 days</t>
        </is>
      </c>
      <c r="N22" s="17" t="inlineStr">
        <is>
          <t xml:space="preserve">        N/A           N/A           N/A</t>
        </is>
      </c>
      <c r="O22" s="17" t="inlineStr">
        <is>
          <t>B9Q4oasDcXG2d4G56ABD9W7Ydy74rJXmRrMpYv6pump</t>
        </is>
      </c>
      <c r="P22" s="17">
        <f>HYPERLINK("https://photon-sol.tinyastro.io/en/lp/B9Q4oasDcXG2d4G56ABD9W7Ydy74rJXmRrMpYv6pump?handle=676050794bc1b1657a56b", "View")</f>
        <v/>
      </c>
    </row>
    <row r="23">
      <c r="A23" s="20" t="inlineStr">
        <is>
          <t>Jona</t>
        </is>
      </c>
      <c r="B23" s="21" t="n">
        <v>1733697</v>
      </c>
      <c r="C23" s="21" t="n">
        <v>1733697</v>
      </c>
      <c r="D23" s="21" t="inlineStr">
        <is>
          <t>0.000130</t>
        </is>
      </c>
      <c r="E23" s="21" t="inlineStr">
        <is>
          <t>0.052 SOL</t>
        </is>
      </c>
      <c r="F23" s="21" t="inlineStr">
        <is>
          <t>0.000 SOL</t>
        </is>
      </c>
      <c r="G23" s="23" t="inlineStr">
        <is>
          <t>-0.052 SOL</t>
        </is>
      </c>
      <c r="H23" s="23" t="inlineStr">
        <is>
          <t>-99.45%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25.10.2024 19:26:42</t>
        </is>
      </c>
      <c r="M23" s="21" t="inlineStr">
        <is>
          <t>11 days</t>
        </is>
      </c>
      <c r="N23" s="21" t="inlineStr">
        <is>
          <t xml:space="preserve">        N/A           N/A           N/A</t>
        </is>
      </c>
      <c r="O23" s="21" t="inlineStr">
        <is>
          <t>SqFAShm8xxsLdsAaWGCCxTQVgRhNVECigvnd6xLpump</t>
        </is>
      </c>
      <c r="P23" s="21">
        <f>HYPERLINK("https://photon-sol.tinyastro.io/en/lp/SqFAShm8xxsLdsAaWGCCxTQVgRhNVECigvnd6xLpump?handle=676050794bc1b1657a56b", "View")</f>
        <v/>
      </c>
    </row>
    <row r="24">
      <c r="A24" s="16" t="inlineStr">
        <is>
          <t>MOOWAN</t>
        </is>
      </c>
      <c r="B24" s="17" t="n">
        <v>75129</v>
      </c>
      <c r="C24" s="17" t="n">
        <v>75129</v>
      </c>
      <c r="D24" s="17" t="inlineStr">
        <is>
          <t>0.000610</t>
        </is>
      </c>
      <c r="E24" s="17" t="inlineStr">
        <is>
          <t>0.040 SOL</t>
        </is>
      </c>
      <c r="F24" s="17" t="inlineStr">
        <is>
          <t>0.048 SOL</t>
        </is>
      </c>
      <c r="G24" s="22" t="inlineStr">
        <is>
          <t>0.008 SOL</t>
        </is>
      </c>
      <c r="H24" s="22" t="inlineStr">
        <is>
          <t>19.10%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25.10.2024 17:54:23</t>
        </is>
      </c>
      <c r="M24" s="17" t="inlineStr">
        <is>
          <t>19 min</t>
        </is>
      </c>
      <c r="N24" s="17" t="inlineStr">
        <is>
          <t xml:space="preserve">         93K           112K            35K</t>
        </is>
      </c>
      <c r="O24" s="17" t="inlineStr">
        <is>
          <t>EGxWoteoTqwyzgXFZSxagKBUkoVbqtyRmnDewQNEpump</t>
        </is>
      </c>
      <c r="P24" s="17">
        <f>HYPERLINK("https://dexscreener.com/solana/EGxWoteoTqwyzgXFZSxagKBUkoVbqtyRmnDewQNEpump", "View")</f>
        <v/>
      </c>
    </row>
    <row r="25">
      <c r="A25" s="20" t="inlineStr">
        <is>
          <t>LORD</t>
        </is>
      </c>
      <c r="B25" s="21" t="n">
        <v>2326928</v>
      </c>
      <c r="C25" s="21" t="n">
        <v>2326928</v>
      </c>
      <c r="D25" s="21" t="inlineStr">
        <is>
          <t>0.000600</t>
        </is>
      </c>
      <c r="E25" s="21" t="inlineStr">
        <is>
          <t>0.050 SOL</t>
        </is>
      </c>
      <c r="F25" s="21" t="inlineStr">
        <is>
          <t>0.042 SOL</t>
        </is>
      </c>
      <c r="G25" s="25" t="inlineStr">
        <is>
          <t>-0.009 SOL</t>
        </is>
      </c>
      <c r="H25" s="25" t="inlineStr">
        <is>
          <t>-17.59%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25.10.2024 17:30:10</t>
        </is>
      </c>
      <c r="M25" s="21" t="inlineStr">
        <is>
          <t>13 days</t>
        </is>
      </c>
      <c r="N25" s="21" t="inlineStr">
        <is>
          <t xml:space="preserve">          4K             4K             3K</t>
        </is>
      </c>
      <c r="O25" s="21" t="inlineStr">
        <is>
          <t>4322EXTSqgXpg4tbMH9sZmEihria25jdwRd8M3TWpump</t>
        </is>
      </c>
      <c r="P25" s="21">
        <f>HYPERLINK("https://dexscreener.com/solana/4322EXTSqgXpg4tbMH9sZmEihria25jdwRd8M3TWpump", "View")</f>
        <v/>
      </c>
    </row>
    <row r="26">
      <c r="A26" s="16" t="inlineStr">
        <is>
          <t>GOATDOG</t>
        </is>
      </c>
      <c r="B26" s="17" t="n">
        <v>3524308</v>
      </c>
      <c r="C26" s="17" t="n">
        <v>1324681</v>
      </c>
      <c r="D26" s="17" t="inlineStr">
        <is>
          <t>0.000870</t>
        </is>
      </c>
      <c r="E26" s="17" t="inlineStr">
        <is>
          <t>0.100 SOL</t>
        </is>
      </c>
      <c r="F26" s="17" t="inlineStr">
        <is>
          <t>0.069 SOL</t>
        </is>
      </c>
      <c r="G26" s="25" t="inlineStr">
        <is>
          <t>-0.032 SOL</t>
        </is>
      </c>
      <c r="H26" s="25" t="inlineStr">
        <is>
          <t>-31.89%</t>
        </is>
      </c>
      <c r="I26" s="17" t="inlineStr">
        <is>
          <t>N/A</t>
        </is>
      </c>
      <c r="J26" s="17" t="n">
        <v>2</v>
      </c>
      <c r="K26" s="17" t="n">
        <v>1</v>
      </c>
      <c r="L26" s="17" t="inlineStr">
        <is>
          <t>25.10.2024 17:24:24</t>
        </is>
      </c>
      <c r="M26" s="17" t="inlineStr">
        <is>
          <t>14 days</t>
        </is>
      </c>
      <c r="N26" s="17" t="inlineStr">
        <is>
          <t xml:space="preserve">          4K             9K             4K</t>
        </is>
      </c>
      <c r="O26" s="17" t="inlineStr">
        <is>
          <t>GCjshceavPuhS2SL9iN1ePVSuPJ29jtuNSgrrUUGpump</t>
        </is>
      </c>
      <c r="P26" s="17">
        <f>HYPERLINK("https://dexscreener.com/solana/GCjshceavPuhS2SL9iN1ePVSuPJ29jtuNSgrrUUGpump", "View")</f>
        <v/>
      </c>
    </row>
    <row r="27">
      <c r="A27" s="20" t="inlineStr">
        <is>
          <t>MURADE</t>
        </is>
      </c>
      <c r="B27" s="21" t="n">
        <v>2345971</v>
      </c>
      <c r="C27" s="21" t="n">
        <v>2345971</v>
      </c>
      <c r="D27" s="21" t="inlineStr">
        <is>
          <t>0.000610</t>
        </is>
      </c>
      <c r="E27" s="21" t="inlineStr">
        <is>
          <t>0.100 SOL</t>
        </is>
      </c>
      <c r="F27" s="21" t="inlineStr">
        <is>
          <t>0.152 SOL</t>
        </is>
      </c>
      <c r="G27" s="24" t="inlineStr">
        <is>
          <t>0.051 SOL</t>
        </is>
      </c>
      <c r="H27" s="24" t="inlineStr">
        <is>
          <t>50.59%</t>
        </is>
      </c>
      <c r="I27" s="21" t="inlineStr">
        <is>
          <t>N/A</t>
        </is>
      </c>
      <c r="J27" s="21" t="n">
        <v>2</v>
      </c>
      <c r="K27" s="21" t="n">
        <v>1</v>
      </c>
      <c r="L27" s="21" t="inlineStr">
        <is>
          <t>19.10.2024 03:43:21</t>
        </is>
      </c>
      <c r="M27" s="21" t="inlineStr">
        <is>
          <t>2 days</t>
        </is>
      </c>
      <c r="N27" s="21" t="inlineStr">
        <is>
          <t xml:space="preserve">          7K             9K             6K</t>
        </is>
      </c>
      <c r="O27" s="21" t="inlineStr">
        <is>
          <t>AnLV6URRUi6gSaRunA141ZuBySuNMTvaWpSXbgLXpump</t>
        </is>
      </c>
      <c r="P27" s="21">
        <f>HYPERLINK("https://dexscreener.com/solana/AnLV6URRUi6gSaRunA141ZuBySuNMTvaWpSXbgLXpump", "View")</f>
        <v/>
      </c>
    </row>
    <row r="28">
      <c r="A28" s="16" t="inlineStr">
        <is>
          <t>BAKSO</t>
        </is>
      </c>
      <c r="B28" s="17" t="n">
        <v>211388</v>
      </c>
      <c r="C28" s="17" t="n">
        <v>0</v>
      </c>
      <c r="D28" s="17" t="inlineStr">
        <is>
          <t>0.000020</t>
        </is>
      </c>
      <c r="E28" s="17" t="inlineStr">
        <is>
          <t>0.050 SOL</t>
        </is>
      </c>
      <c r="F28" s="17" t="inlineStr">
        <is>
          <t>0.000 SOL</t>
        </is>
      </c>
      <c r="G28" s="18" t="inlineStr">
        <is>
          <t>-0.050 SOL</t>
        </is>
      </c>
      <c r="H28" s="18" t="inlineStr">
        <is>
          <t>0.00%</t>
        </is>
      </c>
      <c r="I28" s="17" t="inlineStr">
        <is>
          <t>211,388</t>
        </is>
      </c>
      <c r="J28" s="17" t="n">
        <v>1</v>
      </c>
      <c r="K28" s="17" t="n">
        <v>0</v>
      </c>
      <c r="L28" s="17" t="inlineStr">
        <is>
          <t>16.10.2024 23:57:22</t>
        </is>
      </c>
      <c r="M28" s="19" t="inlineStr">
        <is>
          <t>0 sec</t>
        </is>
      </c>
      <c r="N28" s="17" t="inlineStr">
        <is>
          <t xml:space="preserve">        N/A           N/A           N/A</t>
        </is>
      </c>
      <c r="O28" s="17" t="inlineStr">
        <is>
          <t>D3sjstAjtDTWwovWnUXZvcjs5iuhQVDRE1vvsZLfpump</t>
        </is>
      </c>
      <c r="P28" s="17">
        <f>HYPERLINK("https://dexscreener.com/solana/D3sjstAjtDTWwovWnUXZvcjs5iuhQVDRE1vvsZLfpump", "View")</f>
        <v/>
      </c>
    </row>
    <row r="29">
      <c r="A29" s="20" t="inlineStr">
        <is>
          <t>TRT</t>
        </is>
      </c>
      <c r="B29" s="21" t="n">
        <v>125832</v>
      </c>
      <c r="C29" s="21" t="n">
        <v>0</v>
      </c>
      <c r="D29" s="21" t="inlineStr">
        <is>
          <t>0.000020</t>
        </is>
      </c>
      <c r="E29" s="21" t="inlineStr">
        <is>
          <t>0.010 SOL</t>
        </is>
      </c>
      <c r="F29" s="21" t="inlineStr">
        <is>
          <t>0.000 SOL</t>
        </is>
      </c>
      <c r="G29" s="18" t="inlineStr">
        <is>
          <t>-0.010 SOL</t>
        </is>
      </c>
      <c r="H29" s="18" t="inlineStr">
        <is>
          <t>0.00%</t>
        </is>
      </c>
      <c r="I29" s="21" t="inlineStr">
        <is>
          <t>125,832</t>
        </is>
      </c>
      <c r="J29" s="21" t="n">
        <v>1</v>
      </c>
      <c r="K29" s="21" t="n">
        <v>0</v>
      </c>
      <c r="L29" s="21" t="inlineStr">
        <is>
          <t>16.10.2024 03:48:49</t>
        </is>
      </c>
      <c r="M29" s="19" t="inlineStr">
        <is>
          <t>0 sec</t>
        </is>
      </c>
      <c r="N29" s="21" t="inlineStr">
        <is>
          <t xml:space="preserve">         14K            14K             9K</t>
        </is>
      </c>
      <c r="O29" s="21" t="inlineStr">
        <is>
          <t>ALW1DD65EtewCiRz65gUDvYYAqQWLwjo68XAnsR7pump</t>
        </is>
      </c>
      <c r="P29" s="21">
        <f>HYPERLINK("https://dexscreener.com/solana/ALW1DD65EtewCiRz65gUDvYYAqQWLwjo68XAnsR7pump", "View")</f>
        <v/>
      </c>
    </row>
    <row r="30">
      <c r="A30" s="16" t="inlineStr">
        <is>
          <t>Moo krob</t>
        </is>
      </c>
      <c r="B30" s="17" t="n">
        <v>467100</v>
      </c>
      <c r="C30" s="17" t="n">
        <v>467100</v>
      </c>
      <c r="D30" s="17" t="inlineStr">
        <is>
          <t>0.000210</t>
        </is>
      </c>
      <c r="E30" s="17" t="inlineStr">
        <is>
          <t>0.100 SOL</t>
        </is>
      </c>
      <c r="F30" s="17" t="inlineStr">
        <is>
          <t>0.136 SOL</t>
        </is>
      </c>
      <c r="G30" s="22" t="inlineStr">
        <is>
          <t>0.035 SOL</t>
        </is>
      </c>
      <c r="H30" s="22" t="inlineStr">
        <is>
          <t>35.36%</t>
        </is>
      </c>
      <c r="I30" s="17" t="inlineStr">
        <is>
          <t>N/A</t>
        </is>
      </c>
      <c r="J30" s="17" t="n">
        <v>2</v>
      </c>
      <c r="K30" s="17" t="n">
        <v>2</v>
      </c>
      <c r="L30" s="17" t="inlineStr">
        <is>
          <t>16.10.2024 03:43:29</t>
        </is>
      </c>
      <c r="M30" s="17" t="inlineStr">
        <is>
          <t>1 days</t>
        </is>
      </c>
      <c r="N30" s="17" t="inlineStr">
        <is>
          <t xml:space="preserve">         46K            53K            13K</t>
        </is>
      </c>
      <c r="O30" s="17" t="inlineStr">
        <is>
          <t>DMTvMH4xa4ALhWtcxSR4jAeWByGQymBQRHXyyELRpump</t>
        </is>
      </c>
      <c r="P30" s="17">
        <f>HYPERLINK("https://dexscreener.com/solana/DMTvMH4xa4ALhWtcxSR4jAeWByGQymBQRHXyyELRpump", "View")</f>
        <v/>
      </c>
    </row>
    <row r="31">
      <c r="A31" s="20" t="inlineStr">
        <is>
          <t>STUDY</t>
        </is>
      </c>
      <c r="B31" s="21" t="n">
        <v>478652</v>
      </c>
      <c r="C31" s="21" t="n">
        <v>0</v>
      </c>
      <c r="D31" s="21" t="inlineStr">
        <is>
          <t>0.000340</t>
        </is>
      </c>
      <c r="E31" s="21" t="inlineStr">
        <is>
          <t>0.050 SOL</t>
        </is>
      </c>
      <c r="F31" s="21" t="inlineStr">
        <is>
          <t>0.000 SOL</t>
        </is>
      </c>
      <c r="G31" s="18" t="inlineStr">
        <is>
          <t>-0.050 SOL</t>
        </is>
      </c>
      <c r="H31" s="18" t="inlineStr">
        <is>
          <t>0.00%</t>
        </is>
      </c>
      <c r="I31" s="21" t="inlineStr">
        <is>
          <t>478,652</t>
        </is>
      </c>
      <c r="J31" s="21" t="n">
        <v>1</v>
      </c>
      <c r="K31" s="21" t="n">
        <v>0</v>
      </c>
      <c r="L31" s="21" t="inlineStr">
        <is>
          <t>15.10.2024 15:18:28</t>
        </is>
      </c>
      <c r="M31" s="19" t="inlineStr">
        <is>
          <t>0 sec</t>
        </is>
      </c>
      <c r="N31" s="21" t="inlineStr">
        <is>
          <t xml:space="preserve">         18K            18K             7K</t>
        </is>
      </c>
      <c r="O31" s="21" t="inlineStr">
        <is>
          <t>Bu8tzATJze1tCtjXfy8g54heQ9vzYF3nm5sMe5gVpump</t>
        </is>
      </c>
      <c r="P31" s="21">
        <f>HYPERLINK("https://dexscreener.com/solana/Bu8tzATJze1tCtjXfy8g54heQ9vzYF3nm5sMe5gVpump", "View")</f>
        <v/>
      </c>
    </row>
    <row r="32">
      <c r="A32" s="16" t="inlineStr">
        <is>
          <t>REGARDS</t>
        </is>
      </c>
      <c r="B32" s="17" t="n">
        <v>587718</v>
      </c>
      <c r="C32" s="17" t="n">
        <v>587718</v>
      </c>
      <c r="D32" s="17" t="inlineStr">
        <is>
          <t>0.000210</t>
        </is>
      </c>
      <c r="E32" s="17" t="inlineStr">
        <is>
          <t>0.050 SOL</t>
        </is>
      </c>
      <c r="F32" s="17" t="inlineStr">
        <is>
          <t>0.253 SOL</t>
        </is>
      </c>
      <c r="G32" s="24" t="inlineStr">
        <is>
          <t>0.203 SOL</t>
        </is>
      </c>
      <c r="H32" s="24" t="inlineStr">
        <is>
          <t>403.94%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14.10.2024 22:14:28</t>
        </is>
      </c>
      <c r="M32" s="17" t="inlineStr">
        <is>
          <t>22 hours</t>
        </is>
      </c>
      <c r="N32" s="17" t="inlineStr">
        <is>
          <t xml:space="preserve">         16K            76K            28K</t>
        </is>
      </c>
      <c r="O32" s="17" t="inlineStr">
        <is>
          <t>C9hmF1jY7RVuyzCrzFMiP79kjDVSun8SMJ78VV6tpump</t>
        </is>
      </c>
      <c r="P32" s="17">
        <f>HYPERLINK("https://dexscreener.com/solana/C9hmF1jY7RVuyzCrzFMiP79kjDVSun8SMJ78VV6tpump", "View")</f>
        <v/>
      </c>
    </row>
    <row r="33">
      <c r="A33" s="20" t="inlineStr">
        <is>
          <t>USDT</t>
        </is>
      </c>
      <c r="B33" s="21" t="n">
        <v>249734</v>
      </c>
      <c r="C33" s="21" t="n">
        <v>0</v>
      </c>
      <c r="D33" s="21" t="inlineStr">
        <is>
          <t>0.000110</t>
        </is>
      </c>
      <c r="E33" s="21" t="inlineStr">
        <is>
          <t>0.008 SOL</t>
        </is>
      </c>
      <c r="F33" s="21" t="inlineStr">
        <is>
          <t>0.000 SOL</t>
        </is>
      </c>
      <c r="G33" s="18" t="inlineStr">
        <is>
          <t>-0.008 SOL</t>
        </is>
      </c>
      <c r="H33" s="18" t="inlineStr">
        <is>
          <t>0.00%</t>
        </is>
      </c>
      <c r="I33" s="21" t="inlineStr">
        <is>
          <t>249,734</t>
        </is>
      </c>
      <c r="J33" s="21" t="n">
        <v>1</v>
      </c>
      <c r="K33" s="21" t="n">
        <v>0</v>
      </c>
      <c r="L33" s="21" t="inlineStr">
        <is>
          <t>14.10.2024 20:09:48</t>
        </is>
      </c>
      <c r="M33" s="19" t="inlineStr">
        <is>
          <t>0 sec</t>
        </is>
      </c>
      <c r="N33" s="21" t="inlineStr">
        <is>
          <t xml:space="preserve">         10K            10K             2B</t>
        </is>
      </c>
      <c r="O33" s="21" t="inlineStr">
        <is>
          <t>Es9vMFrzaCERmJfrF4H2FYD4KCoNkY11McCe8BenwNYB</t>
        </is>
      </c>
      <c r="P33" s="21">
        <f>HYPERLINK("https://dexscreener.com/solana/Es9vMFrzaCERmJfrF4H2FYD4KCoNkY11McCe8BenwNYB", "View")</f>
        <v/>
      </c>
    </row>
    <row r="34">
      <c r="A34" s="16" t="inlineStr">
        <is>
          <t>FREE</t>
        </is>
      </c>
      <c r="B34" s="17" t="n">
        <v>474243</v>
      </c>
      <c r="C34" s="17" t="n">
        <v>474243</v>
      </c>
      <c r="D34" s="17" t="inlineStr">
        <is>
          <t>0.000440</t>
        </is>
      </c>
      <c r="E34" s="17" t="inlineStr">
        <is>
          <t>0.050 SOL</t>
        </is>
      </c>
      <c r="F34" s="17" t="inlineStr">
        <is>
          <t>0.161 SOL</t>
        </is>
      </c>
      <c r="G34" s="24" t="inlineStr">
        <is>
          <t>0.110 SOL</t>
        </is>
      </c>
      <c r="H34" s="24" t="inlineStr">
        <is>
          <t>219.04%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14.10.2024 04:15:10</t>
        </is>
      </c>
      <c r="M34" s="17" t="inlineStr">
        <is>
          <t>5 min</t>
        </is>
      </c>
      <c r="N34" s="17" t="inlineStr">
        <is>
          <t xml:space="preserve">         19K            60K           127K</t>
        </is>
      </c>
      <c r="O34" s="17" t="inlineStr">
        <is>
          <t>2TYhhwG6zCYMue6QHmcxEHnt8tMhnyq8hbXNUbdrpump</t>
        </is>
      </c>
      <c r="P34" s="17">
        <f>HYPERLINK("https://dexscreener.com/solana/2TYhhwG6zCYMue6QHmcxEHnt8tMhnyq8hbXNUbdrpump", "View")</f>
        <v/>
      </c>
    </row>
    <row r="35">
      <c r="A35" s="20" t="inlineStr">
        <is>
          <t>maxfap</t>
        </is>
      </c>
      <c r="B35" s="21" t="n">
        <v>640861</v>
      </c>
      <c r="C35" s="21" t="n">
        <v>640861</v>
      </c>
      <c r="D35" s="21" t="inlineStr">
        <is>
          <t>0.000200</t>
        </is>
      </c>
      <c r="E35" s="21" t="inlineStr">
        <is>
          <t>0.052 SOL</t>
        </is>
      </c>
      <c r="F35" s="21" t="inlineStr">
        <is>
          <t>0.000 SOL</t>
        </is>
      </c>
      <c r="G35" s="23" t="inlineStr">
        <is>
          <t>-0.052 SOL</t>
        </is>
      </c>
      <c r="H35" s="23" t="inlineStr">
        <is>
          <t>-99.41%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14.10.2024 00:12:10</t>
        </is>
      </c>
      <c r="M35" s="21" t="inlineStr">
        <is>
          <t>18 min</t>
        </is>
      </c>
      <c r="N35" s="21" t="inlineStr">
        <is>
          <t xml:space="preserve">        N/A           N/A           N/A</t>
        </is>
      </c>
      <c r="O35" s="21" t="inlineStr">
        <is>
          <t>9oj65MaMBdxkStY8DVhnGwaJGucoH9V7LxnoKxcupump</t>
        </is>
      </c>
      <c r="P35" s="21">
        <f>HYPERLINK("https://photon-sol.tinyastro.io/en/lp/9oj65MaMBdxkStY8DVhnGwaJGucoH9V7LxnoKxcupump?handle=676050794bc1b1657a56b", "View")</f>
        <v/>
      </c>
    </row>
    <row r="36">
      <c r="A36" s="16" t="inlineStr">
        <is>
          <t>ZIGGY</t>
        </is>
      </c>
      <c r="B36" s="17" t="n">
        <v>387739</v>
      </c>
      <c r="C36" s="17" t="n">
        <v>387739</v>
      </c>
      <c r="D36" s="17" t="inlineStr">
        <is>
          <t>0.000660</t>
        </is>
      </c>
      <c r="E36" s="17" t="inlineStr">
        <is>
          <t>0.100 SOL</t>
        </is>
      </c>
      <c r="F36" s="17" t="inlineStr">
        <is>
          <t>0.765 SOL</t>
        </is>
      </c>
      <c r="G36" s="24" t="inlineStr">
        <is>
          <t>0.664 SOL</t>
        </is>
      </c>
      <c r="H36" s="24" t="inlineStr">
        <is>
          <t>659.83%</t>
        </is>
      </c>
      <c r="I36" s="17" t="inlineStr">
        <is>
          <t>N/A</t>
        </is>
      </c>
      <c r="J36" s="17" t="n">
        <v>2</v>
      </c>
      <c r="K36" s="17" t="n">
        <v>1</v>
      </c>
      <c r="L36" s="17" t="inlineStr">
        <is>
          <t>13.10.2024 16:53:42</t>
        </is>
      </c>
      <c r="M36" s="17" t="inlineStr">
        <is>
          <t>1 days</t>
        </is>
      </c>
      <c r="N36" s="17" t="inlineStr">
        <is>
          <t xml:space="preserve">         51K           317K           101K</t>
        </is>
      </c>
      <c r="O36" s="17" t="inlineStr">
        <is>
          <t>4gDCHK6jsPsdZi84N4rY6ACecxBJWsYkcfHhf8bHpump</t>
        </is>
      </c>
      <c r="P36" s="17">
        <f>HYPERLINK("https://dexscreener.com/solana/4gDCHK6jsPsdZi84N4rY6ACecxBJWsYkcfHhf8bHpump", "View")</f>
        <v/>
      </c>
    </row>
    <row r="37">
      <c r="A37" s="20" t="inlineStr">
        <is>
          <t>🐬</t>
        </is>
      </c>
      <c r="B37" s="21" t="n">
        <v>900823</v>
      </c>
      <c r="C37" s="21" t="n">
        <v>900823</v>
      </c>
      <c r="D37" s="21" t="inlineStr">
        <is>
          <t>0.000870</t>
        </is>
      </c>
      <c r="E37" s="21" t="inlineStr">
        <is>
          <t>0.100 SOL</t>
        </is>
      </c>
      <c r="F37" s="21" t="inlineStr">
        <is>
          <t>0.145 SOL</t>
        </is>
      </c>
      <c r="G37" s="22" t="inlineStr">
        <is>
          <t>0.044 SOL</t>
        </is>
      </c>
      <c r="H37" s="22" t="inlineStr">
        <is>
          <t>43.33%</t>
        </is>
      </c>
      <c r="I37" s="21" t="inlineStr">
        <is>
          <t>N/A</t>
        </is>
      </c>
      <c r="J37" s="21" t="n">
        <v>2</v>
      </c>
      <c r="K37" s="21" t="n">
        <v>1</v>
      </c>
      <c r="L37" s="21" t="inlineStr">
        <is>
          <t>11.10.2024 17:33:17</t>
        </is>
      </c>
      <c r="M37" s="21" t="inlineStr">
        <is>
          <t>23 hours</t>
        </is>
      </c>
      <c r="N37" s="21" t="inlineStr">
        <is>
          <t xml:space="preserve">         28K            28K            27K</t>
        </is>
      </c>
      <c r="O37" s="21" t="inlineStr">
        <is>
          <t>GK9Lx5CNmcUJLUoK5XEdJow1uWQg4gkBnU9JYwG9pump</t>
        </is>
      </c>
      <c r="P37" s="21">
        <f>HYPERLINK("https://dexscreener.com/solana/GK9Lx5CNmcUJLUoK5XEdJow1uWQg4gkBnU9JYwG9pump", "View")</f>
        <v/>
      </c>
    </row>
    <row r="38">
      <c r="A38" s="16" t="inlineStr">
        <is>
          <t>ROGI</t>
        </is>
      </c>
      <c r="B38" s="17" t="n">
        <v>121681</v>
      </c>
      <c r="C38" s="17" t="n">
        <v>121681</v>
      </c>
      <c r="D38" s="17" t="inlineStr">
        <is>
          <t>0.000240</t>
        </is>
      </c>
      <c r="E38" s="17" t="inlineStr">
        <is>
          <t>0.100 SOL</t>
        </is>
      </c>
      <c r="F38" s="17" t="inlineStr">
        <is>
          <t>0.133 SOL</t>
        </is>
      </c>
      <c r="G38" s="22" t="inlineStr">
        <is>
          <t>0.032 SOL</t>
        </is>
      </c>
      <c r="H38" s="22" t="inlineStr">
        <is>
          <t>32.26%</t>
        </is>
      </c>
      <c r="I38" s="17" t="inlineStr">
        <is>
          <t>N/A</t>
        </is>
      </c>
      <c r="J38" s="17" t="n">
        <v>2</v>
      </c>
      <c r="K38" s="17" t="n">
        <v>1</v>
      </c>
      <c r="L38" s="17" t="inlineStr">
        <is>
          <t>10.10.2024 14:55:49</t>
        </is>
      </c>
      <c r="M38" s="17" t="inlineStr">
        <is>
          <t>14 hours</t>
        </is>
      </c>
      <c r="N38" s="17" t="inlineStr">
        <is>
          <t xml:space="preserve">        176K           191K            38K</t>
        </is>
      </c>
      <c r="O38" s="17" t="inlineStr">
        <is>
          <t>E1Bke3PvckrEBPh1QjioDMXcy2vdsUCQuDfqw4p5pump</t>
        </is>
      </c>
      <c r="P38" s="17">
        <f>HYPERLINK("https://dexscreener.com/solana/E1Bke3PvckrEBPh1QjioDMXcy2vdsUCQuDfqw4p5pump", "View")</f>
        <v/>
      </c>
    </row>
    <row r="39">
      <c r="A39" s="20" t="inlineStr">
        <is>
          <t>Skrumpey</t>
        </is>
      </c>
      <c r="B39" s="21" t="n">
        <v>624253</v>
      </c>
      <c r="C39" s="21" t="n">
        <v>624253</v>
      </c>
      <c r="D39" s="21" t="inlineStr">
        <is>
          <t>0.000230</t>
        </is>
      </c>
      <c r="E39" s="21" t="inlineStr">
        <is>
          <t>0.174 SOL</t>
        </is>
      </c>
      <c r="F39" s="21" t="inlineStr">
        <is>
          <t>0.241 SOL</t>
        </is>
      </c>
      <c r="G39" s="22" t="inlineStr">
        <is>
          <t>0.067 SOL</t>
        </is>
      </c>
      <c r="H39" s="22" t="inlineStr">
        <is>
          <t>38.17%</t>
        </is>
      </c>
      <c r="I39" s="21" t="inlineStr">
        <is>
          <t>N/A</t>
        </is>
      </c>
      <c r="J39" s="21" t="n">
        <v>1</v>
      </c>
      <c r="K39" s="21" t="n">
        <v>2</v>
      </c>
      <c r="L39" s="21" t="inlineStr">
        <is>
          <t>09.10.2024 00:29:17</t>
        </is>
      </c>
      <c r="M39" s="21" t="inlineStr">
        <is>
          <t>1 hours</t>
        </is>
      </c>
      <c r="N39" s="21" t="inlineStr">
        <is>
          <t xml:space="preserve">         49K            68K             5K</t>
        </is>
      </c>
      <c r="O39" s="21" t="inlineStr">
        <is>
          <t>9L2Ypo1p31hLHVvB9xwovBtPMcGJf7dx5gch5wCupump</t>
        </is>
      </c>
      <c r="P39" s="21">
        <f>HYPERLINK("https://dexscreener.com/solana/9L2Ypo1p31hLHVvB9xwovBtPMcGJf7dx5gch5wCupump", "View")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195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HYPERLINK("https://gmgn.ai/sol/address/D5ZZVQCLWYJcFPoYinPMnGixJxV1om1HohfcaXbQq3cG", "GMGN")</f>
        <v/>
      </c>
    </row>
    <row r="2">
      <c r="A2" s="3" t="inlineStr">
        <is>
          <t>D5ZZVQCLWYJcFPoYinPMnGixJxV1om1HohfcaXbQq3cG</t>
        </is>
      </c>
      <c r="B2" s="3" t="inlineStr">
        <is>
          <t>70.22 SOL</t>
        </is>
      </c>
      <c r="C2" s="3" t="inlineStr">
        <is>
          <t>43%</t>
        </is>
      </c>
      <c r="D2" s="3" t="inlineStr">
        <is>
          <t>92%</t>
        </is>
      </c>
      <c r="E2" s="3" t="inlineStr">
        <is>
          <t>60.59 SOL</t>
        </is>
      </c>
      <c r="F2" s="3" t="inlineStr">
        <is>
          <t>25 (14%)</t>
        </is>
      </c>
      <c r="G2" s="3" t="inlineStr">
        <is>
          <t>0 (0%)</t>
        </is>
      </c>
      <c r="H2" s="3" t="n">
        <v>176</v>
      </c>
      <c r="I2" s="3" t="n">
        <v>1</v>
      </c>
      <c r="J2" s="3" t="inlineStr">
        <is>
          <t>26 days</t>
        </is>
      </c>
      <c r="K2" s="3" t="inlineStr">
        <is>
          <t>8 min</t>
        </is>
      </c>
      <c r="L2" s="3" t="n">
        <v>95</v>
      </c>
      <c r="M2" s="3" t="n">
        <v>416</v>
      </c>
      <c r="N2" s="3">
        <f>HYPERLINK("https://solscan.io/account/D5ZZVQCLWYJcFPoYinPMnGixJxV1om1HohfcaXbQq3cG", "Solscan")</f>
        <v/>
      </c>
    </row>
    <row r="3">
      <c r="A3" s="7" t="inlineStr">
        <is>
          <t>Median ROI</t>
        </is>
      </c>
      <c r="B3" s="5" t="inlineStr">
        <is>
          <t>-3.90%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HYPERLINK("https://birdeye.so/profile/D5ZZVQCLWYJcFPoYinPMnGixJxV1om1HohfcaXbQq3cG", "Birdeye")</f>
        <v/>
      </c>
    </row>
    <row r="4">
      <c r="A4" s="7" t="inlineStr">
        <is>
          <t>Rockets percent</t>
        </is>
      </c>
      <c r="B4" s="3" t="inlineStr">
        <is>
          <t>11%</t>
        </is>
      </c>
      <c r="C4" s="3" t="inlineStr"/>
      <c r="D4" s="3" t="inlineStr">
        <is>
          <t>5%</t>
        </is>
      </c>
      <c r="E4" s="3" t="inlineStr">
        <is>
          <t>3.47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26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4</v>
      </c>
      <c r="C10" s="7" t="n">
        <v>16</v>
      </c>
      <c r="D10" s="7" t="n">
        <v>11</v>
      </c>
      <c r="E10" s="7" t="n">
        <v>44</v>
      </c>
      <c r="F10" s="7" t="n">
        <v>68</v>
      </c>
      <c r="G10" s="7" t="n">
        <v>33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2.3%</t>
        </is>
      </c>
      <c r="C11" s="7" t="inlineStr">
        <is>
          <t>9.1%</t>
        </is>
      </c>
      <c r="D11" s="7" t="inlineStr">
        <is>
          <t>6.2%</t>
        </is>
      </c>
      <c r="E11" s="7" t="inlineStr">
        <is>
          <t>25.0%</t>
        </is>
      </c>
      <c r="F11" s="7" t="inlineStr">
        <is>
          <t>38.6%</t>
        </is>
      </c>
      <c r="G11" s="7" t="inlineStr">
        <is>
          <t>18.8%</t>
        </is>
      </c>
      <c r="H11" s="3" t="n"/>
      <c r="I11" s="3" t="inlineStr">
        <is>
          <t>5k-30k</t>
        </is>
      </c>
      <c r="J11" s="3" t="inlineStr">
        <is>
          <t>53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47.5 SOL</t>
        </is>
      </c>
      <c r="C12" s="7" t="inlineStr">
        <is>
          <t>18.0 SOL</t>
        </is>
      </c>
      <c r="D12" s="7" t="inlineStr">
        <is>
          <t>3.0 SOL</t>
        </is>
      </c>
      <c r="E12" s="7" t="inlineStr">
        <is>
          <t>2.8 SOL</t>
        </is>
      </c>
      <c r="F12" s="7" t="inlineStr">
        <is>
          <t>-3.6 SOL</t>
        </is>
      </c>
      <c r="G12" s="7" t="inlineStr">
        <is>
          <t>-7.0 SOL</t>
        </is>
      </c>
      <c r="H12" s="3" t="n"/>
      <c r="I12" s="3" t="inlineStr">
        <is>
          <t>30k-100k</t>
        </is>
      </c>
      <c r="J12" s="3" t="inlineStr">
        <is>
          <t>46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44.5K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THINGS</t>
        </is>
      </c>
      <c r="B20" s="17" t="n">
        <v>722738</v>
      </c>
      <c r="C20" s="17" t="n">
        <v>0</v>
      </c>
      <c r="D20" s="17" t="inlineStr">
        <is>
          <t>0.000160</t>
        </is>
      </c>
      <c r="E20" s="17" t="inlineStr">
        <is>
          <t>0.070 SOL</t>
        </is>
      </c>
      <c r="F20" s="17" t="inlineStr">
        <is>
          <t>0.000 SOL</t>
        </is>
      </c>
      <c r="G20" s="18" t="inlineStr">
        <is>
          <t>-0.070 SOL</t>
        </is>
      </c>
      <c r="H20" s="18" t="inlineStr">
        <is>
          <t>0.00%</t>
        </is>
      </c>
      <c r="I20" s="17" t="inlineStr">
        <is>
          <t>722,738</t>
        </is>
      </c>
      <c r="J20" s="17" t="n">
        <v>1</v>
      </c>
      <c r="K20" s="17" t="n">
        <v>0</v>
      </c>
      <c r="L20" s="17" t="inlineStr">
        <is>
          <t>30.10.2024 20:04:54</t>
        </is>
      </c>
      <c r="M20" s="19" t="inlineStr">
        <is>
          <t>0 sec</t>
        </is>
      </c>
      <c r="N20" s="17" t="inlineStr">
        <is>
          <t xml:space="preserve">         17K            17K             7K</t>
        </is>
      </c>
      <c r="O20" s="17" t="inlineStr">
        <is>
          <t>HCYi2UYSAJ5QCdz6mcapmp6H3DVTU8iyhbxW5U4xS8NE</t>
        </is>
      </c>
      <c r="P20" s="17">
        <f>HYPERLINK("https://dexscreener.com/solana/HCYi2UYSAJ5QCdz6mcapmp6H3DVTU8iyhbxW5U4xS8NE", "View")</f>
        <v/>
      </c>
    </row>
    <row r="21">
      <c r="A21" s="20" t="inlineStr">
        <is>
          <t>CoRL</t>
        </is>
      </c>
      <c r="B21" s="21" t="n">
        <v>9478220</v>
      </c>
      <c r="C21" s="21" t="n">
        <v>9478220</v>
      </c>
      <c r="D21" s="21" t="inlineStr">
        <is>
          <t>0.006210</t>
        </is>
      </c>
      <c r="E21" s="21" t="inlineStr">
        <is>
          <t>0.584 SOL</t>
        </is>
      </c>
      <c r="F21" s="21" t="inlineStr">
        <is>
          <t>0.692 SOL</t>
        </is>
      </c>
      <c r="G21" s="22" t="inlineStr">
        <is>
          <t>0.101 SOL</t>
        </is>
      </c>
      <c r="H21" s="22" t="inlineStr">
        <is>
          <t>17.19%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18:49:11</t>
        </is>
      </c>
      <c r="M21" s="19" t="inlineStr">
        <is>
          <t>21 sec</t>
        </is>
      </c>
      <c r="N21" s="21" t="inlineStr">
        <is>
          <t xml:space="preserve">         11K            12K             5K</t>
        </is>
      </c>
      <c r="O21" s="21" t="inlineStr">
        <is>
          <t>6zthUPvrG82dq8SnF7TAZgBm2Z9KTC7HGjoLqeR9pump</t>
        </is>
      </c>
      <c r="P21" s="21">
        <f>HYPERLINK("https://photon-sol.tinyastro.io/en/lp/6zthUPvrG82dq8SnF7TAZgBm2Z9KTC7HGjoLqeR9pump?handle=676050794bc1b1657a56b", "View")</f>
        <v/>
      </c>
    </row>
    <row r="22">
      <c r="A22" s="16" t="inlineStr">
        <is>
          <t>ACE</t>
        </is>
      </c>
      <c r="B22" s="17" t="n">
        <v>33547</v>
      </c>
      <c r="C22" s="17" t="n">
        <v>33547</v>
      </c>
      <c r="D22" s="17" t="inlineStr">
        <is>
          <t>0.000310</t>
        </is>
      </c>
      <c r="E22" s="17" t="inlineStr">
        <is>
          <t>0.050 SOL</t>
        </is>
      </c>
      <c r="F22" s="17" t="inlineStr">
        <is>
          <t>0.015 SOL</t>
        </is>
      </c>
      <c r="G22" s="23" t="inlineStr">
        <is>
          <t>-0.035 SOL</t>
        </is>
      </c>
      <c r="H22" s="23" t="inlineStr">
        <is>
          <t>-70.09%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09:37:08</t>
        </is>
      </c>
      <c r="M22" s="17" t="inlineStr">
        <is>
          <t>3 hours</t>
        </is>
      </c>
      <c r="N22" s="17" t="inlineStr">
        <is>
          <t xml:space="preserve">        262K           262K            40K</t>
        </is>
      </c>
      <c r="O22" s="17" t="inlineStr">
        <is>
          <t>FofgVUkAzbffK3mw8ZEwMof8Lbpx59KkXRV4exhkpump</t>
        </is>
      </c>
      <c r="P22" s="17">
        <f>HYPERLINK("https://dexscreener.com/solana/FofgVUkAzbffK3mw8ZEwMof8Lbpx59KkXRV4exhkpump", "View")</f>
        <v/>
      </c>
    </row>
    <row r="23">
      <c r="A23" s="20" t="inlineStr">
        <is>
          <t>VPN</t>
        </is>
      </c>
      <c r="B23" s="21" t="n">
        <v>1494479</v>
      </c>
      <c r="C23" s="21" t="n">
        <v>1494479</v>
      </c>
      <c r="D23" s="21" t="inlineStr">
        <is>
          <t>0.000310</t>
        </is>
      </c>
      <c r="E23" s="21" t="inlineStr">
        <is>
          <t>0.074 SOL</t>
        </is>
      </c>
      <c r="F23" s="21" t="inlineStr">
        <is>
          <t>0.057 SOL</t>
        </is>
      </c>
      <c r="G23" s="25" t="inlineStr">
        <is>
          <t>-0.017 SOL</t>
        </is>
      </c>
      <c r="H23" s="25" t="inlineStr">
        <is>
          <t>-23.09%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09:36:51</t>
        </is>
      </c>
      <c r="M23" s="21" t="inlineStr">
        <is>
          <t>4 min</t>
        </is>
      </c>
      <c r="N23" s="21" t="inlineStr">
        <is>
          <t xml:space="preserve">          9K             7K             5K</t>
        </is>
      </c>
      <c r="O23" s="21" t="inlineStr">
        <is>
          <t>2r2PfRef7jWPYJLyT5nZ8wwmXAo67VfCWaJCDf9spump</t>
        </is>
      </c>
      <c r="P23" s="21">
        <f>HYPERLINK("https://photon-sol.tinyastro.io/en/lp/2r2PfRef7jWPYJLyT5nZ8wwmXAo67VfCWaJCDf9spump?handle=676050794bc1b1657a56b", "View")</f>
        <v/>
      </c>
    </row>
    <row r="24">
      <c r="A24" s="16" t="inlineStr">
        <is>
          <t>$VAT</t>
        </is>
      </c>
      <c r="B24" s="17" t="n">
        <v>733820</v>
      </c>
      <c r="C24" s="17" t="n">
        <v>733820</v>
      </c>
      <c r="D24" s="17" t="inlineStr">
        <is>
          <t>0.001070</t>
        </is>
      </c>
      <c r="E24" s="17" t="inlineStr">
        <is>
          <t>0.155 SOL</t>
        </is>
      </c>
      <c r="F24" s="17" t="inlineStr">
        <is>
          <t>0.175 SOL</t>
        </is>
      </c>
      <c r="G24" s="22" t="inlineStr">
        <is>
          <t>0.019 SOL</t>
        </is>
      </c>
      <c r="H24" s="22" t="inlineStr">
        <is>
          <t>11.99%</t>
        </is>
      </c>
      <c r="I24" s="17" t="inlineStr">
        <is>
          <t>N/A</t>
        </is>
      </c>
      <c r="J24" s="17" t="n">
        <v>1</v>
      </c>
      <c r="K24" s="17" t="n">
        <v>2</v>
      </c>
      <c r="L24" s="17" t="inlineStr">
        <is>
          <t>30.10.2024 05:43:31</t>
        </is>
      </c>
      <c r="M24" s="17" t="inlineStr">
        <is>
          <t>13 hours</t>
        </is>
      </c>
      <c r="N24" s="17" t="inlineStr">
        <is>
          <t xml:space="preserve">         37K            91K             7K</t>
        </is>
      </c>
      <c r="O24" s="17" t="inlineStr">
        <is>
          <t>FjYgAsYkdPM9Z14i32o7uAiJm3PqXqaCfDVsKQZTpump</t>
        </is>
      </c>
      <c r="P24" s="17">
        <f>HYPERLINK("https://photon-sol.tinyastro.io/en/lp/FjYgAsYkdPM9Z14i32o7uAiJm3PqXqaCfDVsKQZTpump?handle=676050794bc1b1657a56b", "View")</f>
        <v/>
      </c>
    </row>
    <row r="25">
      <c r="A25" s="20" t="inlineStr">
        <is>
          <t>ANGEL</t>
        </is>
      </c>
      <c r="B25" s="21" t="n">
        <v>1147526</v>
      </c>
      <c r="C25" s="21" t="n">
        <v>1147526</v>
      </c>
      <c r="D25" s="21" t="inlineStr">
        <is>
          <t>0.000310</t>
        </is>
      </c>
      <c r="E25" s="21" t="inlineStr">
        <is>
          <t>0.181 SOL</t>
        </is>
      </c>
      <c r="F25" s="21" t="inlineStr">
        <is>
          <t>0.149 SOL</t>
        </is>
      </c>
      <c r="G25" s="25" t="inlineStr">
        <is>
          <t>-0.032 SOL</t>
        </is>
      </c>
      <c r="H25" s="25" t="inlineStr">
        <is>
          <t>-17.60%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20:04:11</t>
        </is>
      </c>
      <c r="M25" s="21" t="inlineStr">
        <is>
          <t>14 min</t>
        </is>
      </c>
      <c r="N25" s="21" t="inlineStr">
        <is>
          <t xml:space="preserve">         28K            23K             5K</t>
        </is>
      </c>
      <c r="O25" s="21" t="inlineStr">
        <is>
          <t>3LreX7x5Tt7H9VcypwVjHJJ22yozgforSk5MtjoYgAEt</t>
        </is>
      </c>
      <c r="P25" s="21">
        <f>HYPERLINK("https://photon-sol.tinyastro.io/en/lp/3LreX7x5Tt7H9VcypwVjHJJ22yozgforSk5MtjoYgAEt?handle=676050794bc1b1657a56b", "View")</f>
        <v/>
      </c>
    </row>
    <row r="26">
      <c r="A26" s="16" t="inlineStr">
        <is>
          <t>Meta</t>
        </is>
      </c>
      <c r="B26" s="17" t="n">
        <v>7604554</v>
      </c>
      <c r="C26" s="17" t="n">
        <v>7604554</v>
      </c>
      <c r="D26" s="17" t="inlineStr">
        <is>
          <t>0.005470</t>
        </is>
      </c>
      <c r="E26" s="17" t="inlineStr">
        <is>
          <t>0.395 SOL</t>
        </is>
      </c>
      <c r="F26" s="17" t="inlineStr">
        <is>
          <t>0.414 SOL</t>
        </is>
      </c>
      <c r="G26" s="22" t="inlineStr">
        <is>
          <t>0.013 SOL</t>
        </is>
      </c>
      <c r="H26" s="22" t="inlineStr">
        <is>
          <t>3.33%</t>
        </is>
      </c>
      <c r="I26" s="17" t="inlineStr">
        <is>
          <t>N/A</t>
        </is>
      </c>
      <c r="J26" s="17" t="n">
        <v>2</v>
      </c>
      <c r="K26" s="17" t="n">
        <v>2</v>
      </c>
      <c r="L26" s="17" t="inlineStr">
        <is>
          <t>29.10.2024 19:56:33</t>
        </is>
      </c>
      <c r="M26" s="17" t="inlineStr">
        <is>
          <t>1 min</t>
        </is>
      </c>
      <c r="N26" s="17" t="inlineStr">
        <is>
          <t xml:space="preserve">          9K             7K             5K</t>
        </is>
      </c>
      <c r="O26" s="17" t="inlineStr">
        <is>
          <t>9owhD5tUKSk3cMtzSmTBrVnNY5cewvs8FqkHNtDjpump</t>
        </is>
      </c>
      <c r="P26" s="17">
        <f>HYPERLINK("https://photon-sol.tinyastro.io/en/lp/9owhD5tUKSk3cMtzSmTBrVnNY5cewvs8FqkHNtDjpump?handle=676050794bc1b1657a56b", "View")</f>
        <v/>
      </c>
    </row>
    <row r="27">
      <c r="A27" s="20" t="inlineStr">
        <is>
          <t>tokidoki</t>
        </is>
      </c>
      <c r="B27" s="21" t="n">
        <v>130945</v>
      </c>
      <c r="C27" s="21" t="n">
        <v>130945</v>
      </c>
      <c r="D27" s="21" t="inlineStr">
        <is>
          <t>0.000610</t>
        </is>
      </c>
      <c r="E27" s="21" t="inlineStr">
        <is>
          <t>0.100 SOL</t>
        </is>
      </c>
      <c r="F27" s="21" t="inlineStr">
        <is>
          <t>0.111 SOL</t>
        </is>
      </c>
      <c r="G27" s="22" t="inlineStr">
        <is>
          <t>0.010 SOL</t>
        </is>
      </c>
      <c r="H27" s="22" t="inlineStr">
        <is>
          <t>10.25%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18:05:45</t>
        </is>
      </c>
      <c r="M27" s="21" t="inlineStr">
        <is>
          <t>36 min</t>
        </is>
      </c>
      <c r="N27" s="21" t="inlineStr">
        <is>
          <t xml:space="preserve">        133K           149K            42K</t>
        </is>
      </c>
      <c r="O27" s="21" t="inlineStr">
        <is>
          <t>AqpJ2uRYEFdmsL1gZuQoMkWof8YRuuBVMm8dkNK7pump</t>
        </is>
      </c>
      <c r="P27" s="21">
        <f>HYPERLINK("https://dexscreener.com/solana/AqpJ2uRYEFdmsL1gZuQoMkWof8YRuuBVMm8dkNK7pump", "View")</f>
        <v/>
      </c>
    </row>
    <row r="28">
      <c r="A28" s="16" t="inlineStr">
        <is>
          <t>inevitable</t>
        </is>
      </c>
      <c r="B28" s="17" t="n">
        <v>952942</v>
      </c>
      <c r="C28" s="17" t="n">
        <v>952942</v>
      </c>
      <c r="D28" s="17" t="inlineStr">
        <is>
          <t>0.000910</t>
        </is>
      </c>
      <c r="E28" s="17" t="inlineStr">
        <is>
          <t>0.181 SOL</t>
        </is>
      </c>
      <c r="F28" s="17" t="inlineStr">
        <is>
          <t>0.195 SOL</t>
        </is>
      </c>
      <c r="G28" s="22" t="inlineStr">
        <is>
          <t>0.013 SOL</t>
        </is>
      </c>
      <c r="H28" s="22" t="inlineStr">
        <is>
          <t>7.26%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17:40:47</t>
        </is>
      </c>
      <c r="M28" s="17" t="inlineStr">
        <is>
          <t>9 min</t>
        </is>
      </c>
      <c r="N28" s="17" t="inlineStr">
        <is>
          <t xml:space="preserve">         33K            35K             4K</t>
        </is>
      </c>
      <c r="O28" s="17" t="inlineStr">
        <is>
          <t>DB1FT4csdumB9g8bg2vfNpSjxYtWBQSwPM7GfebNpump</t>
        </is>
      </c>
      <c r="P28" s="17">
        <f>HYPERLINK("https://photon-sol.tinyastro.io/en/lp/DB1FT4csdumB9g8bg2vfNpSjxYtWBQSwPM7GfebNpump?handle=676050794bc1b1657a56b", "View")</f>
        <v/>
      </c>
    </row>
    <row r="29">
      <c r="A29" s="20" t="inlineStr">
        <is>
          <t>e/monk</t>
        </is>
      </c>
      <c r="B29" s="21" t="n">
        <v>272392</v>
      </c>
      <c r="C29" s="21" t="n">
        <v>272392</v>
      </c>
      <c r="D29" s="21" t="inlineStr">
        <is>
          <t>0.000910</t>
        </is>
      </c>
      <c r="E29" s="21" t="inlineStr">
        <is>
          <t>0.079 SOL</t>
        </is>
      </c>
      <c r="F29" s="21" t="inlineStr">
        <is>
          <t>0.028 SOL</t>
        </is>
      </c>
      <c r="G29" s="23" t="inlineStr">
        <is>
          <t>-0.052 SOL</t>
        </is>
      </c>
      <c r="H29" s="23" t="inlineStr">
        <is>
          <t>-64.53%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29.10.2024 07:48:52</t>
        </is>
      </c>
      <c r="M29" s="21" t="inlineStr">
        <is>
          <t>5 hours</t>
        </is>
      </c>
      <c r="N29" s="21" t="inlineStr">
        <is>
          <t xml:space="preserve">         51K            51K            12K</t>
        </is>
      </c>
      <c r="O29" s="21" t="inlineStr">
        <is>
          <t>C8NYBumh8XaCVRg3oGEzVqHk6gUipgjbTEQ93HXopump</t>
        </is>
      </c>
      <c r="P29" s="21">
        <f>HYPERLINK("https://photon-sol.tinyastro.io/en/lp/C8NYBumh8XaCVRg3oGEzVqHk6gUipgjbTEQ93HXopump?handle=676050794bc1b1657a56b", "View")</f>
        <v/>
      </c>
    </row>
    <row r="30">
      <c r="A30" s="16" t="inlineStr">
        <is>
          <t>LUCERDIO</t>
        </is>
      </c>
      <c r="B30" s="17" t="n">
        <v>426333</v>
      </c>
      <c r="C30" s="17" t="n">
        <v>426333</v>
      </c>
      <c r="D30" s="17" t="inlineStr">
        <is>
          <t>0.015460</t>
        </is>
      </c>
      <c r="E30" s="17" t="inlineStr">
        <is>
          <t>0.155 SOL</t>
        </is>
      </c>
      <c r="F30" s="17" t="inlineStr">
        <is>
          <t>0.035 SOL</t>
        </is>
      </c>
      <c r="G30" s="23" t="inlineStr">
        <is>
          <t>-0.135 SOL</t>
        </is>
      </c>
      <c r="H30" s="23" t="inlineStr">
        <is>
          <t>-79.23%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28.10.2024 19:57:45</t>
        </is>
      </c>
      <c r="M30" s="19" t="inlineStr">
        <is>
          <t>15 sec</t>
        </is>
      </c>
      <c r="N30" s="17" t="inlineStr">
        <is>
          <t xml:space="preserve">         63K            14K             4K</t>
        </is>
      </c>
      <c r="O30" s="17" t="inlineStr">
        <is>
          <t>BiTY1AwEdZqq3Jru6zFyVjp7qsA3okqnyuTEkkJMpump</t>
        </is>
      </c>
      <c r="P30" s="17">
        <f>HYPERLINK("https://dexscreener.com/solana/BiTY1AwEdZqq3Jru6zFyVjp7qsA3okqnyuTEkkJMpump", "View")</f>
        <v/>
      </c>
    </row>
    <row r="31">
      <c r="A31" s="20" t="inlineStr">
        <is>
          <t>KILO</t>
        </is>
      </c>
      <c r="B31" s="21" t="n">
        <v>1495357</v>
      </c>
      <c r="C31" s="21" t="n">
        <v>1495357</v>
      </c>
      <c r="D31" s="21" t="inlineStr">
        <is>
          <t>0.000910</t>
        </is>
      </c>
      <c r="E31" s="21" t="inlineStr">
        <is>
          <t>0.133 SOL</t>
        </is>
      </c>
      <c r="F31" s="21" t="inlineStr">
        <is>
          <t>0.080 SOL</t>
        </is>
      </c>
      <c r="G31" s="25" t="inlineStr">
        <is>
          <t>-0.054 SOL</t>
        </is>
      </c>
      <c r="H31" s="25" t="inlineStr">
        <is>
          <t>-40.17%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28.10.2024 19:35:16</t>
        </is>
      </c>
      <c r="M31" s="21" t="inlineStr">
        <is>
          <t>1 min</t>
        </is>
      </c>
      <c r="N31" s="21" t="inlineStr">
        <is>
          <t xml:space="preserve">         16K            16K             5K</t>
        </is>
      </c>
      <c r="O31" s="21" t="inlineStr">
        <is>
          <t>3HnuaUhWLstagPZM9nR1dmhmGPeJxmmqz4VNUHVkpump</t>
        </is>
      </c>
      <c r="P31" s="21">
        <f>HYPERLINK("https://photon-sol.tinyastro.io/en/lp/3HnuaUhWLstagPZM9nR1dmhmGPeJxmmqz4VNUHVkpump?handle=676050794bc1b1657a56b", "View")</f>
        <v/>
      </c>
    </row>
    <row r="32">
      <c r="A32" s="16" t="inlineStr">
        <is>
          <t>LUCIFER</t>
        </is>
      </c>
      <c r="B32" s="17" t="n">
        <v>878090</v>
      </c>
      <c r="C32" s="17" t="n">
        <v>878090</v>
      </c>
      <c r="D32" s="17" t="inlineStr">
        <is>
          <t>0.000910</t>
        </is>
      </c>
      <c r="E32" s="17" t="inlineStr">
        <is>
          <t>0.155 SOL</t>
        </is>
      </c>
      <c r="F32" s="17" t="inlineStr">
        <is>
          <t>0.142 SOL</t>
        </is>
      </c>
      <c r="G32" s="25" t="inlineStr">
        <is>
          <t>-0.014 SOL</t>
        </is>
      </c>
      <c r="H32" s="25" t="inlineStr">
        <is>
          <t>-8.93%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28.10.2024 19:13:28</t>
        </is>
      </c>
      <c r="M32" s="17" t="inlineStr">
        <is>
          <t>15 min</t>
        </is>
      </c>
      <c r="N32" s="17" t="inlineStr">
        <is>
          <t xml:space="preserve">         32K            28K            29K</t>
        </is>
      </c>
      <c r="O32" s="17" t="inlineStr">
        <is>
          <t>5cdU1CWGFxcgAG3vLbrTi48AsH1ZL2oMRAGDJLrWpump</t>
        </is>
      </c>
      <c r="P32" s="17">
        <f>HYPERLINK("https://dexscreener.com/solana/5cdU1CWGFxcgAG3vLbrTi48AsH1ZL2oMRAGDJLrWpump", "View")</f>
        <v/>
      </c>
    </row>
    <row r="33">
      <c r="A33" s="20" t="inlineStr">
        <is>
          <t>Apple AI</t>
        </is>
      </c>
      <c r="B33" s="21" t="n">
        <v>2470606</v>
      </c>
      <c r="C33" s="21" t="n">
        <v>2470606</v>
      </c>
      <c r="D33" s="21" t="inlineStr">
        <is>
          <t>0.000910</t>
        </is>
      </c>
      <c r="E33" s="21" t="inlineStr">
        <is>
          <t>0.141 SOL</t>
        </is>
      </c>
      <c r="F33" s="21" t="inlineStr">
        <is>
          <t>0.089 SOL</t>
        </is>
      </c>
      <c r="G33" s="25" t="inlineStr">
        <is>
          <t>-0.053 SOL</t>
        </is>
      </c>
      <c r="H33" s="25" t="inlineStr">
        <is>
          <t>-37.14%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28.10.2024 18:59:55</t>
        </is>
      </c>
      <c r="M33" s="19" t="inlineStr">
        <is>
          <t>59 sec</t>
        </is>
      </c>
      <c r="N33" s="21" t="inlineStr">
        <is>
          <t xml:space="preserve">        N/A           N/A           N/A</t>
        </is>
      </c>
      <c r="O33" s="21" t="inlineStr">
        <is>
          <t>FSbaYcPkhr7hZFNH1um7UxDUVByDkvq8r75yXekspump</t>
        </is>
      </c>
      <c r="P33" s="21">
        <f>HYPERLINK("https://photon-sol.tinyastro.io/en/lp/FSbaYcPkhr7hZFNH1um7UxDUVByDkvq8r75yXekspump?handle=676050794bc1b1657a56b", "View")</f>
        <v/>
      </c>
    </row>
    <row r="34">
      <c r="A34" s="16" t="inlineStr">
        <is>
          <t>💯</t>
        </is>
      </c>
      <c r="B34" s="17" t="n">
        <v>1376815</v>
      </c>
      <c r="C34" s="17" t="n">
        <v>1376815</v>
      </c>
      <c r="D34" s="17" t="inlineStr">
        <is>
          <t>0.000910</t>
        </is>
      </c>
      <c r="E34" s="17" t="inlineStr">
        <is>
          <t>0.159 SOL</t>
        </is>
      </c>
      <c r="F34" s="17" t="inlineStr">
        <is>
          <t>0.166 SOL</t>
        </is>
      </c>
      <c r="G34" s="22" t="inlineStr">
        <is>
          <t>0.006 SOL</t>
        </is>
      </c>
      <c r="H34" s="22" t="inlineStr">
        <is>
          <t>3.97%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28.10.2024 16:19:50</t>
        </is>
      </c>
      <c r="M34" s="17" t="inlineStr">
        <is>
          <t>5 hours</t>
        </is>
      </c>
      <c r="N34" s="17" t="inlineStr">
        <is>
          <t xml:space="preserve">         21K            21K             6K</t>
        </is>
      </c>
      <c r="O34" s="17" t="inlineStr">
        <is>
          <t>2W5HCkA5yEJLD16fsPsjgLzZxHn8Bemr9Yk51EsUidPk</t>
        </is>
      </c>
      <c r="P34" s="17">
        <f>HYPERLINK("https://dexscreener.com/solana/2W5HCkA5yEJLD16fsPsjgLzZxHn8Bemr9Yk51EsUidPk", "View")</f>
        <v/>
      </c>
    </row>
    <row r="35">
      <c r="A35" s="20" t="inlineStr">
        <is>
          <t>IBM</t>
        </is>
      </c>
      <c r="B35" s="21" t="n">
        <v>2533374</v>
      </c>
      <c r="C35" s="21" t="n">
        <v>2533374</v>
      </c>
      <c r="D35" s="21" t="inlineStr">
        <is>
          <t>0.000910</t>
        </is>
      </c>
      <c r="E35" s="21" t="inlineStr">
        <is>
          <t>0.125 SOL</t>
        </is>
      </c>
      <c r="F35" s="21" t="inlineStr">
        <is>
          <t>0.109 SOL</t>
        </is>
      </c>
      <c r="G35" s="25" t="inlineStr">
        <is>
          <t>-0.017 SOL</t>
        </is>
      </c>
      <c r="H35" s="25" t="inlineStr">
        <is>
          <t>-13.59%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27.10.2024 22:49:42</t>
        </is>
      </c>
      <c r="M35" s="19" t="inlineStr">
        <is>
          <t>27 sec</t>
        </is>
      </c>
      <c r="N35" s="21" t="inlineStr">
        <is>
          <t xml:space="preserve">          8K             7K             5K</t>
        </is>
      </c>
      <c r="O35" s="21" t="inlineStr">
        <is>
          <t>6pND53RSQqB7mEJW8cBkJq3UJL8GEBjo689Wyqfppump</t>
        </is>
      </c>
      <c r="P35" s="21">
        <f>HYPERLINK("https://dexscreener.com/solana/6pND53RSQqB7mEJW8cBkJq3UJL8GEBjo689Wyqfppump", "View")</f>
        <v/>
      </c>
    </row>
    <row r="36">
      <c r="A36" s="16" t="inlineStr">
        <is>
          <t>MEMEMAXI</t>
        </is>
      </c>
      <c r="B36" s="17" t="n">
        <v>548712</v>
      </c>
      <c r="C36" s="17" t="n">
        <v>498710</v>
      </c>
      <c r="D36" s="17" t="inlineStr">
        <is>
          <t>0.062290</t>
        </is>
      </c>
      <c r="E36" s="17" t="inlineStr">
        <is>
          <t>0.425 SOL</t>
        </is>
      </c>
      <c r="F36" s="17" t="inlineStr">
        <is>
          <t>1.063 SOL</t>
        </is>
      </c>
      <c r="G36" s="24" t="inlineStr">
        <is>
          <t>0.576 SOL</t>
        </is>
      </c>
      <c r="H36" s="24" t="inlineStr">
        <is>
          <t>118.22%</t>
        </is>
      </c>
      <c r="I36" s="17" t="inlineStr">
        <is>
          <t>N/A</t>
        </is>
      </c>
      <c r="J36" s="17" t="n">
        <v>2</v>
      </c>
      <c r="K36" s="17" t="n">
        <v>5</v>
      </c>
      <c r="L36" s="17" t="inlineStr">
        <is>
          <t>27.10.2024 22:48:08</t>
        </is>
      </c>
      <c r="M36" s="17" t="inlineStr">
        <is>
          <t>1 hours</t>
        </is>
      </c>
      <c r="N36" s="17" t="inlineStr">
        <is>
          <t xml:space="preserve">        151K           335K            12K</t>
        </is>
      </c>
      <c r="O36" s="17" t="inlineStr">
        <is>
          <t>Cc4sinjiaruP69C7Eotftsu2AjFHAaKZyGtpaLbApump</t>
        </is>
      </c>
      <c r="P36" s="17">
        <f>HYPERLINK("https://dexscreener.com/solana/Cc4sinjiaruP69C7Eotftsu2AjFHAaKZyGtpaLbApump", "View")</f>
        <v/>
      </c>
    </row>
    <row r="37">
      <c r="A37" s="20" t="inlineStr">
        <is>
          <t>TATETANIC</t>
        </is>
      </c>
      <c r="B37" s="21" t="n">
        <v>1087975</v>
      </c>
      <c r="C37" s="21" t="n">
        <v>1087975</v>
      </c>
      <c r="D37" s="21" t="inlineStr">
        <is>
          <t>0.001370</t>
        </is>
      </c>
      <c r="E37" s="21" t="inlineStr">
        <is>
          <t>0.288 SOL</t>
        </is>
      </c>
      <c r="F37" s="21" t="inlineStr">
        <is>
          <t>0.209 SOL</t>
        </is>
      </c>
      <c r="G37" s="25" t="inlineStr">
        <is>
          <t>-0.080 SOL</t>
        </is>
      </c>
      <c r="H37" s="25" t="inlineStr">
        <is>
          <t>-27.76%</t>
        </is>
      </c>
      <c r="I37" s="21" t="inlineStr">
        <is>
          <t>N/A</t>
        </is>
      </c>
      <c r="J37" s="21" t="n">
        <v>2</v>
      </c>
      <c r="K37" s="21" t="n">
        <v>1</v>
      </c>
      <c r="L37" s="21" t="inlineStr">
        <is>
          <t>27.10.2024 22:00:40</t>
        </is>
      </c>
      <c r="M37" s="21" t="inlineStr">
        <is>
          <t>3 min</t>
        </is>
      </c>
      <c r="N37" s="21" t="inlineStr">
        <is>
          <t xml:space="preserve">         49K            33K            49K</t>
        </is>
      </c>
      <c r="O37" s="21" t="inlineStr">
        <is>
          <t>BGpagh9pKjWCxuZHte4eC4y5TVAa7AZ8unVUaACMG9ZS</t>
        </is>
      </c>
      <c r="P37" s="21">
        <f>HYPERLINK("https://photon-sol.tinyastro.io/en/lp/BGpagh9pKjWCxuZHte4eC4y5TVAa7AZ8unVUaACMG9ZS?handle=676050794bc1b1657a56b", "View")</f>
        <v/>
      </c>
    </row>
    <row r="38">
      <c r="A38" s="16" t="inlineStr">
        <is>
          <t>myst</t>
        </is>
      </c>
      <c r="B38" s="17" t="n">
        <v>413692</v>
      </c>
      <c r="C38" s="17" t="n">
        <v>263145</v>
      </c>
      <c r="D38" s="17" t="inlineStr">
        <is>
          <t>0.016830</t>
        </is>
      </c>
      <c r="E38" s="17" t="inlineStr">
        <is>
          <t>0.124 SOL</t>
        </is>
      </c>
      <c r="F38" s="17" t="inlineStr">
        <is>
          <t>0.583 SOL</t>
        </is>
      </c>
      <c r="G38" s="24" t="inlineStr">
        <is>
          <t>0.442 SOL</t>
        </is>
      </c>
      <c r="H38" s="24" t="inlineStr">
        <is>
          <t>314.93%</t>
        </is>
      </c>
      <c r="I38" s="17" t="inlineStr">
        <is>
          <t>N/A</t>
        </is>
      </c>
      <c r="J38" s="17" t="n">
        <v>1</v>
      </c>
      <c r="K38" s="17" t="n">
        <v>4</v>
      </c>
      <c r="L38" s="17" t="inlineStr">
        <is>
          <t>27.10.2024 21:21:00</t>
        </is>
      </c>
      <c r="M38" s="17" t="inlineStr">
        <is>
          <t>20 hours</t>
        </is>
      </c>
      <c r="N38" s="17" t="inlineStr">
        <is>
          <t xml:space="preserve">         49K           364K           175K</t>
        </is>
      </c>
      <c r="O38" s="17" t="inlineStr">
        <is>
          <t>Dvmw8Nq6SRoxFWP36PWRycuY8NfT7qHHGa7k3wPTbWWD</t>
        </is>
      </c>
      <c r="P38" s="17">
        <f>HYPERLINK("https://dexscreener.com/solana/Dvmw8Nq6SRoxFWP36PWRycuY8NfT7qHHGa7k3wPTbWWD", "View")</f>
        <v/>
      </c>
    </row>
    <row r="39">
      <c r="A39" s="20" t="inlineStr">
        <is>
          <t>TateAI</t>
        </is>
      </c>
      <c r="B39" s="21" t="n">
        <v>97436</v>
      </c>
      <c r="C39" s="21" t="n">
        <v>49497</v>
      </c>
      <c r="D39" s="21" t="inlineStr">
        <is>
          <t>0.001370</t>
        </is>
      </c>
      <c r="E39" s="21" t="inlineStr">
        <is>
          <t>0.240 SOL</t>
        </is>
      </c>
      <c r="F39" s="21" t="inlineStr">
        <is>
          <t>0.253 SOL</t>
        </is>
      </c>
      <c r="G39" s="22" t="inlineStr">
        <is>
          <t>0.012 SOL</t>
        </is>
      </c>
      <c r="H39" s="22" t="inlineStr">
        <is>
          <t>4.98%</t>
        </is>
      </c>
      <c r="I39" s="21" t="inlineStr">
        <is>
          <t>N/A</t>
        </is>
      </c>
      <c r="J39" s="21" t="n">
        <v>2</v>
      </c>
      <c r="K39" s="21" t="n">
        <v>1</v>
      </c>
      <c r="L39" s="21" t="inlineStr">
        <is>
          <t>27.10.2024 21:20:39</t>
        </is>
      </c>
      <c r="M39" s="21" t="inlineStr">
        <is>
          <t>11 min</t>
        </is>
      </c>
      <c r="N39" s="21" t="inlineStr">
        <is>
          <t xml:space="preserve">        474K           899K           659K</t>
        </is>
      </c>
      <c r="O39" s="21" t="inlineStr">
        <is>
          <t>BoBj68cWnCvzMNUKzJyR7Jq7tLM3v76D1pYL1E8rpump</t>
        </is>
      </c>
      <c r="P39" s="21">
        <f>HYPERLINK("https://dexscreener.com/solana/BoBj68cWnCvzMNUKzJyR7Jq7tLM3v76D1pYL1E8rpump", "View")</f>
        <v/>
      </c>
    </row>
    <row r="40">
      <c r="A40" s="16" t="inlineStr">
        <is>
          <t>TIMMY</t>
        </is>
      </c>
      <c r="B40" s="17" t="n">
        <v>895880</v>
      </c>
      <c r="C40" s="17" t="n">
        <v>895880</v>
      </c>
      <c r="D40" s="17" t="inlineStr">
        <is>
          <t>0.000910</t>
        </is>
      </c>
      <c r="E40" s="17" t="inlineStr">
        <is>
          <t>0.111 SOL</t>
        </is>
      </c>
      <c r="F40" s="17" t="inlineStr">
        <is>
          <t>0.097 SOL</t>
        </is>
      </c>
      <c r="G40" s="25" t="inlineStr">
        <is>
          <t>-0.015 SOL</t>
        </is>
      </c>
      <c r="H40" s="25" t="inlineStr">
        <is>
          <t>-13.47%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27.10.2024 00:35:47</t>
        </is>
      </c>
      <c r="M40" s="17" t="inlineStr">
        <is>
          <t>1 min</t>
        </is>
      </c>
      <c r="N40" s="17" t="inlineStr">
        <is>
          <t xml:space="preserve">         21K            19K             5K</t>
        </is>
      </c>
      <c r="O40" s="17" t="inlineStr">
        <is>
          <t>DZw5sP9sKaYw7b7Qtj74qLmEidw3rBBxnsiTJbPMpump</t>
        </is>
      </c>
      <c r="P40" s="17">
        <f>HYPERLINK("https://photon-sol.tinyastro.io/en/lp/DZw5sP9sKaYw7b7Qtj74qLmEidw3rBBxnsiTJbPMpump?handle=676050794bc1b1657a56b", "View")</f>
        <v/>
      </c>
    </row>
    <row r="41">
      <c r="A41" s="20" t="inlineStr">
        <is>
          <t>TOOMUCH</t>
        </is>
      </c>
      <c r="B41" s="21" t="n">
        <v>1134502</v>
      </c>
      <c r="C41" s="21" t="n">
        <v>1134502</v>
      </c>
      <c r="D41" s="21" t="inlineStr">
        <is>
          <t>0.000910</t>
        </is>
      </c>
      <c r="E41" s="21" t="inlineStr">
        <is>
          <t>0.125 SOL</t>
        </is>
      </c>
      <c r="F41" s="21" t="inlineStr">
        <is>
          <t>0.031 SOL</t>
        </is>
      </c>
      <c r="G41" s="23" t="inlineStr">
        <is>
          <t>-0.094 SOL</t>
        </is>
      </c>
      <c r="H41" s="23" t="inlineStr">
        <is>
          <t>-74.96%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27.10.2024 00:29:28</t>
        </is>
      </c>
      <c r="M41" s="21" t="inlineStr">
        <is>
          <t>2 hours</t>
        </is>
      </c>
      <c r="N41" s="21" t="inlineStr">
        <is>
          <t xml:space="preserve">         19K            19K             5K</t>
        </is>
      </c>
      <c r="O41" s="21" t="inlineStr">
        <is>
          <t>EoANnf7Y4ESWYMUP7347N8RTVjeXL2DUeuDCwKxJpump</t>
        </is>
      </c>
      <c r="P41" s="21">
        <f>HYPERLINK("https://photon-sol.tinyastro.io/en/lp/EoANnf7Y4ESWYMUP7347N8RTVjeXL2DUeuDCwKxJpump?handle=676050794bc1b1657a56b", "View")</f>
        <v/>
      </c>
    </row>
    <row r="42">
      <c r="A42" s="16" t="inlineStr">
        <is>
          <t>minecraft</t>
        </is>
      </c>
      <c r="B42" s="17" t="n">
        <v>1477483</v>
      </c>
      <c r="C42" s="17" t="n">
        <v>1477483</v>
      </c>
      <c r="D42" s="17" t="inlineStr">
        <is>
          <t>0.000910</t>
        </is>
      </c>
      <c r="E42" s="17" t="inlineStr">
        <is>
          <t>0.125 SOL</t>
        </is>
      </c>
      <c r="F42" s="17" t="inlineStr">
        <is>
          <t>0.128 SOL</t>
        </is>
      </c>
      <c r="G42" s="22" t="inlineStr">
        <is>
          <t>0.002 SOL</t>
        </is>
      </c>
      <c r="H42" s="22" t="inlineStr">
        <is>
          <t>1.39%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26.10.2024 23:39:53</t>
        </is>
      </c>
      <c r="M42" s="17" t="inlineStr">
        <is>
          <t>19 min</t>
        </is>
      </c>
      <c r="N42" s="17" t="inlineStr">
        <is>
          <t xml:space="preserve">         14K            16K             5K</t>
        </is>
      </c>
      <c r="O42" s="17" t="inlineStr">
        <is>
          <t>36ctZjjAYJ1AFZDX3B5n5AvsKTsuetN3gPB9vNDbpump</t>
        </is>
      </c>
      <c r="P42" s="17">
        <f>HYPERLINK("https://photon-sol.tinyastro.io/en/lp/36ctZjjAYJ1AFZDX3B5n5AvsKTsuetN3gPB9vNDbpump?handle=676050794bc1b1657a56b", "View")</f>
        <v/>
      </c>
    </row>
    <row r="43">
      <c r="A43" s="20" t="inlineStr">
        <is>
          <t>vrdog</t>
        </is>
      </c>
      <c r="B43" s="21" t="n">
        <v>1158138</v>
      </c>
      <c r="C43" s="21" t="n">
        <v>1158138</v>
      </c>
      <c r="D43" s="21" t="inlineStr">
        <is>
          <t>0.000910</t>
        </is>
      </c>
      <c r="E43" s="21" t="inlineStr">
        <is>
          <t>0.125 SOL</t>
        </is>
      </c>
      <c r="F43" s="21" t="inlineStr">
        <is>
          <t>0.041 SOL</t>
        </is>
      </c>
      <c r="G43" s="23" t="inlineStr">
        <is>
          <t>-0.085 SOL</t>
        </is>
      </c>
      <c r="H43" s="23" t="inlineStr">
        <is>
          <t>-67.62%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26.10.2024 23:18:29</t>
        </is>
      </c>
      <c r="M43" s="21" t="inlineStr">
        <is>
          <t>4 min</t>
        </is>
      </c>
      <c r="N43" s="21" t="inlineStr">
        <is>
          <t xml:space="preserve">         19K             7K             5K</t>
        </is>
      </c>
      <c r="O43" s="21" t="inlineStr">
        <is>
          <t>H3JYLKrtXYGh9o9VxmabkQgbgDao2fLmyQoykyM5pump</t>
        </is>
      </c>
      <c r="P43" s="21">
        <f>HYPERLINK("https://photon-sol.tinyastro.io/en/lp/H3JYLKrtXYGh9o9VxmabkQgbgDao2fLmyQoykyM5pump?handle=676050794bc1b1657a56b", "View")</f>
        <v/>
      </c>
    </row>
    <row r="44">
      <c r="A44" s="16" t="inlineStr">
        <is>
          <t>TNT</t>
        </is>
      </c>
      <c r="B44" s="17" t="n">
        <v>52983352</v>
      </c>
      <c r="C44" s="17" t="n">
        <v>52983352</v>
      </c>
      <c r="D44" s="17" t="inlineStr">
        <is>
          <t>0.016830</t>
        </is>
      </c>
      <c r="E44" s="17" t="inlineStr">
        <is>
          <t>3.473 SOL</t>
        </is>
      </c>
      <c r="F44" s="17" t="inlineStr">
        <is>
          <t>3.641 SOL</t>
        </is>
      </c>
      <c r="G44" s="22" t="inlineStr">
        <is>
          <t>0.151 SOL</t>
        </is>
      </c>
      <c r="H44" s="22" t="inlineStr">
        <is>
          <t>4.32%</t>
        </is>
      </c>
      <c r="I44" s="17" t="inlineStr">
        <is>
          <t>N/A</t>
        </is>
      </c>
      <c r="J44" s="17" t="n">
        <v>3</v>
      </c>
      <c r="K44" s="17" t="n">
        <v>2</v>
      </c>
      <c r="L44" s="17" t="inlineStr">
        <is>
          <t>26.10.2024 22:23:52</t>
        </is>
      </c>
      <c r="M44" s="17" t="inlineStr">
        <is>
          <t>1 hours</t>
        </is>
      </c>
      <c r="N44" s="17" t="inlineStr">
        <is>
          <t xml:space="preserve">        N/A           N/A           N/A</t>
        </is>
      </c>
      <c r="O44" s="17" t="inlineStr">
        <is>
          <t>8kugrMSq1XXTDeJ1b1GtfUi9J3DZBu1qxzj5zScJ7aM2</t>
        </is>
      </c>
      <c r="P44" s="17">
        <f>HYPERLINK("https://photon-sol.tinyastro.io/en/lp/8kugrMSq1XXTDeJ1b1GtfUi9J3DZBu1qxzj5zScJ7aM2?handle=676050794bc1b1657a56b", "View")</f>
        <v/>
      </c>
    </row>
    <row r="45">
      <c r="A45" s="20" t="inlineStr">
        <is>
          <t>Herobrine</t>
        </is>
      </c>
      <c r="B45" s="21" t="n">
        <v>333028</v>
      </c>
      <c r="C45" s="21" t="n">
        <v>333028</v>
      </c>
      <c r="D45" s="21" t="inlineStr">
        <is>
          <t>0.000910</t>
        </is>
      </c>
      <c r="E45" s="21" t="inlineStr">
        <is>
          <t>0.120 SOL</t>
        </is>
      </c>
      <c r="F45" s="21" t="inlineStr">
        <is>
          <t>0.027 SOL</t>
        </is>
      </c>
      <c r="G45" s="23" t="inlineStr">
        <is>
          <t>-0.094 SOL</t>
        </is>
      </c>
      <c r="H45" s="23" t="inlineStr">
        <is>
          <t>-77.48%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26.10.2024 21:29:37</t>
        </is>
      </c>
      <c r="M45" s="21" t="inlineStr">
        <is>
          <t>2 min</t>
        </is>
      </c>
      <c r="N45" s="21" t="inlineStr">
        <is>
          <t xml:space="preserve">         63K            14K             4K</t>
        </is>
      </c>
      <c r="O45" s="21" t="inlineStr">
        <is>
          <t>EkJcSvtA9ysD23x2hcuQZWoD8ZMHQSZrT8a4p3Fzpump</t>
        </is>
      </c>
      <c r="P45" s="21">
        <f>HYPERLINK("https://dexscreener.com/solana/EkJcSvtA9ysD23x2hcuQZWoD8ZMHQSZrT8a4p3Fzpump", "View")</f>
        <v/>
      </c>
    </row>
    <row r="46">
      <c r="A46" s="16" t="inlineStr">
        <is>
          <t>Solcraft</t>
        </is>
      </c>
      <c r="B46" s="17" t="n">
        <v>13044454</v>
      </c>
      <c r="C46" s="17" t="n">
        <v>13044454</v>
      </c>
      <c r="D46" s="17" t="inlineStr">
        <is>
          <t>0.015460</t>
        </is>
      </c>
      <c r="E46" s="17" t="inlineStr">
        <is>
          <t>0.528 SOL</t>
        </is>
      </c>
      <c r="F46" s="17" t="inlineStr">
        <is>
          <t>0.486 SOL</t>
        </is>
      </c>
      <c r="G46" s="25" t="inlineStr">
        <is>
          <t>-0.057 SOL</t>
        </is>
      </c>
      <c r="H46" s="25" t="inlineStr">
        <is>
          <t>-10.48%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26.10.2024 19:53:06</t>
        </is>
      </c>
      <c r="M46" s="17" t="inlineStr">
        <is>
          <t>2 min</t>
        </is>
      </c>
      <c r="N46" s="17" t="inlineStr">
        <is>
          <t xml:space="preserve">          7K             7K             5K</t>
        </is>
      </c>
      <c r="O46" s="17" t="inlineStr">
        <is>
          <t>9Ygox6RyFtueHUT3uihApDHrf64g7RAHk4ARbMFFpump</t>
        </is>
      </c>
      <c r="P46" s="17">
        <f>HYPERLINK("https://photon-sol.tinyastro.io/en/lp/9Ygox6RyFtueHUT3uihApDHrf64g7RAHk4ARbMFFpump?handle=676050794bc1b1657a56b", "View")</f>
        <v/>
      </c>
    </row>
    <row r="47">
      <c r="A47" s="20" t="inlineStr">
        <is>
          <t>GOAT</t>
        </is>
      </c>
      <c r="B47" s="21" t="n">
        <v>13068511</v>
      </c>
      <c r="C47" s="21" t="n">
        <v>13068511</v>
      </c>
      <c r="D47" s="21" t="inlineStr">
        <is>
          <t>0.001820</t>
        </is>
      </c>
      <c r="E47" s="21" t="inlineStr">
        <is>
          <t>0.635 SOL</t>
        </is>
      </c>
      <c r="F47" s="21" t="inlineStr">
        <is>
          <t>0.993 SOL</t>
        </is>
      </c>
      <c r="G47" s="24" t="inlineStr">
        <is>
          <t>0.356 SOL</t>
        </is>
      </c>
      <c r="H47" s="24" t="inlineStr">
        <is>
          <t>55.95%</t>
        </is>
      </c>
      <c r="I47" s="21" t="inlineStr">
        <is>
          <t>N/A</t>
        </is>
      </c>
      <c r="J47" s="21" t="n">
        <v>2</v>
      </c>
      <c r="K47" s="21" t="n">
        <v>2</v>
      </c>
      <c r="L47" s="21" t="inlineStr">
        <is>
          <t>26.10.2024 18:37:06</t>
        </is>
      </c>
      <c r="M47" s="21" t="inlineStr">
        <is>
          <t>6 min</t>
        </is>
      </c>
      <c r="N47" s="21" t="inlineStr">
        <is>
          <t xml:space="preserve">          7K            11K             5K</t>
        </is>
      </c>
      <c r="O47" s="21" t="inlineStr">
        <is>
          <t>F8dweQWGrrCWPbDpiLprCum7MoqrtmascmR6Nvc4pump</t>
        </is>
      </c>
      <c r="P47" s="21">
        <f>HYPERLINK("https://photon-sol.tinyastro.io/en/lp/F8dweQWGrrCWPbDpiLprCum7MoqrtmascmR6Nvc4pump?handle=676050794bc1b1657a56b", "View")</f>
        <v/>
      </c>
    </row>
    <row r="48">
      <c r="A48" s="16" t="inlineStr">
        <is>
          <t>sword</t>
        </is>
      </c>
      <c r="B48" s="17" t="n">
        <v>1905446</v>
      </c>
      <c r="C48" s="17" t="n">
        <v>1905446</v>
      </c>
      <c r="D48" s="17" t="inlineStr">
        <is>
          <t>0.001370</t>
        </is>
      </c>
      <c r="E48" s="17" t="inlineStr">
        <is>
          <t>0.149 SOL</t>
        </is>
      </c>
      <c r="F48" s="17" t="inlineStr">
        <is>
          <t>0.166 SOL</t>
        </is>
      </c>
      <c r="G48" s="22" t="inlineStr">
        <is>
          <t>0.015 SOL</t>
        </is>
      </c>
      <c r="H48" s="22" t="inlineStr">
        <is>
          <t>9.94%</t>
        </is>
      </c>
      <c r="I48" s="17" t="inlineStr">
        <is>
          <t>N/A</t>
        </is>
      </c>
      <c r="J48" s="17" t="n">
        <v>2</v>
      </c>
      <c r="K48" s="17" t="n">
        <v>1</v>
      </c>
      <c r="L48" s="17" t="inlineStr">
        <is>
          <t>26.10.2024 18:32:33</t>
        </is>
      </c>
      <c r="M48" s="17" t="inlineStr">
        <is>
          <t>2 min</t>
        </is>
      </c>
      <c r="N48" s="17" t="inlineStr">
        <is>
          <t xml:space="preserve">        N/A           N/A           N/A</t>
        </is>
      </c>
      <c r="O48" s="17" t="inlineStr">
        <is>
          <t>BhfmJq2rMKpieEcxi7RYkUdGzW7JZenxMo3X6WJmPJ5w</t>
        </is>
      </c>
      <c r="P48" s="17">
        <f>HYPERLINK("https://photon-sol.tinyastro.io/en/lp/BhfmJq2rMKpieEcxi7RYkUdGzW7JZenxMo3X6WJmPJ5w?handle=676050794bc1b1657a56b", "View")</f>
        <v/>
      </c>
    </row>
    <row r="49">
      <c r="A49" s="20" t="inlineStr">
        <is>
          <t>SEND</t>
        </is>
      </c>
      <c r="B49" s="21" t="n">
        <v>140984</v>
      </c>
      <c r="C49" s="21" t="n">
        <v>140984</v>
      </c>
      <c r="D49" s="21" t="inlineStr">
        <is>
          <t>0.000910</t>
        </is>
      </c>
      <c r="E49" s="21" t="inlineStr">
        <is>
          <t>0.070 SOL</t>
        </is>
      </c>
      <c r="F49" s="21" t="inlineStr">
        <is>
          <t>0.069 SOL</t>
        </is>
      </c>
      <c r="G49" s="25" t="inlineStr">
        <is>
          <t>-0.002 SOL</t>
        </is>
      </c>
      <c r="H49" s="25" t="inlineStr">
        <is>
          <t>-3.29%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26.10.2024 18:31:23</t>
        </is>
      </c>
      <c r="M49" s="21" t="inlineStr">
        <is>
          <t>2 min</t>
        </is>
      </c>
      <c r="N49" s="21" t="inlineStr">
        <is>
          <t xml:space="preserve">         88K            86K             6K</t>
        </is>
      </c>
      <c r="O49" s="21" t="inlineStr">
        <is>
          <t>2dC9FjrKkETwhTKRp8JgNGV3fZFpLxf7J6gjzDKUPnUK</t>
        </is>
      </c>
      <c r="P49" s="21">
        <f>HYPERLINK("https://dexscreener.com/solana/2dC9FjrKkETwhTKRp8JgNGV3fZFpLxf7J6gjzDKUPnUK", "View")</f>
        <v/>
      </c>
    </row>
    <row r="50">
      <c r="A50" s="16" t="inlineStr">
        <is>
          <t>EDragon</t>
        </is>
      </c>
      <c r="B50" s="17" t="n">
        <v>17020365</v>
      </c>
      <c r="C50" s="17" t="n">
        <v>17020365</v>
      </c>
      <c r="D50" s="17" t="inlineStr">
        <is>
          <t>0.031830</t>
        </is>
      </c>
      <c r="E50" s="17" t="inlineStr">
        <is>
          <t>0.671 SOL</t>
        </is>
      </c>
      <c r="F50" s="17" t="inlineStr">
        <is>
          <t>0.685 SOL</t>
        </is>
      </c>
      <c r="G50" s="25" t="inlineStr">
        <is>
          <t>-0.018 SOL</t>
        </is>
      </c>
      <c r="H50" s="25" t="inlineStr">
        <is>
          <t>-2.50%</t>
        </is>
      </c>
      <c r="I50" s="17" t="inlineStr">
        <is>
          <t>N/A</t>
        </is>
      </c>
      <c r="J50" s="17" t="n">
        <v>5</v>
      </c>
      <c r="K50" s="17" t="n">
        <v>1</v>
      </c>
      <c r="L50" s="17" t="inlineStr">
        <is>
          <t>26.10.2024 15:22:10</t>
        </is>
      </c>
      <c r="M50" s="17" t="inlineStr">
        <is>
          <t>3 min</t>
        </is>
      </c>
      <c r="N50" s="17" t="inlineStr">
        <is>
          <t xml:space="preserve">          7K             7K             5K</t>
        </is>
      </c>
      <c r="O50" s="17" t="inlineStr">
        <is>
          <t>6TpTEnNmQ6bKJFD17W7eg5rVd8K8yJHcziky1zUbpump</t>
        </is>
      </c>
      <c r="P50" s="17">
        <f>HYPERLINK("https://photon-sol.tinyastro.io/en/lp/6TpTEnNmQ6bKJFD17W7eg5rVd8K8yJHcziky1zUbpump?handle=676050794bc1b1657a56b", "View")</f>
        <v/>
      </c>
    </row>
    <row r="51">
      <c r="A51" s="20" t="inlineStr">
        <is>
          <t>Saidali</t>
        </is>
      </c>
      <c r="B51" s="21" t="n">
        <v>1351222</v>
      </c>
      <c r="C51" s="21" t="n">
        <v>1351222</v>
      </c>
      <c r="D51" s="21" t="inlineStr">
        <is>
          <t>0.000910</t>
        </is>
      </c>
      <c r="E51" s="21" t="inlineStr">
        <is>
          <t>0.130 SOL</t>
        </is>
      </c>
      <c r="F51" s="21" t="inlineStr">
        <is>
          <t>0.071 SOL</t>
        </is>
      </c>
      <c r="G51" s="25" t="inlineStr">
        <is>
          <t>-0.060 SOL</t>
        </is>
      </c>
      <c r="H51" s="25" t="inlineStr">
        <is>
          <t>-45.88%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26.10.2024 12:15:53</t>
        </is>
      </c>
      <c r="M51" s="21" t="inlineStr">
        <is>
          <t>12 min</t>
        </is>
      </c>
      <c r="N51" s="21" t="inlineStr">
        <is>
          <t xml:space="preserve">         18K             9K             5K</t>
        </is>
      </c>
      <c r="O51" s="21" t="inlineStr">
        <is>
          <t>2URsUBsViebyJSA9kb1so4tHYyDh5p1A4XbWNyejpump</t>
        </is>
      </c>
      <c r="P51" s="21">
        <f>HYPERLINK("https://photon-sol.tinyastro.io/en/lp/2URsUBsViebyJSA9kb1so4tHYyDh5p1A4XbWNyejpump?handle=676050794bc1b1657a56b", "View")</f>
        <v/>
      </c>
    </row>
    <row r="52">
      <c r="A52" s="16" t="inlineStr">
        <is>
          <t>Austin</t>
        </is>
      </c>
      <c r="B52" s="17" t="n">
        <v>5635731</v>
      </c>
      <c r="C52" s="17" t="n">
        <v>5635731</v>
      </c>
      <c r="D52" s="17" t="inlineStr">
        <is>
          <t>0.001660</t>
        </is>
      </c>
      <c r="E52" s="17" t="inlineStr">
        <is>
          <t>0.428 SOL</t>
        </is>
      </c>
      <c r="F52" s="17" t="inlineStr">
        <is>
          <t>0.187 SOL</t>
        </is>
      </c>
      <c r="G52" s="23" t="inlineStr">
        <is>
          <t>-0.243 SOL</t>
        </is>
      </c>
      <c r="H52" s="23" t="inlineStr">
        <is>
          <t>-56.57%</t>
        </is>
      </c>
      <c r="I52" s="17" t="inlineStr">
        <is>
          <t>N/A</t>
        </is>
      </c>
      <c r="J52" s="17" t="n">
        <v>1</v>
      </c>
      <c r="K52" s="17" t="n">
        <v>1</v>
      </c>
      <c r="L52" s="17" t="inlineStr">
        <is>
          <t>26.10.2024 02:36:20</t>
        </is>
      </c>
      <c r="M52" s="17" t="inlineStr">
        <is>
          <t>34 min</t>
        </is>
      </c>
      <c r="N52" s="17" t="inlineStr">
        <is>
          <t xml:space="preserve">         14K             5K             5K</t>
        </is>
      </c>
      <c r="O52" s="17" t="inlineStr">
        <is>
          <t>9iGzyLXaZbTDeexPDcxyZrLYrpxPqGKtEVVNDbiopump</t>
        </is>
      </c>
      <c r="P52" s="17">
        <f>HYPERLINK("https://photon-sol.tinyastro.io/en/lp/9iGzyLXaZbTDeexPDcxyZrLYrpxPqGKtEVVNDbiopump?handle=676050794bc1b1657a56b", "View")</f>
        <v/>
      </c>
    </row>
    <row r="53">
      <c r="A53" s="20" t="inlineStr">
        <is>
          <t>FUCKISRAEL</t>
        </is>
      </c>
      <c r="B53" s="21" t="n">
        <v>19304914</v>
      </c>
      <c r="C53" s="21" t="n">
        <v>19304914</v>
      </c>
      <c r="D53" s="21" t="inlineStr">
        <is>
          <t>0.017740</t>
        </is>
      </c>
      <c r="E53" s="21" t="inlineStr">
        <is>
          <t>0.682 SOL</t>
        </is>
      </c>
      <c r="F53" s="21" t="inlineStr">
        <is>
          <t>0.739 SOL</t>
        </is>
      </c>
      <c r="G53" s="22" t="inlineStr">
        <is>
          <t>0.039 SOL</t>
        </is>
      </c>
      <c r="H53" s="22" t="inlineStr">
        <is>
          <t>5.61%</t>
        </is>
      </c>
      <c r="I53" s="21" t="inlineStr">
        <is>
          <t>N/A</t>
        </is>
      </c>
      <c r="J53" s="21" t="n">
        <v>6</v>
      </c>
      <c r="K53" s="21" t="n">
        <v>1</v>
      </c>
      <c r="L53" s="21" t="inlineStr">
        <is>
          <t>26.10.2024 00:31:32</t>
        </is>
      </c>
      <c r="M53" s="21" t="inlineStr">
        <is>
          <t>4 min</t>
        </is>
      </c>
      <c r="N53" s="21" t="inlineStr">
        <is>
          <t xml:space="preserve">          5K             7K             5K</t>
        </is>
      </c>
      <c r="O53" s="21" t="inlineStr">
        <is>
          <t>F56f7K8FV9RjaCPRoQ5Q5Dy6SFoDEF52s5uTZCR1pump</t>
        </is>
      </c>
      <c r="P53" s="21">
        <f>HYPERLINK("https://photon-sol.tinyastro.io/en/lp/F56f7K8FV9RjaCPRoQ5Q5Dy6SFoDEF52s5uTZCR1pump?handle=676050794bc1b1657a56b", "View")</f>
        <v/>
      </c>
    </row>
    <row r="54">
      <c r="A54" s="16" t="inlineStr">
        <is>
          <t>FUCKISRAEL</t>
        </is>
      </c>
      <c r="B54" s="17" t="n">
        <v>17286655</v>
      </c>
      <c r="C54" s="17" t="n">
        <v>17286655</v>
      </c>
      <c r="D54" s="17" t="inlineStr">
        <is>
          <t>0.019100</t>
        </is>
      </c>
      <c r="E54" s="17" t="inlineStr">
        <is>
          <t>0.868 SOL</t>
        </is>
      </c>
      <c r="F54" s="17" t="inlineStr">
        <is>
          <t>1.671 SOL</t>
        </is>
      </c>
      <c r="G54" s="24" t="inlineStr">
        <is>
          <t>0.784 SOL</t>
        </is>
      </c>
      <c r="H54" s="24" t="inlineStr">
        <is>
          <t>88.31%</t>
        </is>
      </c>
      <c r="I54" s="17" t="inlineStr">
        <is>
          <t>N/A</t>
        </is>
      </c>
      <c r="J54" s="17" t="n">
        <v>9</v>
      </c>
      <c r="K54" s="17" t="n">
        <v>1</v>
      </c>
      <c r="L54" s="17" t="inlineStr">
        <is>
          <t>26.10.2024 00:03:18</t>
        </is>
      </c>
      <c r="M54" s="17" t="inlineStr">
        <is>
          <t>15 min</t>
        </is>
      </c>
      <c r="N54" s="17" t="inlineStr">
        <is>
          <t xml:space="preserve">         46K            21K             5K</t>
        </is>
      </c>
      <c r="O54" s="17" t="inlineStr">
        <is>
          <t>31XZBQWoR9DmbJ38jbXUkgfcxesYDzHCCa9gooL3pump</t>
        </is>
      </c>
      <c r="P54" s="17">
        <f>HYPERLINK("https://photon-sol.tinyastro.io/en/lp/31XZBQWoR9DmbJ38jbXUkgfcxesYDzHCCa9gooL3pump?handle=676050794bc1b1657a56b", "View")</f>
        <v/>
      </c>
    </row>
    <row r="55">
      <c r="A55" s="20" t="inlineStr">
        <is>
          <t>Martin</t>
        </is>
      </c>
      <c r="B55" s="21" t="n">
        <v>1674217</v>
      </c>
      <c r="C55" s="21" t="n">
        <v>1674217</v>
      </c>
      <c r="D55" s="21" t="inlineStr">
        <is>
          <t>0.000910</t>
        </is>
      </c>
      <c r="E55" s="21" t="inlineStr">
        <is>
          <t>0.272 SOL</t>
        </is>
      </c>
      <c r="F55" s="21" t="inlineStr">
        <is>
          <t>0.114 SOL</t>
        </is>
      </c>
      <c r="G55" s="23" t="inlineStr">
        <is>
          <t>-0.159 SOL</t>
        </is>
      </c>
      <c r="H55" s="23" t="inlineStr">
        <is>
          <t>-58.15%</t>
        </is>
      </c>
      <c r="I55" s="21" t="inlineStr">
        <is>
          <t>N/A</t>
        </is>
      </c>
      <c r="J55" s="21" t="n">
        <v>1</v>
      </c>
      <c r="K55" s="21" t="n">
        <v>1</v>
      </c>
      <c r="L55" s="21" t="inlineStr">
        <is>
          <t>25.10.2024 18:50:04</t>
        </is>
      </c>
      <c r="M55" s="21" t="inlineStr">
        <is>
          <t>10 min</t>
        </is>
      </c>
      <c r="N55" s="21" t="inlineStr">
        <is>
          <t xml:space="preserve">         28K            12K             5K</t>
        </is>
      </c>
      <c r="O55" s="21" t="inlineStr">
        <is>
          <t>BNPuzox3dnyhkJbX8kwscyVZVMZmCGczDgxiuRDcpump</t>
        </is>
      </c>
      <c r="P55" s="21">
        <f>HYPERLINK("https://photon-sol.tinyastro.io/en/lp/BNPuzox3dnyhkJbX8kwscyVZVMZmCGczDgxiuRDcpump?handle=676050794bc1b1657a56b", "View")</f>
        <v/>
      </c>
    </row>
    <row r="56">
      <c r="A56" s="16" t="inlineStr">
        <is>
          <t>PIKAAI</t>
        </is>
      </c>
      <c r="B56" s="17" t="n">
        <v>5091329</v>
      </c>
      <c r="C56" s="17" t="n">
        <v>5091329</v>
      </c>
      <c r="D56" s="17" t="inlineStr">
        <is>
          <t>0.000910</t>
        </is>
      </c>
      <c r="E56" s="17" t="inlineStr">
        <is>
          <t>0.308 SOL</t>
        </is>
      </c>
      <c r="F56" s="17" t="inlineStr">
        <is>
          <t>0.289 SOL</t>
        </is>
      </c>
      <c r="G56" s="25" t="inlineStr">
        <is>
          <t>-0.020 SOL</t>
        </is>
      </c>
      <c r="H56" s="25" t="inlineStr">
        <is>
          <t>-6.43%</t>
        </is>
      </c>
      <c r="I56" s="17" t="inlineStr">
        <is>
          <t>N/A</t>
        </is>
      </c>
      <c r="J56" s="17" t="n">
        <v>1</v>
      </c>
      <c r="K56" s="17" t="n">
        <v>1</v>
      </c>
      <c r="L56" s="17" t="inlineStr">
        <is>
          <t>25.10.2024 16:33:24</t>
        </is>
      </c>
      <c r="M56" s="17" t="inlineStr">
        <is>
          <t>30 min</t>
        </is>
      </c>
      <c r="N56" s="17" t="inlineStr">
        <is>
          <t xml:space="preserve">         10K            10K             9K</t>
        </is>
      </c>
      <c r="O56" s="17" t="inlineStr">
        <is>
          <t>2QW7QcQcp1EMYhzVfSrPH8nyNTKdPznUjB3agRibpump</t>
        </is>
      </c>
      <c r="P56" s="17">
        <f>HYPERLINK("https://photon-sol.tinyastro.io/en/lp/2QW7QcQcp1EMYhzVfSrPH8nyNTKdPznUjB3agRibpump?handle=676050794bc1b1657a56b", "View")</f>
        <v/>
      </c>
    </row>
    <row r="57">
      <c r="A57" s="20" t="inlineStr">
        <is>
          <t>degen</t>
        </is>
      </c>
      <c r="B57" s="21" t="n">
        <v>559355</v>
      </c>
      <c r="C57" s="21" t="n">
        <v>292766</v>
      </c>
      <c r="D57" s="21" t="inlineStr">
        <is>
          <t>0.015460</t>
        </is>
      </c>
      <c r="E57" s="21" t="inlineStr">
        <is>
          <t>0.350 SOL</t>
        </is>
      </c>
      <c r="F57" s="21" t="inlineStr">
        <is>
          <t>0.354 SOL</t>
        </is>
      </c>
      <c r="G57" s="25" t="inlineStr">
        <is>
          <t>-0.012 SOL</t>
        </is>
      </c>
      <c r="H57" s="25" t="inlineStr">
        <is>
          <t>-3.23%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25.10.2024 11:39:19</t>
        </is>
      </c>
      <c r="M57" s="21" t="inlineStr">
        <is>
          <t>3 hours</t>
        </is>
      </c>
      <c r="N57" s="21" t="inlineStr">
        <is>
          <t xml:space="preserve">         97K            97K            76K</t>
        </is>
      </c>
      <c r="O57" s="21" t="inlineStr">
        <is>
          <t>8AGrudQDbjNjnHzBsrndfVDBHgg6KBJ7RN6j3hbfq3Qh</t>
        </is>
      </c>
      <c r="P57" s="21">
        <f>HYPERLINK("https://dexscreener.com/solana/8AGrudQDbjNjnHzBsrndfVDBHgg6KBJ7RN6j3hbfq3Qh", "View")</f>
        <v/>
      </c>
    </row>
    <row r="58">
      <c r="A58" s="16" t="inlineStr">
        <is>
          <t>JONA</t>
        </is>
      </c>
      <c r="B58" s="17" t="n">
        <v>687138</v>
      </c>
      <c r="C58" s="17" t="n">
        <v>687138</v>
      </c>
      <c r="D58" s="17" t="inlineStr">
        <is>
          <t>0.000910</t>
        </is>
      </c>
      <c r="E58" s="17" t="inlineStr">
        <is>
          <t>0.350 SOL</t>
        </is>
      </c>
      <c r="F58" s="17" t="inlineStr">
        <is>
          <t>0.433 SOL</t>
        </is>
      </c>
      <c r="G58" s="22" t="inlineStr">
        <is>
          <t>0.082 SOL</t>
        </is>
      </c>
      <c r="H58" s="22" t="inlineStr">
        <is>
          <t>23.46%</t>
        </is>
      </c>
      <c r="I58" s="17" t="inlineStr">
        <is>
          <t>N/A</t>
        </is>
      </c>
      <c r="J58" s="17" t="n">
        <v>1</v>
      </c>
      <c r="K58" s="17" t="n">
        <v>1</v>
      </c>
      <c r="L58" s="17" t="inlineStr">
        <is>
          <t>25.10.2024 09:22:09</t>
        </is>
      </c>
      <c r="M58" s="17" t="inlineStr">
        <is>
          <t>1 hours</t>
        </is>
      </c>
      <c r="N58" s="17" t="inlineStr">
        <is>
          <t xml:space="preserve">         86K            86K            95K</t>
        </is>
      </c>
      <c r="O58" s="17" t="inlineStr">
        <is>
          <t>FEFwYgVvKaNUMxKaUB7vpoQ9dZkoHAzfHa1p4joXEaKA</t>
        </is>
      </c>
      <c r="P58" s="17">
        <f>HYPERLINK("https://dexscreener.com/solana/FEFwYgVvKaNUMxKaUB7vpoQ9dZkoHAzfHa1p4joXEaKA", "View")</f>
        <v/>
      </c>
    </row>
    <row r="59">
      <c r="A59" s="20" t="inlineStr">
        <is>
          <t>Paradox</t>
        </is>
      </c>
      <c r="B59" s="21" t="n">
        <v>894258</v>
      </c>
      <c r="C59" s="21" t="n">
        <v>861935</v>
      </c>
      <c r="D59" s="21" t="inlineStr">
        <is>
          <t>0.188950</t>
        </is>
      </c>
      <c r="E59" s="21" t="inlineStr">
        <is>
          <t>0.675 SOL</t>
        </is>
      </c>
      <c r="F59" s="21" t="inlineStr">
        <is>
          <t>2.930 SOL</t>
        </is>
      </c>
      <c r="G59" s="24" t="inlineStr">
        <is>
          <t>2.066 SOL</t>
        </is>
      </c>
      <c r="H59" s="24" t="inlineStr">
        <is>
          <t>239.16%</t>
        </is>
      </c>
      <c r="I59" s="21" t="inlineStr">
        <is>
          <t>N/A</t>
        </is>
      </c>
      <c r="J59" s="21" t="n">
        <v>3</v>
      </c>
      <c r="K59" s="21" t="n">
        <v>6</v>
      </c>
      <c r="L59" s="21" t="inlineStr">
        <is>
          <t>25.10.2024 08:42:45</t>
        </is>
      </c>
      <c r="M59" s="21" t="inlineStr">
        <is>
          <t>1 hours</t>
        </is>
      </c>
      <c r="N59" s="21" t="inlineStr">
        <is>
          <t xml:space="preserve">        569K             1M            12K</t>
        </is>
      </c>
      <c r="O59" s="21" t="inlineStr">
        <is>
          <t>Fmc9g6bL1Y8Szhn3pFqRnoEhaopbJNXHMdcxqHsUpump</t>
        </is>
      </c>
      <c r="P59" s="21">
        <f>HYPERLINK("https://dexscreener.com/solana/Fmc9g6bL1Y8Szhn3pFqRnoEhaopbJNXHMdcxqHsUpump", "View")</f>
        <v/>
      </c>
    </row>
    <row r="60">
      <c r="A60" s="16" t="inlineStr">
        <is>
          <t>Jonah</t>
        </is>
      </c>
      <c r="B60" s="17" t="n">
        <v>506291</v>
      </c>
      <c r="C60" s="17" t="n">
        <v>345544</v>
      </c>
      <c r="D60" s="17" t="inlineStr">
        <is>
          <t>0.000910</t>
        </is>
      </c>
      <c r="E60" s="17" t="inlineStr">
        <is>
          <t>0.350 SOL</t>
        </is>
      </c>
      <c r="F60" s="17" t="inlineStr">
        <is>
          <t>0.369 SOL</t>
        </is>
      </c>
      <c r="G60" s="22" t="inlineStr">
        <is>
          <t>0.018 SOL</t>
        </is>
      </c>
      <c r="H60" s="22" t="inlineStr">
        <is>
          <t>5.17%</t>
        </is>
      </c>
      <c r="I60" s="17" t="inlineStr">
        <is>
          <t>N/A</t>
        </is>
      </c>
      <c r="J60" s="17" t="n">
        <v>1</v>
      </c>
      <c r="K60" s="17" t="n">
        <v>1</v>
      </c>
      <c r="L60" s="17" t="inlineStr">
        <is>
          <t>25.10.2024 08:25:34</t>
        </is>
      </c>
      <c r="M60" s="17" t="inlineStr">
        <is>
          <t>3 min</t>
        </is>
      </c>
      <c r="N60" s="17" t="inlineStr">
        <is>
          <t xml:space="preserve">        121K           188K            91K</t>
        </is>
      </c>
      <c r="O60" s="17" t="inlineStr">
        <is>
          <t>H52CAqEJXY9dmPJChvi86cUR3vLEobUhu7B9wBMppump</t>
        </is>
      </c>
      <c r="P60" s="17">
        <f>HYPERLINK("https://dexscreener.com/solana/H52CAqEJXY9dmPJChvi86cUR3vLEobUhu7B9wBMppump", "View")</f>
        <v/>
      </c>
    </row>
    <row r="61">
      <c r="A61" s="20" t="inlineStr">
        <is>
          <t>PADMAE</t>
        </is>
      </c>
      <c r="B61" s="21" t="n">
        <v>313528</v>
      </c>
      <c r="C61" s="21" t="n">
        <v>0</v>
      </c>
      <c r="D61" s="21" t="inlineStr">
        <is>
          <t>0.000460</t>
        </is>
      </c>
      <c r="E61" s="21" t="inlineStr">
        <is>
          <t>0.125 SOL</t>
        </is>
      </c>
      <c r="F61" s="21" t="inlineStr">
        <is>
          <t>0.000 SOL</t>
        </is>
      </c>
      <c r="G61" s="18" t="inlineStr">
        <is>
          <t>-0.125 SOL</t>
        </is>
      </c>
      <c r="H61" s="18" t="inlineStr">
        <is>
          <t>0.00%</t>
        </is>
      </c>
      <c r="I61" s="21" t="inlineStr">
        <is>
          <t>313,528</t>
        </is>
      </c>
      <c r="J61" s="21" t="n">
        <v>1</v>
      </c>
      <c r="K61" s="21" t="n">
        <v>0</v>
      </c>
      <c r="L61" s="21" t="inlineStr">
        <is>
          <t>25.10.2024 08:17:46</t>
        </is>
      </c>
      <c r="M61" s="19" t="inlineStr">
        <is>
          <t>0 sec</t>
        </is>
      </c>
      <c r="N61" s="21" t="inlineStr">
        <is>
          <t xml:space="preserve">         70K            70K            23K</t>
        </is>
      </c>
      <c r="O61" s="21" t="inlineStr">
        <is>
          <t>91oBzETvpZQQR6Qhs43xQVTV4Am6RMQSGDQSiJh4pump</t>
        </is>
      </c>
      <c r="P61" s="21">
        <f>HYPERLINK("https://dexscreener.com/solana/91oBzETvpZQQR6Qhs43xQVTV4Am6RMQSGDQSiJh4pump", "View")</f>
        <v/>
      </c>
    </row>
    <row r="62">
      <c r="A62" s="16" t="inlineStr">
        <is>
          <t>TOTO</t>
        </is>
      </c>
      <c r="B62" s="17" t="n">
        <v>817918</v>
      </c>
      <c r="C62" s="17" t="n">
        <v>404051</v>
      </c>
      <c r="D62" s="17" t="inlineStr">
        <is>
          <t>0.000910</t>
        </is>
      </c>
      <c r="E62" s="17" t="inlineStr">
        <is>
          <t>0.250 SOL</t>
        </is>
      </c>
      <c r="F62" s="17" t="inlineStr">
        <is>
          <t>0.330 SOL</t>
        </is>
      </c>
      <c r="G62" s="22" t="inlineStr">
        <is>
          <t>0.079 SOL</t>
        </is>
      </c>
      <c r="H62" s="22" t="inlineStr">
        <is>
          <t>31.47%</t>
        </is>
      </c>
      <c r="I62" s="17" t="inlineStr">
        <is>
          <t>N/A</t>
        </is>
      </c>
      <c r="J62" s="17" t="n">
        <v>1</v>
      </c>
      <c r="K62" s="17" t="n">
        <v>1</v>
      </c>
      <c r="L62" s="17" t="inlineStr">
        <is>
          <t>25.10.2024 08:12:22</t>
        </is>
      </c>
      <c r="M62" s="17" t="inlineStr">
        <is>
          <t>8 min</t>
        </is>
      </c>
      <c r="N62" s="17" t="inlineStr">
        <is>
          <t xml:space="preserve">         54K           144K           102K</t>
        </is>
      </c>
      <c r="O62" s="17" t="inlineStr">
        <is>
          <t>HJkdRUn3qnDSUq2LpFKgTEuoTD1wv5ug59X6PFUFj7oa</t>
        </is>
      </c>
      <c r="P62" s="17">
        <f>HYPERLINK("https://dexscreener.com/solana/HJkdRUn3qnDSUq2LpFKgTEuoTD1wv5ug59X6PFUFj7oa", "View")</f>
        <v/>
      </c>
    </row>
    <row r="63">
      <c r="A63" s="20" t="inlineStr">
        <is>
          <t>PESTO</t>
        </is>
      </c>
      <c r="B63" s="21" t="n">
        <v>48941</v>
      </c>
      <c r="C63" s="21" t="n">
        <v>24143</v>
      </c>
      <c r="D63" s="21" t="inlineStr">
        <is>
          <t>0.015460</t>
        </is>
      </c>
      <c r="E63" s="21" t="inlineStr">
        <is>
          <t>0.250 SOL</t>
        </is>
      </c>
      <c r="F63" s="21" t="inlineStr">
        <is>
          <t>0.254 SOL</t>
        </is>
      </c>
      <c r="G63" s="25" t="inlineStr">
        <is>
          <t>-0.011 SOL</t>
        </is>
      </c>
      <c r="H63" s="25" t="inlineStr">
        <is>
          <t>-4.21%</t>
        </is>
      </c>
      <c r="I63" s="21" t="inlineStr">
        <is>
          <t>N/A</t>
        </is>
      </c>
      <c r="J63" s="21" t="n">
        <v>1</v>
      </c>
      <c r="K63" s="21" t="n">
        <v>1</v>
      </c>
      <c r="L63" s="21" t="inlineStr">
        <is>
          <t>25.10.2024 08:06:38</t>
        </is>
      </c>
      <c r="M63" s="21" t="inlineStr">
        <is>
          <t>4 min</t>
        </is>
      </c>
      <c r="N63" s="21" t="inlineStr">
        <is>
          <t xml:space="preserve">        898K             2M             2M</t>
        </is>
      </c>
      <c r="O63" s="21" t="inlineStr">
        <is>
          <t>34a8ALsPmbWxp7D3bQ6erERrCLz1ahr6u6o66Udmpump</t>
        </is>
      </c>
      <c r="P63" s="21">
        <f>HYPERLINK("https://dexscreener.com/solana/34a8ALsPmbWxp7D3bQ6erERrCLz1ahr6u6o66Udmpump", "View")</f>
        <v/>
      </c>
    </row>
    <row r="64">
      <c r="A64" s="16" t="inlineStr">
        <is>
          <t>MCAT</t>
        </is>
      </c>
      <c r="B64" s="17" t="n">
        <v>1313183</v>
      </c>
      <c r="C64" s="17" t="n">
        <v>1313183</v>
      </c>
      <c r="D64" s="17" t="inlineStr">
        <is>
          <t>0.000470</t>
        </is>
      </c>
      <c r="E64" s="17" t="inlineStr">
        <is>
          <t>0.070 SOL</t>
        </is>
      </c>
      <c r="F64" s="17" t="inlineStr">
        <is>
          <t>0.031 SOL</t>
        </is>
      </c>
      <c r="G64" s="23" t="inlineStr">
        <is>
          <t>-0.040 SOL</t>
        </is>
      </c>
      <c r="H64" s="23" t="inlineStr">
        <is>
          <t>-56.38%</t>
        </is>
      </c>
      <c r="I64" s="17" t="inlineStr">
        <is>
          <t>N/A</t>
        </is>
      </c>
      <c r="J64" s="17" t="n">
        <v>1</v>
      </c>
      <c r="K64" s="17" t="n">
        <v>1</v>
      </c>
      <c r="L64" s="17" t="inlineStr">
        <is>
          <t>25.10.2024 07:26:29</t>
        </is>
      </c>
      <c r="M64" s="17" t="inlineStr">
        <is>
          <t>9 days</t>
        </is>
      </c>
      <c r="N64" s="17" t="inlineStr">
        <is>
          <t xml:space="preserve">          9K             9K             4K</t>
        </is>
      </c>
      <c r="O64" s="17" t="inlineStr">
        <is>
          <t>G7ffSqzhHbP3FVzVp8iSt1GdwwN91bmuydhDXNvTiVtF</t>
        </is>
      </c>
      <c r="P64" s="17">
        <f>HYPERLINK("https://dexscreener.com/solana/G7ffSqzhHbP3FVzVp8iSt1GdwwN91bmuydhDXNvTiVtF", "View")</f>
        <v/>
      </c>
    </row>
    <row r="65">
      <c r="A65" s="20" t="inlineStr">
        <is>
          <t>Nig</t>
        </is>
      </c>
      <c r="B65" s="21" t="n">
        <v>117400</v>
      </c>
      <c r="C65" s="21" t="n">
        <v>117400</v>
      </c>
      <c r="D65" s="21" t="inlineStr">
        <is>
          <t>0.015920</t>
        </is>
      </c>
      <c r="E65" s="21" t="inlineStr">
        <is>
          <t>0.600 SOL</t>
        </is>
      </c>
      <c r="F65" s="21" t="inlineStr">
        <is>
          <t>0.328 SOL</t>
        </is>
      </c>
      <c r="G65" s="25" t="inlineStr">
        <is>
          <t>-0.288 SOL</t>
        </is>
      </c>
      <c r="H65" s="25" t="inlineStr">
        <is>
          <t>-46.70%</t>
        </is>
      </c>
      <c r="I65" s="21" t="inlineStr">
        <is>
          <t>N/A</t>
        </is>
      </c>
      <c r="J65" s="21" t="n">
        <v>2</v>
      </c>
      <c r="K65" s="21" t="n">
        <v>1</v>
      </c>
      <c r="L65" s="21" t="inlineStr">
        <is>
          <t>25.10.2024 07:25:41</t>
        </is>
      </c>
      <c r="M65" s="21" t="inlineStr">
        <is>
          <t>13 hours</t>
        </is>
      </c>
      <c r="N65" s="21" t="inlineStr">
        <is>
          <t xml:space="preserve">        926K           782K           114K</t>
        </is>
      </c>
      <c r="O65" s="21" t="inlineStr">
        <is>
          <t>9fgVG37Eb4Ec6G2YSHrZGMXkeXhLjNtxSKXu8P9epump</t>
        </is>
      </c>
      <c r="P65" s="21">
        <f>HYPERLINK("https://dexscreener.com/solana/9fgVG37Eb4Ec6G2YSHrZGMXkeXhLjNtxSKXu8P9epump", "View")</f>
        <v/>
      </c>
    </row>
    <row r="66">
      <c r="A66" s="16" t="inlineStr">
        <is>
          <t>Tate</t>
        </is>
      </c>
      <c r="B66" s="17" t="n">
        <v>2499</v>
      </c>
      <c r="C66" s="17" t="n">
        <v>2499</v>
      </c>
      <c r="D66" s="17" t="inlineStr">
        <is>
          <t>0.001820</t>
        </is>
      </c>
      <c r="E66" s="17" t="inlineStr">
        <is>
          <t>0.245 SOL</t>
        </is>
      </c>
      <c r="F66" s="17" t="inlineStr">
        <is>
          <t>0.253 SOL</t>
        </is>
      </c>
      <c r="G66" s="22" t="inlineStr">
        <is>
          <t>0.006 SOL</t>
        </is>
      </c>
      <c r="H66" s="22" t="inlineStr">
        <is>
          <t>2.52%</t>
        </is>
      </c>
      <c r="I66" s="17" t="inlineStr">
        <is>
          <t>N/A</t>
        </is>
      </c>
      <c r="J66" s="17" t="n">
        <v>2</v>
      </c>
      <c r="K66" s="17" t="n">
        <v>2</v>
      </c>
      <c r="L66" s="17" t="inlineStr">
        <is>
          <t>25.10.2024 07:25:28</t>
        </is>
      </c>
      <c r="M66" s="17" t="inlineStr">
        <is>
          <t>15 hours</t>
        </is>
      </c>
      <c r="N66" s="17" t="inlineStr">
        <is>
          <t xml:space="preserve">         16M            19M            16M</t>
        </is>
      </c>
      <c r="O66" s="17" t="inlineStr">
        <is>
          <t>LX2mJPsutHkUc6iXNFgumSC6LVKyc66xpy2zDTZpump</t>
        </is>
      </c>
      <c r="P66" s="17">
        <f>HYPERLINK("https://dexscreener.com/solana/LX2mJPsutHkUc6iXNFgumSC6LVKyc66xpy2zDTZpump", "View")</f>
        <v/>
      </c>
    </row>
    <row r="67">
      <c r="A67" s="20" t="inlineStr">
        <is>
          <t>AN</t>
        </is>
      </c>
      <c r="B67" s="21" t="n">
        <v>230383</v>
      </c>
      <c r="C67" s="21" t="n">
        <v>198470</v>
      </c>
      <c r="D67" s="21" t="inlineStr">
        <is>
          <t>0.001370</t>
        </is>
      </c>
      <c r="E67" s="21" t="inlineStr">
        <is>
          <t>0.600 SOL</t>
        </is>
      </c>
      <c r="F67" s="21" t="inlineStr">
        <is>
          <t>0.632 SOL</t>
        </is>
      </c>
      <c r="G67" s="22" t="inlineStr">
        <is>
          <t>0.031 SOL</t>
        </is>
      </c>
      <c r="H67" s="22" t="inlineStr">
        <is>
          <t>5.15%</t>
        </is>
      </c>
      <c r="I67" s="21" t="inlineStr">
        <is>
          <t>N/A</t>
        </is>
      </c>
      <c r="J67" s="21" t="n">
        <v>2</v>
      </c>
      <c r="K67" s="21" t="n">
        <v>1</v>
      </c>
      <c r="L67" s="21" t="inlineStr">
        <is>
          <t>24.10.2024 19:04:35</t>
        </is>
      </c>
      <c r="M67" s="21" t="inlineStr">
        <is>
          <t>1 min</t>
        </is>
      </c>
      <c r="N67" s="21" t="inlineStr">
        <is>
          <t xml:space="preserve">        442K           549K             8K</t>
        </is>
      </c>
      <c r="O67" s="21" t="inlineStr">
        <is>
          <t>BazV1p9y6EUwCrMjYQVBPiikaunD6eZpfp5kks22pump</t>
        </is>
      </c>
      <c r="P67" s="21">
        <f>HYPERLINK("https://dexscreener.com/solana/BazV1p9y6EUwCrMjYQVBPiikaunD6eZpfp5kks22pump", "View")</f>
        <v/>
      </c>
    </row>
    <row r="68">
      <c r="A68" s="16" t="inlineStr">
        <is>
          <t>SMUDGE</t>
        </is>
      </c>
      <c r="B68" s="17" t="n">
        <v>4055145</v>
      </c>
      <c r="C68" s="17" t="n">
        <v>4055145</v>
      </c>
      <c r="D68" s="17" t="inlineStr">
        <is>
          <t>0.000480</t>
        </is>
      </c>
      <c r="E68" s="17" t="inlineStr">
        <is>
          <t>0.300 SOL</t>
        </is>
      </c>
      <c r="F68" s="17" t="inlineStr">
        <is>
          <t>0.431 SOL</t>
        </is>
      </c>
      <c r="G68" s="22" t="inlineStr">
        <is>
          <t>0.131 SOL</t>
        </is>
      </c>
      <c r="H68" s="22" t="inlineStr">
        <is>
          <t>43.55%</t>
        </is>
      </c>
      <c r="I68" s="17" t="inlineStr">
        <is>
          <t>N/A</t>
        </is>
      </c>
      <c r="J68" s="17" t="n">
        <v>1</v>
      </c>
      <c r="K68" s="17" t="n">
        <v>2</v>
      </c>
      <c r="L68" s="17" t="inlineStr">
        <is>
          <t>24.10.2024 18:01:38</t>
        </is>
      </c>
      <c r="M68" s="17" t="inlineStr">
        <is>
          <t>4 days</t>
        </is>
      </c>
      <c r="N68" s="17" t="inlineStr">
        <is>
          <t xml:space="preserve">         12K            30K             9K</t>
        </is>
      </c>
      <c r="O68" s="17" t="inlineStr">
        <is>
          <t>7e8sgRNUtg9A28c7CNpfhesVv8NRY3AP7YFVcYyUsg33</t>
        </is>
      </c>
      <c r="P68" s="17">
        <f>HYPERLINK("https://dexscreener.com/solana/7e8sgRNUtg9A28c7CNpfhesVv8NRY3AP7YFVcYyUsg33", "View")</f>
        <v/>
      </c>
    </row>
    <row r="69">
      <c r="A69" s="20" t="inlineStr">
        <is>
          <t>@</t>
        </is>
      </c>
      <c r="B69" s="21" t="n">
        <v>1858200</v>
      </c>
      <c r="C69" s="21" t="n">
        <v>1858200</v>
      </c>
      <c r="D69" s="21" t="inlineStr">
        <is>
          <t>0.090950</t>
        </is>
      </c>
      <c r="E69" s="21" t="inlineStr">
        <is>
          <t>1.020 SOL</t>
        </is>
      </c>
      <c r="F69" s="21" t="inlineStr">
        <is>
          <t>1.071 SOL</t>
        </is>
      </c>
      <c r="G69" s="25" t="inlineStr">
        <is>
          <t>-0.040 SOL</t>
        </is>
      </c>
      <c r="H69" s="25" t="inlineStr">
        <is>
          <t>-3.56%</t>
        </is>
      </c>
      <c r="I69" s="21" t="inlineStr">
        <is>
          <t>N/A</t>
        </is>
      </c>
      <c r="J69" s="21" t="n">
        <v>7</v>
      </c>
      <c r="K69" s="21" t="n">
        <v>2</v>
      </c>
      <c r="L69" s="21" t="inlineStr">
        <is>
          <t>24.10.2024 11:16:08</t>
        </is>
      </c>
      <c r="M69" s="21" t="inlineStr">
        <is>
          <t>18 hours</t>
        </is>
      </c>
      <c r="N69" s="21" t="inlineStr">
        <is>
          <t xml:space="preserve">         90K           104K            55K</t>
        </is>
      </c>
      <c r="O69" s="21" t="inlineStr">
        <is>
          <t>enhHTLgRH4BiDym5WGpVBGnoxHy3237v4NwpL1tpump</t>
        </is>
      </c>
      <c r="P69" s="21">
        <f>HYPERLINK("https://dexscreener.com/solana/enhHTLgRH4BiDym5WGpVBGnoxHy3237v4NwpL1tpump", "View")</f>
        <v/>
      </c>
    </row>
    <row r="70">
      <c r="A70" s="16" t="inlineStr">
        <is>
          <t>IBM702</t>
        </is>
      </c>
      <c r="B70" s="17" t="n">
        <v>3197529</v>
      </c>
      <c r="C70" s="17" t="n">
        <v>3197529</v>
      </c>
      <c r="D70" s="17" t="inlineStr">
        <is>
          <t>0.000910</t>
        </is>
      </c>
      <c r="E70" s="17" t="inlineStr">
        <is>
          <t>0.125 SOL</t>
        </is>
      </c>
      <c r="F70" s="17" t="inlineStr">
        <is>
          <t>0.098 SOL</t>
        </is>
      </c>
      <c r="G70" s="25" t="inlineStr">
        <is>
          <t>-0.027 SOL</t>
        </is>
      </c>
      <c r="H70" s="25" t="inlineStr">
        <is>
          <t>-21.77%</t>
        </is>
      </c>
      <c r="I70" s="17" t="inlineStr">
        <is>
          <t>N/A</t>
        </is>
      </c>
      <c r="J70" s="17" t="n">
        <v>1</v>
      </c>
      <c r="K70" s="17" t="n">
        <v>1</v>
      </c>
      <c r="L70" s="17" t="inlineStr">
        <is>
          <t>24.10.2024 10:44:16</t>
        </is>
      </c>
      <c r="M70" s="17" t="inlineStr">
        <is>
          <t>2 min</t>
        </is>
      </c>
      <c r="N70" s="17" t="inlineStr">
        <is>
          <t xml:space="preserve">          7K             5K             5K</t>
        </is>
      </c>
      <c r="O70" s="17" t="inlineStr">
        <is>
          <t>G251rmuhusqN1kPoAeiN8tgYKJ9pzaZ491hCGo8Mpump</t>
        </is>
      </c>
      <c r="P70" s="17">
        <f>HYPERLINK("https://photon-sol.tinyastro.io/en/lp/G251rmuhusqN1kPoAeiN8tgYKJ9pzaZ491hCGo8Mpump?handle=676050794bc1b1657a56b", "View")</f>
        <v/>
      </c>
    </row>
    <row r="71">
      <c r="A71" s="20" t="inlineStr">
        <is>
          <t>POLAH</t>
        </is>
      </c>
      <c r="B71" s="21" t="n">
        <v>1270880</v>
      </c>
      <c r="C71" s="21" t="n">
        <v>1270880</v>
      </c>
      <c r="D71" s="21" t="inlineStr">
        <is>
          <t>0.000910</t>
        </is>
      </c>
      <c r="E71" s="21" t="inlineStr">
        <is>
          <t>0.104 SOL</t>
        </is>
      </c>
      <c r="F71" s="21" t="inlineStr">
        <is>
          <t>0.101 SOL</t>
        </is>
      </c>
      <c r="G71" s="25" t="inlineStr">
        <is>
          <t>-0.004 SOL</t>
        </is>
      </c>
      <c r="H71" s="25" t="inlineStr">
        <is>
          <t>-4.05%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24.10.2024 06:09:59</t>
        </is>
      </c>
      <c r="M71" s="21" t="inlineStr">
        <is>
          <t>1 min</t>
        </is>
      </c>
      <c r="N71" s="21" t="inlineStr">
        <is>
          <t xml:space="preserve">         14K            14K             6K</t>
        </is>
      </c>
      <c r="O71" s="21" t="inlineStr">
        <is>
          <t>HuT3cp8bHHZy6YvSH45aqPUKTfvzjFEefDEvNKAcpump</t>
        </is>
      </c>
      <c r="P71" s="21">
        <f>HYPERLINK("https://photon-sol.tinyastro.io/en/lp/HuT3cp8bHHZy6YvSH45aqPUKTfvzjFEefDEvNKAcpump?handle=676050794bc1b1657a56b", "View")</f>
        <v/>
      </c>
    </row>
    <row r="72">
      <c r="A72" s="16" t="inlineStr">
        <is>
          <t>DAKEN</t>
        </is>
      </c>
      <c r="B72" s="17" t="n">
        <v>364168</v>
      </c>
      <c r="C72" s="17" t="n">
        <v>364168</v>
      </c>
      <c r="D72" s="17" t="inlineStr">
        <is>
          <t>0.015030</t>
        </is>
      </c>
      <c r="E72" s="17" t="inlineStr">
        <is>
          <t>0.250 SOL</t>
        </is>
      </c>
      <c r="F72" s="17" t="inlineStr">
        <is>
          <t>0.568 SOL</t>
        </is>
      </c>
      <c r="G72" s="24" t="inlineStr">
        <is>
          <t>0.303 SOL</t>
        </is>
      </c>
      <c r="H72" s="24" t="inlineStr">
        <is>
          <t>114.48%</t>
        </is>
      </c>
      <c r="I72" s="17" t="inlineStr">
        <is>
          <t>N/A</t>
        </is>
      </c>
      <c r="J72" s="17" t="n">
        <v>1</v>
      </c>
      <c r="K72" s="17" t="n">
        <v>2</v>
      </c>
      <c r="L72" s="17" t="inlineStr">
        <is>
          <t>24.10.2024 04:18:07</t>
        </is>
      </c>
      <c r="M72" s="17" t="inlineStr">
        <is>
          <t>5 days</t>
        </is>
      </c>
      <c r="N72" s="17" t="inlineStr">
        <is>
          <t xml:space="preserve">         81K            81K            67K</t>
        </is>
      </c>
      <c r="O72" s="17" t="inlineStr">
        <is>
          <t>BfmftGM7W7nVicF3ccBTrGfh4RzS6xM4gQpDwJDjaZCt</t>
        </is>
      </c>
      <c r="P72" s="17">
        <f>HYPERLINK("https://dexscreener.com/solana/BfmftGM7W7nVicF3ccBTrGfh4RzS6xM4gQpDwJDjaZCt", "View")</f>
        <v/>
      </c>
    </row>
    <row r="73">
      <c r="A73" s="20" t="inlineStr">
        <is>
          <t>LOLcoin</t>
        </is>
      </c>
      <c r="B73" s="21" t="n">
        <v>58327</v>
      </c>
      <c r="C73" s="21" t="n">
        <v>0</v>
      </c>
      <c r="D73" s="21" t="inlineStr">
        <is>
          <t>0.000010</t>
        </is>
      </c>
      <c r="E73" s="21" t="inlineStr">
        <is>
          <t>0.070 SOL</t>
        </is>
      </c>
      <c r="F73" s="21" t="inlineStr">
        <is>
          <t>0.000 SOL</t>
        </is>
      </c>
      <c r="G73" s="18" t="inlineStr">
        <is>
          <t>-0.070 SOL</t>
        </is>
      </c>
      <c r="H73" s="18" t="inlineStr">
        <is>
          <t>0.00%</t>
        </is>
      </c>
      <c r="I73" s="21" t="inlineStr">
        <is>
          <t>58,327</t>
        </is>
      </c>
      <c r="J73" s="21" t="n">
        <v>1</v>
      </c>
      <c r="K73" s="21" t="n">
        <v>0</v>
      </c>
      <c r="L73" s="21" t="inlineStr">
        <is>
          <t>24.10.2024 04:17:40</t>
        </is>
      </c>
      <c r="M73" s="19" t="inlineStr">
        <is>
          <t>0 sec</t>
        </is>
      </c>
      <c r="N73" s="21" t="inlineStr">
        <is>
          <t xml:space="preserve">        211K           211K             7K</t>
        </is>
      </c>
      <c r="O73" s="21" t="inlineStr">
        <is>
          <t>4XmpYUQr94sn81MbjkhWmnFwAZbA2x3XzJ7sofAmpump</t>
        </is>
      </c>
      <c r="P73" s="21">
        <f>HYPERLINK("https://dexscreener.com/solana/4XmpYUQr94sn81MbjkhWmnFwAZbA2x3XzJ7sofAmpump", "View")</f>
        <v/>
      </c>
    </row>
    <row r="74">
      <c r="A74" s="16" t="inlineStr">
        <is>
          <t>STRZY</t>
        </is>
      </c>
      <c r="B74" s="17" t="n">
        <v>114049</v>
      </c>
      <c r="C74" s="17" t="n">
        <v>114049</v>
      </c>
      <c r="D74" s="17" t="inlineStr">
        <is>
          <t>0.015020</t>
        </is>
      </c>
      <c r="E74" s="17" t="inlineStr">
        <is>
          <t>0.120 SOL</t>
        </is>
      </c>
      <c r="F74" s="17" t="inlineStr">
        <is>
          <t>0.171 SOL</t>
        </is>
      </c>
      <c r="G74" s="22" t="inlineStr">
        <is>
          <t>0.036 SOL</t>
        </is>
      </c>
      <c r="H74" s="22" t="inlineStr">
        <is>
          <t>26.48%</t>
        </is>
      </c>
      <c r="I74" s="17" t="inlineStr">
        <is>
          <t>N/A</t>
        </is>
      </c>
      <c r="J74" s="17" t="n">
        <v>1</v>
      </c>
      <c r="K74" s="17" t="n">
        <v>1</v>
      </c>
      <c r="L74" s="17" t="inlineStr">
        <is>
          <t>23.10.2024 18:53:21</t>
        </is>
      </c>
      <c r="M74" s="17" t="inlineStr">
        <is>
          <t>8 min</t>
        </is>
      </c>
      <c r="N74" s="17" t="inlineStr">
        <is>
          <t xml:space="preserve">        184K           184K             7K</t>
        </is>
      </c>
      <c r="O74" s="17" t="inlineStr">
        <is>
          <t>6SH9YZqVXfEmb1bV4ZHWtxUAaR4ua9bKjkd6z1ELpump</t>
        </is>
      </c>
      <c r="P74" s="17">
        <f>HYPERLINK("https://dexscreener.com/solana/6SH9YZqVXfEmb1bV4ZHWtxUAaR4ua9bKjkd6z1ELpump", "View")</f>
        <v/>
      </c>
    </row>
    <row r="75">
      <c r="A75" s="20" t="inlineStr">
        <is>
          <t>starzy</t>
        </is>
      </c>
      <c r="B75" s="21" t="n">
        <v>11199785</v>
      </c>
      <c r="C75" s="21" t="n">
        <v>11199785</v>
      </c>
      <c r="D75" s="21" t="inlineStr">
        <is>
          <t>0.000020</t>
        </is>
      </c>
      <c r="E75" s="21" t="inlineStr">
        <is>
          <t>1.021 SOL</t>
        </is>
      </c>
      <c r="F75" s="21" t="inlineStr">
        <is>
          <t>0.805 SOL</t>
        </is>
      </c>
      <c r="G75" s="25" t="inlineStr">
        <is>
          <t>-0.216 SOL</t>
        </is>
      </c>
      <c r="H75" s="25" t="inlineStr">
        <is>
          <t>-21.18%</t>
        </is>
      </c>
      <c r="I75" s="21" t="inlineStr">
        <is>
          <t>N/A</t>
        </is>
      </c>
      <c r="J75" s="21" t="n">
        <v>1</v>
      </c>
      <c r="K75" s="21" t="n">
        <v>1</v>
      </c>
      <c r="L75" s="21" t="inlineStr">
        <is>
          <t>23.10.2024 18:47:40</t>
        </is>
      </c>
      <c r="M75" s="19" t="inlineStr">
        <is>
          <t>42 sec</t>
        </is>
      </c>
      <c r="N75" s="21" t="inlineStr">
        <is>
          <t xml:space="preserve">        N/A           N/A           N/A</t>
        </is>
      </c>
      <c r="O75" s="21" t="inlineStr">
        <is>
          <t>3bE1AGHmec7PViFEw41eqEommwNm2ew7ScN2KNtvpump</t>
        </is>
      </c>
      <c r="P75" s="21">
        <f>HYPERLINK("https://photon-sol.tinyastro.io/en/lp/3bE1AGHmec7PViFEw41eqEommwNm2ew7ScN2KNtvpump?handle=676050794bc1b1657a56b", "View")</f>
        <v/>
      </c>
    </row>
    <row r="76">
      <c r="A76" s="16" t="inlineStr">
        <is>
          <t>WIREFX</t>
        </is>
      </c>
      <c r="B76" s="17" t="n">
        <v>2357779</v>
      </c>
      <c r="C76" s="17" t="n">
        <v>2357779</v>
      </c>
      <c r="D76" s="17" t="inlineStr">
        <is>
          <t>0.015020</t>
        </is>
      </c>
      <c r="E76" s="17" t="inlineStr">
        <is>
          <t>0.139 SOL</t>
        </is>
      </c>
      <c r="F76" s="17" t="inlineStr">
        <is>
          <t>0.066 SOL</t>
        </is>
      </c>
      <c r="G76" s="23" t="inlineStr">
        <is>
          <t>-0.089 SOL</t>
        </is>
      </c>
      <c r="H76" s="23" t="inlineStr">
        <is>
          <t>-57.44%</t>
        </is>
      </c>
      <c r="I76" s="17" t="inlineStr">
        <is>
          <t>N/A</t>
        </is>
      </c>
      <c r="J76" s="17" t="n">
        <v>1</v>
      </c>
      <c r="K76" s="17" t="n">
        <v>1</v>
      </c>
      <c r="L76" s="17" t="inlineStr">
        <is>
          <t>23.10.2024 18:33:05</t>
        </is>
      </c>
      <c r="M76" s="17" t="inlineStr">
        <is>
          <t>1 hours</t>
        </is>
      </c>
      <c r="N76" s="17" t="inlineStr">
        <is>
          <t xml:space="preserve">         11K            11K             5K</t>
        </is>
      </c>
      <c r="O76" s="17" t="inlineStr">
        <is>
          <t>H8ih2cQHZ2pQv92FFAaEsukQSsBzyLuKstDJM8eJpump</t>
        </is>
      </c>
      <c r="P76" s="17">
        <f>HYPERLINK("https://photon-sol.tinyastro.io/en/lp/H8ih2cQHZ2pQv92FFAaEsukQSsBzyLuKstDJM8eJpump?handle=676050794bc1b1657a56b", "View")</f>
        <v/>
      </c>
    </row>
    <row r="77">
      <c r="A77" s="20" t="inlineStr">
        <is>
          <t>flux</t>
        </is>
      </c>
      <c r="B77" s="21" t="n">
        <v>86169</v>
      </c>
      <c r="C77" s="21" t="n">
        <v>86169</v>
      </c>
      <c r="D77" s="21" t="inlineStr">
        <is>
          <t>0.030010</t>
        </is>
      </c>
      <c r="E77" s="21" t="inlineStr">
        <is>
          <t>0.120 SOL</t>
        </is>
      </c>
      <c r="F77" s="21" t="inlineStr">
        <is>
          <t>0.128 SOL</t>
        </is>
      </c>
      <c r="G77" s="25" t="inlineStr">
        <is>
          <t>-0.022 SOL</t>
        </is>
      </c>
      <c r="H77" s="25" t="inlineStr">
        <is>
          <t>-14.38%</t>
        </is>
      </c>
      <c r="I77" s="21" t="inlineStr">
        <is>
          <t>N/A</t>
        </is>
      </c>
      <c r="J77" s="21" t="n">
        <v>1</v>
      </c>
      <c r="K77" s="21" t="n">
        <v>1</v>
      </c>
      <c r="L77" s="21" t="inlineStr">
        <is>
          <t>23.10.2024 16:03:25</t>
        </is>
      </c>
      <c r="M77" s="21" t="inlineStr">
        <is>
          <t>2 min</t>
        </is>
      </c>
      <c r="N77" s="21" t="inlineStr">
        <is>
          <t xml:space="preserve">        244K           244K            17K</t>
        </is>
      </c>
      <c r="O77" s="21" t="inlineStr">
        <is>
          <t>3xhDkG9BgTBnwM5D3PACpJxwtmJ1Py9LzpvmkD67pump</t>
        </is>
      </c>
      <c r="P77" s="21">
        <f>HYPERLINK("https://dexscreener.com/solana/3xhDkG9BgTBnwM5D3PACpJxwtmJ1Py9LzpvmkD67pump", "View")</f>
        <v/>
      </c>
    </row>
    <row r="78">
      <c r="A78" s="16" t="inlineStr">
        <is>
          <t>KEKW</t>
        </is>
      </c>
      <c r="B78" s="17" t="n">
        <v>248272</v>
      </c>
      <c r="C78" s="17" t="n">
        <v>248272</v>
      </c>
      <c r="D78" s="17" t="inlineStr">
        <is>
          <t>0.030010</t>
        </is>
      </c>
      <c r="E78" s="17" t="inlineStr">
        <is>
          <t>0.120 SOL</t>
        </is>
      </c>
      <c r="F78" s="17" t="inlineStr">
        <is>
          <t>0.098 SOL</t>
        </is>
      </c>
      <c r="G78" s="25" t="inlineStr">
        <is>
          <t>-0.052 SOL</t>
        </is>
      </c>
      <c r="H78" s="25" t="inlineStr">
        <is>
          <t>-34.70%</t>
        </is>
      </c>
      <c r="I78" s="17" t="inlineStr">
        <is>
          <t>N/A</t>
        </is>
      </c>
      <c r="J78" s="17" t="n">
        <v>1</v>
      </c>
      <c r="K78" s="17" t="n">
        <v>1</v>
      </c>
      <c r="L78" s="17" t="inlineStr">
        <is>
          <t>22.10.2024 19:25:37</t>
        </is>
      </c>
      <c r="M78" s="17" t="inlineStr">
        <is>
          <t>9 min</t>
        </is>
      </c>
      <c r="N78" s="17" t="inlineStr">
        <is>
          <t xml:space="preserve">        N/A           N/A           N/A</t>
        </is>
      </c>
      <c r="O78" s="17" t="inlineStr">
        <is>
          <t>F8UsNiiUvqYhb93NmwmXA1vrVjPuWp52V9r3974tpump</t>
        </is>
      </c>
      <c r="P78" s="17">
        <f>HYPERLINK("https://dexscreener.com/solana/F8UsNiiUvqYhb93NmwmXA1vrVjPuWp52V9r3974tpump", "View")</f>
        <v/>
      </c>
    </row>
    <row r="79">
      <c r="A79" s="20" t="inlineStr">
        <is>
          <t>Dog</t>
        </is>
      </c>
      <c r="B79" s="21" t="n">
        <v>125107</v>
      </c>
      <c r="C79" s="21" t="n">
        <v>125107</v>
      </c>
      <c r="D79" s="21" t="inlineStr">
        <is>
          <t>0.030010</t>
        </is>
      </c>
      <c r="E79" s="21" t="inlineStr">
        <is>
          <t>0.120 SOL</t>
        </is>
      </c>
      <c r="F79" s="21" t="inlineStr">
        <is>
          <t>0.124 SOL</t>
        </is>
      </c>
      <c r="G79" s="25" t="inlineStr">
        <is>
          <t>-0.026 SOL</t>
        </is>
      </c>
      <c r="H79" s="25" t="inlineStr">
        <is>
          <t>-17.40%</t>
        </is>
      </c>
      <c r="I79" s="21" t="inlineStr">
        <is>
          <t>N/A</t>
        </is>
      </c>
      <c r="J79" s="21" t="n">
        <v>1</v>
      </c>
      <c r="K79" s="21" t="n">
        <v>1</v>
      </c>
      <c r="L79" s="21" t="inlineStr">
        <is>
          <t>22.10.2024 19:16:08</t>
        </is>
      </c>
      <c r="M79" s="21" t="inlineStr">
        <is>
          <t>4 min</t>
        </is>
      </c>
      <c r="N79" s="21" t="inlineStr">
        <is>
          <t xml:space="preserve">        153K           157K             4K</t>
        </is>
      </c>
      <c r="O79" s="21" t="inlineStr">
        <is>
          <t>D8X1NTFDw3Z5M1Qzxxyae8sB7RCMeEjs1evpt8yMpump</t>
        </is>
      </c>
      <c r="P79" s="21">
        <f>HYPERLINK("https://dexscreener.com/solana/D8X1NTFDw3Z5M1Qzxxyae8sB7RCMeEjs1evpt8yMpump", "View")</f>
        <v/>
      </c>
    </row>
    <row r="80">
      <c r="A80" s="16" t="inlineStr">
        <is>
          <t>Grok</t>
        </is>
      </c>
      <c r="B80" s="17" t="n">
        <v>104222</v>
      </c>
      <c r="C80" s="17" t="n">
        <v>42752</v>
      </c>
      <c r="D80" s="17" t="inlineStr">
        <is>
          <t>0.045020</t>
        </is>
      </c>
      <c r="E80" s="17" t="inlineStr">
        <is>
          <t>0.240 SOL</t>
        </is>
      </c>
      <c r="F80" s="17" t="inlineStr">
        <is>
          <t>0.223 SOL</t>
        </is>
      </c>
      <c r="G80" s="25" t="inlineStr">
        <is>
          <t>-0.062 SOL</t>
        </is>
      </c>
      <c r="H80" s="25" t="inlineStr">
        <is>
          <t>-21.75%</t>
        </is>
      </c>
      <c r="I80" s="17" t="inlineStr">
        <is>
          <t>N/A</t>
        </is>
      </c>
      <c r="J80" s="17" t="n">
        <v>2</v>
      </c>
      <c r="K80" s="17" t="n">
        <v>1</v>
      </c>
      <c r="L80" s="17" t="inlineStr">
        <is>
          <t>22.10.2024 18:40:59</t>
        </is>
      </c>
      <c r="M80" s="17" t="inlineStr">
        <is>
          <t>19 min</t>
        </is>
      </c>
      <c r="N80" s="17" t="inlineStr">
        <is>
          <t xml:space="preserve">        N/A           N/A           N/A</t>
        </is>
      </c>
      <c r="O80" s="17" t="inlineStr">
        <is>
          <t>GfbtxQ3SWydzjgcLPpVp3WLMEMd4Cv6KLKMfducNpump</t>
        </is>
      </c>
      <c r="P80" s="17">
        <f>HYPERLINK("https://dexscreener.com/solana/GfbtxQ3SWydzjgcLPpVp3WLMEMd4Cv6KLKMfducNpump", "View")</f>
        <v/>
      </c>
    </row>
    <row r="81">
      <c r="A81" s="20" t="inlineStr">
        <is>
          <t>FRIES</t>
        </is>
      </c>
      <c r="B81" s="21" t="n">
        <v>1323529</v>
      </c>
      <c r="C81" s="21" t="n">
        <v>1323529</v>
      </c>
      <c r="D81" s="21" t="inlineStr">
        <is>
          <t>0.030020</t>
        </is>
      </c>
      <c r="E81" s="21" t="inlineStr">
        <is>
          <t>0.103 SOL</t>
        </is>
      </c>
      <c r="F81" s="21" t="inlineStr">
        <is>
          <t>0.036 SOL</t>
        </is>
      </c>
      <c r="G81" s="23" t="inlineStr">
        <is>
          <t>-0.097 SOL</t>
        </is>
      </c>
      <c r="H81" s="23" t="inlineStr">
        <is>
          <t>-72.70%</t>
        </is>
      </c>
      <c r="I81" s="21" t="inlineStr">
        <is>
          <t>N/A</t>
        </is>
      </c>
      <c r="J81" s="21" t="n">
        <v>1</v>
      </c>
      <c r="K81" s="21" t="n">
        <v>1</v>
      </c>
      <c r="L81" s="21" t="inlineStr">
        <is>
          <t>22.10.2024 11:51:43</t>
        </is>
      </c>
      <c r="M81" s="21" t="inlineStr">
        <is>
          <t>1 days</t>
        </is>
      </c>
      <c r="N81" s="21" t="inlineStr">
        <is>
          <t xml:space="preserve">         14K            14K             5K</t>
        </is>
      </c>
      <c r="O81" s="21" t="inlineStr">
        <is>
          <t>GTTXH1wGjqQY4srLiipVYYhD8ZkMdC1q1nfCGKJSpump</t>
        </is>
      </c>
      <c r="P81" s="21">
        <f>HYPERLINK("https://photon-sol.tinyastro.io/en/lp/GTTXH1wGjqQY4srLiipVYYhD8ZkMdC1q1nfCGKJSpump?handle=676050794bc1b1657a56b", "View")</f>
        <v/>
      </c>
    </row>
    <row r="82">
      <c r="A82" s="16" t="inlineStr">
        <is>
          <t>Orb</t>
        </is>
      </c>
      <c r="B82" s="17" t="n">
        <v>19575111</v>
      </c>
      <c r="C82" s="17" t="n">
        <v>1400346</v>
      </c>
      <c r="D82" s="17" t="inlineStr">
        <is>
          <t>0.015050</t>
        </is>
      </c>
      <c r="E82" s="17" t="inlineStr">
        <is>
          <t>1.770 SOL</t>
        </is>
      </c>
      <c r="F82" s="17" t="inlineStr">
        <is>
          <t>4.054 SOL</t>
        </is>
      </c>
      <c r="G82" s="24" t="inlineStr">
        <is>
          <t>2.269 SOL</t>
        </is>
      </c>
      <c r="H82" s="24" t="inlineStr">
        <is>
          <t>127.10%</t>
        </is>
      </c>
      <c r="I82" s="17" t="inlineStr">
        <is>
          <t>N/A</t>
        </is>
      </c>
      <c r="J82" s="17" t="n">
        <v>2</v>
      </c>
      <c r="K82" s="17" t="n">
        <v>3</v>
      </c>
      <c r="L82" s="17" t="inlineStr">
        <is>
          <t>22.10.2024 11:10:00</t>
        </is>
      </c>
      <c r="M82" s="17" t="inlineStr">
        <is>
          <t>3 days</t>
        </is>
      </c>
      <c r="N82" s="17" t="inlineStr">
        <is>
          <t xml:space="preserve">         11K           584K             6K</t>
        </is>
      </c>
      <c r="O82" s="17" t="inlineStr">
        <is>
          <t>FKFSSSk6mPQQCSt4S71m5temXzE8K2sLby7WKWsypump</t>
        </is>
      </c>
      <c r="P82" s="17">
        <f>HYPERLINK("https://dexscreener.com/solana/FKFSSSk6mPQQCSt4S71m5temXzE8K2sLby7WKWsypump", "View")</f>
        <v/>
      </c>
    </row>
    <row r="83">
      <c r="A83" s="20" t="inlineStr">
        <is>
          <t>Tinker</t>
        </is>
      </c>
      <c r="B83" s="21" t="n">
        <v>17316313</v>
      </c>
      <c r="C83" s="21" t="n">
        <v>17316313</v>
      </c>
      <c r="D83" s="21" t="inlineStr">
        <is>
          <t>0.095010</t>
        </is>
      </c>
      <c r="E83" s="21" t="inlineStr">
        <is>
          <t>0.918 SOL</t>
        </is>
      </c>
      <c r="F83" s="21" t="inlineStr">
        <is>
          <t>0.519 SOL</t>
        </is>
      </c>
      <c r="G83" s="25" t="inlineStr">
        <is>
          <t>-0.494 SOL</t>
        </is>
      </c>
      <c r="H83" s="25" t="inlineStr">
        <is>
          <t>-48.75%</t>
        </is>
      </c>
      <c r="I83" s="21" t="inlineStr">
        <is>
          <t>N/A</t>
        </is>
      </c>
      <c r="J83" s="21" t="n">
        <v>1</v>
      </c>
      <c r="K83" s="21" t="n">
        <v>1</v>
      </c>
      <c r="L83" s="21" t="inlineStr">
        <is>
          <t>22.10.2024 11:08:02</t>
        </is>
      </c>
      <c r="M83" s="21" t="inlineStr">
        <is>
          <t>3 hours</t>
        </is>
      </c>
      <c r="N83" s="21" t="inlineStr">
        <is>
          <t xml:space="preserve">          9K             9K             5K</t>
        </is>
      </c>
      <c r="O83" s="21" t="inlineStr">
        <is>
          <t>7Q7aN2rT3jaBxbxMvbuyBeMowGyRzHSrskX8mXQHpump</t>
        </is>
      </c>
      <c r="P83" s="21">
        <f>HYPERLINK("https://photon-sol.tinyastro.io/en/lp/7Q7aN2rT3jaBxbxMvbuyBeMowGyRzHSrskX8mXQHpump?handle=676050794bc1b1657a56b", "View")</f>
        <v/>
      </c>
    </row>
    <row r="84">
      <c r="A84" s="16" t="inlineStr">
        <is>
          <t>mk</t>
        </is>
      </c>
      <c r="B84" s="17" t="n">
        <v>21644969</v>
      </c>
      <c r="C84" s="17" t="n">
        <v>21644969</v>
      </c>
      <c r="D84" s="17" t="inlineStr">
        <is>
          <t>0.095010</t>
        </is>
      </c>
      <c r="E84" s="17" t="inlineStr">
        <is>
          <t>0.992 SOL</t>
        </is>
      </c>
      <c r="F84" s="17" t="inlineStr">
        <is>
          <t>0.980 SOL</t>
        </is>
      </c>
      <c r="G84" s="25" t="inlineStr">
        <is>
          <t>-0.106 SOL</t>
        </is>
      </c>
      <c r="H84" s="25" t="inlineStr">
        <is>
          <t>-9.78%</t>
        </is>
      </c>
      <c r="I84" s="17" t="inlineStr">
        <is>
          <t>N/A</t>
        </is>
      </c>
      <c r="J84" s="17" t="n">
        <v>1</v>
      </c>
      <c r="K84" s="17" t="n">
        <v>1</v>
      </c>
      <c r="L84" s="17" t="inlineStr">
        <is>
          <t>22.10.2024 07:25:53</t>
        </is>
      </c>
      <c r="M84" s="19" t="inlineStr">
        <is>
          <t>12 sec</t>
        </is>
      </c>
      <c r="N84" s="17" t="inlineStr">
        <is>
          <t xml:space="preserve">          9K             9K             5K</t>
        </is>
      </c>
      <c r="O84" s="17" t="inlineStr">
        <is>
          <t>7XpdFjAmP4pHPVjzPTv4gyuAnBwpegUAboNTbNXDpump</t>
        </is>
      </c>
      <c r="P84" s="17">
        <f>HYPERLINK("https://photon-sol.tinyastro.io/en/lp/7XpdFjAmP4pHPVjzPTv4gyuAnBwpegUAboNTbNXDpump?handle=676050794bc1b1657a56b", "View")</f>
        <v/>
      </c>
    </row>
    <row r="85">
      <c r="A85" s="20" t="inlineStr">
        <is>
          <t>BASILISK</t>
        </is>
      </c>
      <c r="B85" s="21" t="n">
        <v>18091530</v>
      </c>
      <c r="C85" s="21" t="n">
        <v>18091530</v>
      </c>
      <c r="D85" s="21" t="inlineStr">
        <is>
          <t>0.095010</t>
        </is>
      </c>
      <c r="E85" s="21" t="inlineStr">
        <is>
          <t>0.787 SOL</t>
        </is>
      </c>
      <c r="F85" s="21" t="inlineStr">
        <is>
          <t>1.250 SOL</t>
        </is>
      </c>
      <c r="G85" s="22" t="inlineStr">
        <is>
          <t>0.368 SOL</t>
        </is>
      </c>
      <c r="H85" s="22" t="inlineStr">
        <is>
          <t>41.73%</t>
        </is>
      </c>
      <c r="I85" s="21" t="inlineStr">
        <is>
          <t>N/A</t>
        </is>
      </c>
      <c r="J85" s="21" t="n">
        <v>1</v>
      </c>
      <c r="K85" s="21" t="n">
        <v>1</v>
      </c>
      <c r="L85" s="21" t="inlineStr">
        <is>
          <t>22.10.2024 07:22:55</t>
        </is>
      </c>
      <c r="M85" s="19" t="inlineStr">
        <is>
          <t>12 sec</t>
        </is>
      </c>
      <c r="N85" s="21" t="inlineStr">
        <is>
          <t xml:space="preserve">          7K            12K             5K</t>
        </is>
      </c>
      <c r="O85" s="21" t="inlineStr">
        <is>
          <t>5Tfzg24hkNajwJvPxUe5H1sBCWESg4RmRXzgLgiApump</t>
        </is>
      </c>
      <c r="P85" s="21">
        <f>HYPERLINK("https://photon-sol.tinyastro.io/en/lp/5Tfzg24hkNajwJvPxUe5H1sBCWESg4RmRXzgLgiApump?handle=676050794bc1b1657a56b", "View")</f>
        <v/>
      </c>
    </row>
    <row r="86">
      <c r="A86" s="16" t="inlineStr">
        <is>
          <t>GYATT</t>
        </is>
      </c>
      <c r="B86" s="17" t="n">
        <v>20477662</v>
      </c>
      <c r="C86" s="17" t="n">
        <v>20477662</v>
      </c>
      <c r="D86" s="17" t="inlineStr">
        <is>
          <t>0.095010</t>
        </is>
      </c>
      <c r="E86" s="17" t="inlineStr">
        <is>
          <t>0.790 SOL</t>
        </is>
      </c>
      <c r="F86" s="17" t="inlineStr">
        <is>
          <t>1.373 SOL</t>
        </is>
      </c>
      <c r="G86" s="24" t="inlineStr">
        <is>
          <t>0.489 SOL</t>
        </is>
      </c>
      <c r="H86" s="24" t="inlineStr">
        <is>
          <t>55.26%</t>
        </is>
      </c>
      <c r="I86" s="17" t="inlineStr">
        <is>
          <t>N/A</t>
        </is>
      </c>
      <c r="J86" s="17" t="n">
        <v>1</v>
      </c>
      <c r="K86" s="17" t="n">
        <v>1</v>
      </c>
      <c r="L86" s="17" t="inlineStr">
        <is>
          <t>22.10.2024 07:20:57</t>
        </is>
      </c>
      <c r="M86" s="19" t="inlineStr">
        <is>
          <t>14 sec</t>
        </is>
      </c>
      <c r="N86" s="17" t="inlineStr">
        <is>
          <t xml:space="preserve">          7K            12K             5K</t>
        </is>
      </c>
      <c r="O86" s="17" t="inlineStr">
        <is>
          <t>9KNr3u4YwNB6U7X4GEP3C9q9E5QHYhjQYhK9rxrJpump</t>
        </is>
      </c>
      <c r="P86" s="17">
        <f>HYPERLINK("https://photon-sol.tinyastro.io/en/lp/9KNr3u4YwNB6U7X4GEP3C9q9E5QHYhjQYhK9rxrJpump?handle=676050794bc1b1657a56b", "View")</f>
        <v/>
      </c>
    </row>
    <row r="87">
      <c r="A87" s="20" t="inlineStr">
        <is>
          <t>Tater</t>
        </is>
      </c>
      <c r="B87" s="21" t="n">
        <v>10523020</v>
      </c>
      <c r="C87" s="21" t="n">
        <v>10523020</v>
      </c>
      <c r="D87" s="21" t="inlineStr">
        <is>
          <t>0.075020</t>
        </is>
      </c>
      <c r="E87" s="21" t="inlineStr">
        <is>
          <t>0.538 SOL</t>
        </is>
      </c>
      <c r="F87" s="21" t="inlineStr">
        <is>
          <t>1.727 SOL</t>
        </is>
      </c>
      <c r="G87" s="24" t="inlineStr">
        <is>
          <t>1.114 SOL</t>
        </is>
      </c>
      <c r="H87" s="24" t="inlineStr">
        <is>
          <t>181.54%</t>
        </is>
      </c>
      <c r="I87" s="21" t="inlineStr">
        <is>
          <t>N/A</t>
        </is>
      </c>
      <c r="J87" s="21" t="n">
        <v>1</v>
      </c>
      <c r="K87" s="21" t="n">
        <v>2</v>
      </c>
      <c r="L87" s="21" t="inlineStr">
        <is>
          <t>21.10.2024 19:07:21</t>
        </is>
      </c>
      <c r="M87" s="21" t="inlineStr">
        <is>
          <t>49 min</t>
        </is>
      </c>
      <c r="N87" s="21" t="inlineStr">
        <is>
          <t xml:space="preserve">          9K             5K             3K</t>
        </is>
      </c>
      <c r="O87" s="21" t="inlineStr">
        <is>
          <t>35kC7amaXnDSbr6ufdaJMZAQ8Z1ejUGnNTegCUXUpump</t>
        </is>
      </c>
      <c r="P87" s="21">
        <f>HYPERLINK("https://photon-sol.tinyastro.io/en/lp/35kC7amaXnDSbr6ufdaJMZAQ8Z1ejUGnNTegCUXUpump?handle=676050794bc1b1657a56b", "View")</f>
        <v/>
      </c>
    </row>
    <row r="88">
      <c r="A88" s="16" t="inlineStr">
        <is>
          <t>Gabriel</t>
        </is>
      </c>
      <c r="B88" s="17" t="n">
        <v>837477</v>
      </c>
      <c r="C88" s="17" t="n">
        <v>837477</v>
      </c>
      <c r="D88" s="17" t="inlineStr">
        <is>
          <t>0.015020</t>
        </is>
      </c>
      <c r="E88" s="17" t="inlineStr">
        <is>
          <t>0.248 SOL</t>
        </is>
      </c>
      <c r="F88" s="17" t="inlineStr">
        <is>
          <t>0.224 SOL</t>
        </is>
      </c>
      <c r="G88" s="25" t="inlineStr">
        <is>
          <t>-0.039 SOL</t>
        </is>
      </c>
      <c r="H88" s="25" t="inlineStr">
        <is>
          <t>-14.99%</t>
        </is>
      </c>
      <c r="I88" s="17" t="inlineStr">
        <is>
          <t>N/A</t>
        </is>
      </c>
      <c r="J88" s="17" t="n">
        <v>1</v>
      </c>
      <c r="K88" s="17" t="n">
        <v>1</v>
      </c>
      <c r="L88" s="17" t="inlineStr">
        <is>
          <t>21.10.2024 17:22:25</t>
        </is>
      </c>
      <c r="M88" s="17" t="inlineStr">
        <is>
          <t>1 min</t>
        </is>
      </c>
      <c r="N88" s="17" t="inlineStr">
        <is>
          <t xml:space="preserve">         53K            47K             6K</t>
        </is>
      </c>
      <c r="O88" s="17" t="inlineStr">
        <is>
          <t>HS7Q3wFt22uaWA1S2SQNd6ft1kQcxDvPuBMmPYqANGps</t>
        </is>
      </c>
      <c r="P88" s="17">
        <f>HYPERLINK("https://photon-sol.tinyastro.io/en/lp/HS7Q3wFt22uaWA1S2SQNd6ft1kQcxDvPuBMmPYqANGps?handle=676050794bc1b1657a56b", "View")</f>
        <v/>
      </c>
    </row>
    <row r="89">
      <c r="A89" s="20" t="inlineStr">
        <is>
          <t>somsri</t>
        </is>
      </c>
      <c r="B89" s="21" t="n">
        <v>2379309</v>
      </c>
      <c r="C89" s="21" t="n">
        <v>2379309</v>
      </c>
      <c r="D89" s="21" t="inlineStr">
        <is>
          <t>0.000020</t>
        </is>
      </c>
      <c r="E89" s="21" t="inlineStr">
        <is>
          <t>0.228 SOL</t>
        </is>
      </c>
      <c r="F89" s="21" t="inlineStr">
        <is>
          <t>0.214 SOL</t>
        </is>
      </c>
      <c r="G89" s="25" t="inlineStr">
        <is>
          <t>-0.014 SOL</t>
        </is>
      </c>
      <c r="H89" s="25" t="inlineStr">
        <is>
          <t>-6.19%</t>
        </is>
      </c>
      <c r="I89" s="21" t="inlineStr">
        <is>
          <t>N/A</t>
        </is>
      </c>
      <c r="J89" s="21" t="n">
        <v>1</v>
      </c>
      <c r="K89" s="21" t="n">
        <v>1</v>
      </c>
      <c r="L89" s="21" t="inlineStr">
        <is>
          <t>21.10.2024 07:43:01</t>
        </is>
      </c>
      <c r="M89" s="21" t="inlineStr">
        <is>
          <t>2 min</t>
        </is>
      </c>
      <c r="N89" s="21" t="inlineStr">
        <is>
          <t xml:space="preserve">         18K            16K             5K</t>
        </is>
      </c>
      <c r="O89" s="21" t="inlineStr">
        <is>
          <t>9eFX4AnnPg6qbjGA59MuJaHuzA4SYeFuAGWvNxyGpump</t>
        </is>
      </c>
      <c r="P89" s="21">
        <f>HYPERLINK("https://photon-sol.tinyastro.io/en/lp/9eFX4AnnPg6qbjGA59MuJaHuzA4SYeFuAGWvNxyGpump?handle=676050794bc1b1657a56b", "View")</f>
        <v/>
      </c>
    </row>
    <row r="90">
      <c r="A90" s="16" t="inlineStr">
        <is>
          <t>KETSARIN</t>
        </is>
      </c>
      <c r="B90" s="17" t="n">
        <v>247055</v>
      </c>
      <c r="C90" s="17" t="n">
        <v>247055</v>
      </c>
      <c r="D90" s="17" t="inlineStr">
        <is>
          <t>0.000020</t>
        </is>
      </c>
      <c r="E90" s="17" t="inlineStr">
        <is>
          <t>0.120 SOL</t>
        </is>
      </c>
      <c r="F90" s="17" t="inlineStr">
        <is>
          <t>0.048 SOL</t>
        </is>
      </c>
      <c r="G90" s="23" t="inlineStr">
        <is>
          <t>-0.072 SOL</t>
        </is>
      </c>
      <c r="H90" s="23" t="inlineStr">
        <is>
          <t>-59.82%</t>
        </is>
      </c>
      <c r="I90" s="17" t="inlineStr">
        <is>
          <t>N/A</t>
        </is>
      </c>
      <c r="J90" s="17" t="n">
        <v>1</v>
      </c>
      <c r="K90" s="17" t="n">
        <v>1</v>
      </c>
      <c r="L90" s="17" t="inlineStr">
        <is>
          <t>21.10.2024 07:41:22</t>
        </is>
      </c>
      <c r="M90" s="17" t="inlineStr">
        <is>
          <t>2 min</t>
        </is>
      </c>
      <c r="N90" s="17" t="inlineStr">
        <is>
          <t xml:space="preserve">         86K            35K             3K</t>
        </is>
      </c>
      <c r="O90" s="17" t="inlineStr">
        <is>
          <t>EjA41bio7uwV4sHa1FLSm5CMPv1Et3EZTavKW53dpump</t>
        </is>
      </c>
      <c r="P90" s="17">
        <f>HYPERLINK("https://dexscreener.com/solana/EjA41bio7uwV4sHa1FLSm5CMPv1Et3EZTavKW53dpump", "View")</f>
        <v/>
      </c>
    </row>
    <row r="91">
      <c r="A91" s="20" t="inlineStr">
        <is>
          <t>GAYAI</t>
        </is>
      </c>
      <c r="B91" s="21" t="n">
        <v>1471181</v>
      </c>
      <c r="C91" s="21" t="n">
        <v>1471181</v>
      </c>
      <c r="D91" s="21" t="inlineStr">
        <is>
          <t>0.000020</t>
        </is>
      </c>
      <c r="E91" s="21" t="inlineStr">
        <is>
          <t>0.120 SOL</t>
        </is>
      </c>
      <c r="F91" s="21" t="inlineStr">
        <is>
          <t>0.130 SOL</t>
        </is>
      </c>
      <c r="G91" s="22" t="inlineStr">
        <is>
          <t>0.010 SOL</t>
        </is>
      </c>
      <c r="H91" s="22" t="inlineStr">
        <is>
          <t>8.48%</t>
        </is>
      </c>
      <c r="I91" s="21" t="inlineStr">
        <is>
          <t>N/A</t>
        </is>
      </c>
      <c r="J91" s="21" t="n">
        <v>1</v>
      </c>
      <c r="K91" s="21" t="n">
        <v>1</v>
      </c>
      <c r="L91" s="21" t="inlineStr">
        <is>
          <t>21.10.2024 03:47:10</t>
        </is>
      </c>
      <c r="M91" s="21" t="inlineStr">
        <is>
          <t>1 min</t>
        </is>
      </c>
      <c r="N91" s="21" t="inlineStr">
        <is>
          <t xml:space="preserve">         14K            15K             4K</t>
        </is>
      </c>
      <c r="O91" s="21" t="inlineStr">
        <is>
          <t>4DcoUz2NPFW7x8Jmx7AA63P1bX3t1v9odz8WGTdRpump</t>
        </is>
      </c>
      <c r="P91" s="21">
        <f>HYPERLINK("https://dexscreener.com/solana/4DcoUz2NPFW7x8Jmx7AA63P1bX3t1v9odz8WGTdRpump", "View")</f>
        <v/>
      </c>
    </row>
    <row r="92">
      <c r="A92" s="16" t="inlineStr">
        <is>
          <t>UPTOBER</t>
        </is>
      </c>
      <c r="B92" s="17" t="n">
        <v>905041</v>
      </c>
      <c r="C92" s="17" t="n">
        <v>880039</v>
      </c>
      <c r="D92" s="17" t="inlineStr">
        <is>
          <t>0.068040</t>
        </is>
      </c>
      <c r="E92" s="17" t="inlineStr">
        <is>
          <t>0.475 SOL</t>
        </is>
      </c>
      <c r="F92" s="17" t="inlineStr">
        <is>
          <t>1.167 SOL</t>
        </is>
      </c>
      <c r="G92" s="24" t="inlineStr">
        <is>
          <t>0.624 SOL</t>
        </is>
      </c>
      <c r="H92" s="24" t="inlineStr">
        <is>
          <t>114.99%</t>
        </is>
      </c>
      <c r="I92" s="17" t="inlineStr">
        <is>
          <t>N/A</t>
        </is>
      </c>
      <c r="J92" s="17" t="n">
        <v>2</v>
      </c>
      <c r="K92" s="17" t="n">
        <v>3</v>
      </c>
      <c r="L92" s="17" t="inlineStr">
        <is>
          <t>20.10.2024 16:44:33</t>
        </is>
      </c>
      <c r="M92" s="17" t="inlineStr">
        <is>
          <t>6 days</t>
        </is>
      </c>
      <c r="N92" s="17" t="inlineStr">
        <is>
          <t xml:space="preserve">         83K            86K            27K</t>
        </is>
      </c>
      <c r="O92" s="17" t="inlineStr">
        <is>
          <t>6vVfbQVRSXcfyQamPqCzcqmA86vCzb2d7B7gmDDqpump</t>
        </is>
      </c>
      <c r="P92" s="17">
        <f>HYPERLINK("https://dexscreener.com/solana/6vVfbQVRSXcfyQamPqCzcqmA86vCzb2d7B7gmDDqpump", "View")</f>
        <v/>
      </c>
    </row>
    <row r="93">
      <c r="A93" s="20" t="inlineStr">
        <is>
          <t>Desire</t>
        </is>
      </c>
      <c r="B93" s="21" t="n">
        <v>721235</v>
      </c>
      <c r="C93" s="21" t="n">
        <v>721235</v>
      </c>
      <c r="D93" s="21" t="inlineStr">
        <is>
          <t>0.000020</t>
        </is>
      </c>
      <c r="E93" s="21" t="inlineStr">
        <is>
          <t>0.126 SOL</t>
        </is>
      </c>
      <c r="F93" s="21" t="inlineStr">
        <is>
          <t>0.148 SOL</t>
        </is>
      </c>
      <c r="G93" s="22" t="inlineStr">
        <is>
          <t>0.021 SOL</t>
        </is>
      </c>
      <c r="H93" s="22" t="inlineStr">
        <is>
          <t>16.76%</t>
        </is>
      </c>
      <c r="I93" s="21" t="inlineStr">
        <is>
          <t>N/A</t>
        </is>
      </c>
      <c r="J93" s="21" t="n">
        <v>1</v>
      </c>
      <c r="K93" s="21" t="n">
        <v>1</v>
      </c>
      <c r="L93" s="21" t="inlineStr">
        <is>
          <t>20.10.2024 06:58:43</t>
        </is>
      </c>
      <c r="M93" s="21" t="inlineStr">
        <is>
          <t>5 min</t>
        </is>
      </c>
      <c r="N93" s="21" t="inlineStr">
        <is>
          <t xml:space="preserve">         32K            35K             4K</t>
        </is>
      </c>
      <c r="O93" s="21" t="inlineStr">
        <is>
          <t>4VDscJCtQNDTcRYrfvLPYyNroEQLVkKwg8yVszwspump</t>
        </is>
      </c>
      <c r="P93" s="21">
        <f>HYPERLINK("https://photon-sol.tinyastro.io/en/lp/4VDscJCtQNDTcRYrfvLPYyNroEQLVkKwg8yVszwspump?handle=676050794bc1b1657a56b", "View")</f>
        <v/>
      </c>
    </row>
    <row r="94">
      <c r="A94" s="16" t="inlineStr">
        <is>
          <t>🌕</t>
        </is>
      </c>
      <c r="B94" s="17" t="n">
        <v>1128690</v>
      </c>
      <c r="C94" s="17" t="n">
        <v>1028686</v>
      </c>
      <c r="D94" s="17" t="inlineStr">
        <is>
          <t>0.120050</t>
        </is>
      </c>
      <c r="E94" s="17" t="inlineStr">
        <is>
          <t>0.124 SOL</t>
        </is>
      </c>
      <c r="F94" s="17" t="inlineStr">
        <is>
          <t>2.278 SOL</t>
        </is>
      </c>
      <c r="G94" s="24" t="inlineStr">
        <is>
          <t>2.034 SOL</t>
        </is>
      </c>
      <c r="H94" s="24" t="inlineStr">
        <is>
          <t>832.23%</t>
        </is>
      </c>
      <c r="I94" s="17" t="inlineStr">
        <is>
          <t>N/A</t>
        </is>
      </c>
      <c r="J94" s="17" t="n">
        <v>1</v>
      </c>
      <c r="K94" s="17" t="n">
        <v>6</v>
      </c>
      <c r="L94" s="17" t="inlineStr">
        <is>
          <t>20.10.2024 06:21:08</t>
        </is>
      </c>
      <c r="M94" s="17" t="inlineStr">
        <is>
          <t>3 hours</t>
        </is>
      </c>
      <c r="N94" s="17" t="inlineStr">
        <is>
          <t xml:space="preserve">         19K           286K            12K</t>
        </is>
      </c>
      <c r="O94" s="17" t="inlineStr">
        <is>
          <t>6dDdaqnP5CYD3rNRRu2yq7guDh2WXJth5pgaXzX1pump</t>
        </is>
      </c>
      <c r="P94" s="17">
        <f>HYPERLINK("https://photon-sol.tinyastro.io/en/lp/6dDdaqnP5CYD3rNRRu2yq7guDh2WXJth5pgaXzX1pump?handle=676050794bc1b1657a56b", "View")</f>
        <v/>
      </c>
    </row>
    <row r="95">
      <c r="A95" s="20" t="inlineStr">
        <is>
          <t>pmarca</t>
        </is>
      </c>
      <c r="B95" s="21" t="n">
        <v>14316190</v>
      </c>
      <c r="C95" s="21" t="n">
        <v>14316190</v>
      </c>
      <c r="D95" s="21" t="inlineStr">
        <is>
          <t>0.000020</t>
        </is>
      </c>
      <c r="E95" s="21" t="inlineStr">
        <is>
          <t>0.463 SOL</t>
        </is>
      </c>
      <c r="F95" s="21" t="inlineStr">
        <is>
          <t>0.786 SOL</t>
        </is>
      </c>
      <c r="G95" s="24" t="inlineStr">
        <is>
          <t>0.323 SOL</t>
        </is>
      </c>
      <c r="H95" s="24" t="inlineStr">
        <is>
          <t>69.85%</t>
        </is>
      </c>
      <c r="I95" s="21" t="inlineStr">
        <is>
          <t>N/A</t>
        </is>
      </c>
      <c r="J95" s="21" t="n">
        <v>1</v>
      </c>
      <c r="K95" s="21" t="n">
        <v>1</v>
      </c>
      <c r="L95" s="21" t="inlineStr">
        <is>
          <t>20.10.2024 04:03:26</t>
        </is>
      </c>
      <c r="M95" s="19" t="inlineStr">
        <is>
          <t>11 sec</t>
        </is>
      </c>
      <c r="N95" s="21" t="inlineStr">
        <is>
          <t xml:space="preserve">          5K             9K             6K</t>
        </is>
      </c>
      <c r="O95" s="21" t="inlineStr">
        <is>
          <t>5LH1SZSnVuNAfvZ639w7zZRLCcco2mRUfRMjhnd7pump</t>
        </is>
      </c>
      <c r="P95" s="21">
        <f>HYPERLINK("https://photon-sol.tinyastro.io/en/lp/5LH1SZSnVuNAfvZ639w7zZRLCcco2mRUfRMjhnd7pump?handle=676050794bc1b1657a56b", "View")</f>
        <v/>
      </c>
    </row>
    <row r="96">
      <c r="A96" s="16" t="inlineStr">
        <is>
          <t>robobeast</t>
        </is>
      </c>
      <c r="B96" s="17" t="n">
        <v>5241760</v>
      </c>
      <c r="C96" s="17" t="n">
        <v>5241760</v>
      </c>
      <c r="D96" s="17" t="inlineStr">
        <is>
          <t>0.000020</t>
        </is>
      </c>
      <c r="E96" s="17" t="inlineStr">
        <is>
          <t>0.862 SOL</t>
        </is>
      </c>
      <c r="F96" s="17" t="inlineStr">
        <is>
          <t>0.275 SOL</t>
        </is>
      </c>
      <c r="G96" s="23" t="inlineStr">
        <is>
          <t>-0.587 SOL</t>
        </is>
      </c>
      <c r="H96" s="23" t="inlineStr">
        <is>
          <t>-68.11%</t>
        </is>
      </c>
      <c r="I96" s="17" t="inlineStr">
        <is>
          <t>N/A</t>
        </is>
      </c>
      <c r="J96" s="17" t="n">
        <v>1</v>
      </c>
      <c r="K96" s="17" t="n">
        <v>1</v>
      </c>
      <c r="L96" s="17" t="inlineStr">
        <is>
          <t>20.10.2024 03:57:57</t>
        </is>
      </c>
      <c r="M96" s="17" t="inlineStr">
        <is>
          <t>1 min</t>
        </is>
      </c>
      <c r="N96" s="17" t="inlineStr">
        <is>
          <t xml:space="preserve">         28K             9K             5K</t>
        </is>
      </c>
      <c r="O96" s="17" t="inlineStr">
        <is>
          <t>34qnU5uGXEBVnWyhkKAXFBR2mwyQ2Ygz6kH9RvC9pump</t>
        </is>
      </c>
      <c r="P96" s="17">
        <f>HYPERLINK("https://photon-sol.tinyastro.io/en/lp/34qnU5uGXEBVnWyhkKAXFBR2mwyQ2Ygz6kH9RvC9pump?handle=676050794bc1b1657a56b", "View")</f>
        <v/>
      </c>
    </row>
    <row r="97">
      <c r="A97" s="20" t="inlineStr">
        <is>
          <t>HOPE</t>
        </is>
      </c>
      <c r="B97" s="21" t="n">
        <v>38664</v>
      </c>
      <c r="C97" s="21" t="n">
        <v>38664</v>
      </c>
      <c r="D97" s="21" t="inlineStr">
        <is>
          <t>0.000020</t>
        </is>
      </c>
      <c r="E97" s="21" t="inlineStr">
        <is>
          <t>0.120 SOL</t>
        </is>
      </c>
      <c r="F97" s="21" t="inlineStr">
        <is>
          <t>0.030 SOL</t>
        </is>
      </c>
      <c r="G97" s="23" t="inlineStr">
        <is>
          <t>-0.090 SOL</t>
        </is>
      </c>
      <c r="H97" s="23" t="inlineStr">
        <is>
          <t>-74.86%</t>
        </is>
      </c>
      <c r="I97" s="21" t="inlineStr">
        <is>
          <t>N/A</t>
        </is>
      </c>
      <c r="J97" s="21" t="n">
        <v>1</v>
      </c>
      <c r="K97" s="21" t="n">
        <v>1</v>
      </c>
      <c r="L97" s="21" t="inlineStr">
        <is>
          <t>20.10.2024 02:49:07</t>
        </is>
      </c>
      <c r="M97" s="21" t="inlineStr">
        <is>
          <t>9 hours</t>
        </is>
      </c>
      <c r="N97" s="21" t="inlineStr">
        <is>
          <t xml:space="preserve">        N/A           N/A           N/A</t>
        </is>
      </c>
      <c r="O97" s="21" t="inlineStr">
        <is>
          <t>BBhmss7WDYaBud8PWyVAL2hEpgfLmxRczsRPNaNHpump</t>
        </is>
      </c>
      <c r="P97" s="21">
        <f>HYPERLINK("https://dexscreener.com/solana/BBhmss7WDYaBud8PWyVAL2hEpgfLmxRczsRPNaNHpump", "View")</f>
        <v/>
      </c>
    </row>
    <row r="98">
      <c r="A98" s="16" t="inlineStr">
        <is>
          <t>Orb</t>
        </is>
      </c>
      <c r="B98" s="17" t="n">
        <v>39022860</v>
      </c>
      <c r="C98" s="17" t="n">
        <v>39022860</v>
      </c>
      <c r="D98" s="17" t="inlineStr">
        <is>
          <t>0.030090</t>
        </is>
      </c>
      <c r="E98" s="17" t="inlineStr">
        <is>
          <t>2.995 SOL</t>
        </is>
      </c>
      <c r="F98" s="17" t="inlineStr">
        <is>
          <t>43.351 SOL</t>
        </is>
      </c>
      <c r="G98" s="24" t="inlineStr">
        <is>
          <t>40.326 SOL</t>
        </is>
      </c>
      <c r="H98" s="24" t="inlineStr">
        <is>
          <t>1333.24%</t>
        </is>
      </c>
      <c r="I98" s="17" t="inlineStr">
        <is>
          <t>N/A</t>
        </is>
      </c>
      <c r="J98" s="17" t="n">
        <v>1</v>
      </c>
      <c r="K98" s="17" t="n">
        <v>8</v>
      </c>
      <c r="L98" s="17" t="inlineStr">
        <is>
          <t>18.10.2024 20:37:38</t>
        </is>
      </c>
      <c r="M98" s="17" t="inlineStr">
        <is>
          <t>18 min</t>
        </is>
      </c>
      <c r="N98" s="17" t="inlineStr">
        <is>
          <t xml:space="preserve">         14K           444K             8K</t>
        </is>
      </c>
      <c r="O98" s="17" t="inlineStr">
        <is>
          <t>Awif5iQnv1J2x6RHJrh3cNyaH2ghu47DsJfRgFwSpump</t>
        </is>
      </c>
      <c r="P98" s="17">
        <f>HYPERLINK("https://photon-sol.tinyastro.io/en/lp/Awif5iQnv1J2x6RHJrh3cNyaH2ghu47DsJfRgFwSpump?handle=676050794bc1b1657a56b", "View")</f>
        <v/>
      </c>
    </row>
    <row r="99">
      <c r="A99" s="20" t="inlineStr">
        <is>
          <t>$schizo</t>
        </is>
      </c>
      <c r="B99" s="21" t="n">
        <v>1359077</v>
      </c>
      <c r="C99" s="21" t="n">
        <v>1359077</v>
      </c>
      <c r="D99" s="21" t="inlineStr">
        <is>
          <t>0.000020</t>
        </is>
      </c>
      <c r="E99" s="21" t="inlineStr">
        <is>
          <t>0.120 SOL</t>
        </is>
      </c>
      <c r="F99" s="21" t="inlineStr">
        <is>
          <t>0.250 SOL</t>
        </is>
      </c>
      <c r="G99" s="24" t="inlineStr">
        <is>
          <t>0.130 SOL</t>
        </is>
      </c>
      <c r="H99" s="24" t="inlineStr">
        <is>
          <t>108.25%</t>
        </is>
      </c>
      <c r="I99" s="21" t="inlineStr">
        <is>
          <t>N/A</t>
        </is>
      </c>
      <c r="J99" s="21" t="n">
        <v>1</v>
      </c>
      <c r="K99" s="21" t="n">
        <v>1</v>
      </c>
      <c r="L99" s="21" t="inlineStr">
        <is>
          <t>18.10.2024 04:00:03</t>
        </is>
      </c>
      <c r="M99" s="21" t="inlineStr">
        <is>
          <t>23 hours</t>
        </is>
      </c>
      <c r="N99" s="21" t="inlineStr">
        <is>
          <t xml:space="preserve">         16K            16K            12K</t>
        </is>
      </c>
      <c r="O99" s="21" t="inlineStr">
        <is>
          <t>CZsStABB8aZKiDRyMf6hLpQFxzXpjRuJBhHMFVrBVoo3</t>
        </is>
      </c>
      <c r="P99" s="21">
        <f>HYPERLINK("https://dexscreener.com/solana/CZsStABB8aZKiDRyMf6hLpQFxzXpjRuJBhHMFVrBVoo3", "View")</f>
        <v/>
      </c>
    </row>
    <row r="100">
      <c r="A100" s="16" t="inlineStr">
        <is>
          <t>Luis Simo</t>
        </is>
      </c>
      <c r="B100" s="17" t="n">
        <v>745037</v>
      </c>
      <c r="C100" s="17" t="n">
        <v>745037</v>
      </c>
      <c r="D100" s="17" t="inlineStr">
        <is>
          <t>0.000020</t>
        </is>
      </c>
      <c r="E100" s="17" t="inlineStr">
        <is>
          <t>0.104 SOL</t>
        </is>
      </c>
      <c r="F100" s="17" t="inlineStr">
        <is>
          <t>0.091 SOL</t>
        </is>
      </c>
      <c r="G100" s="25" t="inlineStr">
        <is>
          <t>-0.013 SOL</t>
        </is>
      </c>
      <c r="H100" s="25" t="inlineStr">
        <is>
          <t>-12.89%</t>
        </is>
      </c>
      <c r="I100" s="17" t="inlineStr">
        <is>
          <t>N/A</t>
        </is>
      </c>
      <c r="J100" s="17" t="n">
        <v>1</v>
      </c>
      <c r="K100" s="17" t="n">
        <v>1</v>
      </c>
      <c r="L100" s="17" t="inlineStr">
        <is>
          <t>17.10.2024 17:55:52</t>
        </is>
      </c>
      <c r="M100" s="17" t="inlineStr">
        <is>
          <t>8 min</t>
        </is>
      </c>
      <c r="N100" s="17" t="inlineStr">
        <is>
          <t xml:space="preserve">         25K            21K             3K</t>
        </is>
      </c>
      <c r="O100" s="17" t="inlineStr">
        <is>
          <t>5j2sn474JVJh2Emy2oUQGsaQQaBD2SVSt9GuQ69Jpump</t>
        </is>
      </c>
      <c r="P100" s="17">
        <f>HYPERLINK("https://photon-sol.tinyastro.io/en/lp/5j2sn474JVJh2Emy2oUQGsaQQaBD2SVSt9GuQ69Jpump?handle=676050794bc1b1657a56b", "View")</f>
        <v/>
      </c>
    </row>
    <row r="101">
      <c r="A101" s="20" t="inlineStr">
        <is>
          <t>BERT</t>
        </is>
      </c>
      <c r="B101" s="21" t="n">
        <v>10808656</v>
      </c>
      <c r="C101" s="21" t="n">
        <v>10808656</v>
      </c>
      <c r="D101" s="21" t="inlineStr">
        <is>
          <t>0.000020</t>
        </is>
      </c>
      <c r="E101" s="21" t="inlineStr">
        <is>
          <t>1.014 SOL</t>
        </is>
      </c>
      <c r="F101" s="21" t="inlineStr">
        <is>
          <t>0.335 SOL</t>
        </is>
      </c>
      <c r="G101" s="23" t="inlineStr">
        <is>
          <t>-0.679 SOL</t>
        </is>
      </c>
      <c r="H101" s="23" t="inlineStr">
        <is>
          <t>-66.95%</t>
        </is>
      </c>
      <c r="I101" s="21" t="inlineStr">
        <is>
          <t>N/A</t>
        </is>
      </c>
      <c r="J101" s="21" t="n">
        <v>1</v>
      </c>
      <c r="K101" s="21" t="n">
        <v>1</v>
      </c>
      <c r="L101" s="21" t="inlineStr">
        <is>
          <t>17.10.2024 03:51:34</t>
        </is>
      </c>
      <c r="M101" s="21" t="inlineStr">
        <is>
          <t>11 min</t>
        </is>
      </c>
      <c r="N101" s="21" t="inlineStr">
        <is>
          <t xml:space="preserve">         16K             5K             5K</t>
        </is>
      </c>
      <c r="O101" s="21" t="inlineStr">
        <is>
          <t>6gsh5Y7XcvKmRZYjT3tCKZwcwZrN3CfduPsqZft1pump</t>
        </is>
      </c>
      <c r="P101" s="21">
        <f>HYPERLINK("https://photon-sol.tinyastro.io/en/lp/6gsh5Y7XcvKmRZYjT3tCKZwcwZrN3CfduPsqZft1pump?handle=676050794bc1b1657a56b", "View")</f>
        <v/>
      </c>
    </row>
    <row r="102">
      <c r="A102" s="16" t="inlineStr">
        <is>
          <t>Inshallah</t>
        </is>
      </c>
      <c r="B102" s="17" t="n">
        <v>105940</v>
      </c>
      <c r="C102" s="17" t="n">
        <v>0</v>
      </c>
      <c r="D102" s="17" t="inlineStr">
        <is>
          <t>0.008000</t>
        </is>
      </c>
      <c r="E102" s="17" t="inlineStr">
        <is>
          <t>0.010 SOL</t>
        </is>
      </c>
      <c r="F102" s="17" t="inlineStr">
        <is>
          <t>0.000 SOL</t>
        </is>
      </c>
      <c r="G102" s="18" t="inlineStr">
        <is>
          <t>-0.018 SOL</t>
        </is>
      </c>
      <c r="H102" s="18" t="inlineStr">
        <is>
          <t>0.00%</t>
        </is>
      </c>
      <c r="I102" s="17" t="inlineStr">
        <is>
          <t>105,940</t>
        </is>
      </c>
      <c r="J102" s="17" t="n">
        <v>1</v>
      </c>
      <c r="K102" s="17" t="n">
        <v>0</v>
      </c>
      <c r="L102" s="17" t="inlineStr">
        <is>
          <t>16.10.2024 18:35:29</t>
        </is>
      </c>
      <c r="M102" s="19" t="inlineStr">
        <is>
          <t>0 sec</t>
        </is>
      </c>
      <c r="N102" s="17" t="inlineStr">
        <is>
          <t xml:space="preserve">         15K            15K             6K</t>
        </is>
      </c>
      <c r="O102" s="17" t="inlineStr">
        <is>
          <t>GBeRbFsD9trCxcXZR9SKPUDF7CV6CNM1ahoVcn44pump</t>
        </is>
      </c>
      <c r="P102" s="17">
        <f>HYPERLINK("https://dexscreener.com/solana/GBeRbFsD9trCxcXZR9SKPUDF7CV6CNM1ahoVcn44pump", "View")</f>
        <v/>
      </c>
    </row>
    <row r="103">
      <c r="A103" s="20" t="inlineStr">
        <is>
          <t>Furby</t>
        </is>
      </c>
      <c r="B103" s="21" t="n">
        <v>9346021</v>
      </c>
      <c r="C103" s="21" t="n">
        <v>9346021</v>
      </c>
      <c r="D103" s="21" t="inlineStr">
        <is>
          <t>0.000020</t>
        </is>
      </c>
      <c r="E103" s="21" t="inlineStr">
        <is>
          <t>0.871 SOL</t>
        </is>
      </c>
      <c r="F103" s="21" t="inlineStr">
        <is>
          <t>1.034 SOL</t>
        </is>
      </c>
      <c r="G103" s="22" t="inlineStr">
        <is>
          <t>0.163 SOL</t>
        </is>
      </c>
      <c r="H103" s="22" t="inlineStr">
        <is>
          <t>18.73%</t>
        </is>
      </c>
      <c r="I103" s="21" t="inlineStr">
        <is>
          <t>N/A</t>
        </is>
      </c>
      <c r="J103" s="21" t="n">
        <v>1</v>
      </c>
      <c r="K103" s="21" t="n">
        <v>1</v>
      </c>
      <c r="L103" s="21" t="inlineStr">
        <is>
          <t>16.10.2024 05:03:52</t>
        </is>
      </c>
      <c r="M103" s="19" t="inlineStr">
        <is>
          <t>11 sec</t>
        </is>
      </c>
      <c r="N103" s="21" t="inlineStr">
        <is>
          <t xml:space="preserve">         16K            19K             3K</t>
        </is>
      </c>
      <c r="O103" s="21" t="inlineStr">
        <is>
          <t>rrBcrhQznDEk3RwRQV88wymvDEkW5uJJeAbFyj8pump</t>
        </is>
      </c>
      <c r="P103" s="21">
        <f>HYPERLINK("https://photon-sol.tinyastro.io/en/lp/rrBcrhQznDEk3RwRQV88wymvDEkW5uJJeAbFyj8pump?handle=676050794bc1b1657a56b", "View")</f>
        <v/>
      </c>
    </row>
    <row r="104">
      <c r="A104" s="16" t="inlineStr">
        <is>
          <t>Sugor</t>
        </is>
      </c>
      <c r="B104" s="17" t="n">
        <v>2345383</v>
      </c>
      <c r="C104" s="17" t="n">
        <v>2345383</v>
      </c>
      <c r="D104" s="17" t="inlineStr">
        <is>
          <t>0.030020</t>
        </is>
      </c>
      <c r="E104" s="17" t="inlineStr">
        <is>
          <t>0.289 SOL</t>
        </is>
      </c>
      <c r="F104" s="17" t="inlineStr">
        <is>
          <t>0.591 SOL</t>
        </is>
      </c>
      <c r="G104" s="24" t="inlineStr">
        <is>
          <t>0.273 SOL</t>
        </is>
      </c>
      <c r="H104" s="24" t="inlineStr">
        <is>
          <t>85.61%</t>
        </is>
      </c>
      <c r="I104" s="17" t="inlineStr">
        <is>
          <t>N/A</t>
        </is>
      </c>
      <c r="J104" s="17" t="n">
        <v>1</v>
      </c>
      <c r="K104" s="17" t="n">
        <v>1</v>
      </c>
      <c r="L104" s="17" t="inlineStr">
        <is>
          <t>15.10.2024 21:38:55</t>
        </is>
      </c>
      <c r="M104" s="17" t="inlineStr">
        <is>
          <t>32 min</t>
        </is>
      </c>
      <c r="N104" s="17" t="inlineStr">
        <is>
          <t xml:space="preserve">         21K            44K             5K</t>
        </is>
      </c>
      <c r="O104" s="17" t="inlineStr">
        <is>
          <t>EkGnsyMyBwYUqvur5NVrSjaFmuMRKJY7k1VAYEivpump</t>
        </is>
      </c>
      <c r="P104" s="17">
        <f>HYPERLINK("https://photon-sol.tinyastro.io/en/lp/EkGnsyMyBwYUqvur5NVrSjaFmuMRKJY7k1VAYEivpump?handle=676050794bc1b1657a56b", "View")</f>
        <v/>
      </c>
    </row>
    <row r="105">
      <c r="A105" s="20" t="inlineStr">
        <is>
          <t>STLW</t>
        </is>
      </c>
      <c r="B105" s="21" t="n">
        <v>661540</v>
      </c>
      <c r="C105" s="21" t="n">
        <v>507327</v>
      </c>
      <c r="D105" s="21" t="inlineStr">
        <is>
          <t>0.000030</t>
        </is>
      </c>
      <c r="E105" s="21" t="inlineStr">
        <is>
          <t>0.400 SOL</t>
        </is>
      </c>
      <c r="F105" s="21" t="inlineStr">
        <is>
          <t>0.355 SOL</t>
        </is>
      </c>
      <c r="G105" s="25" t="inlineStr">
        <is>
          <t>-0.045 SOL</t>
        </is>
      </c>
      <c r="H105" s="25" t="inlineStr">
        <is>
          <t>-11.18%</t>
        </is>
      </c>
      <c r="I105" s="21" t="inlineStr">
        <is>
          <t>N/A</t>
        </is>
      </c>
      <c r="J105" s="21" t="n">
        <v>2</v>
      </c>
      <c r="K105" s="21" t="n">
        <v>1</v>
      </c>
      <c r="L105" s="21" t="inlineStr">
        <is>
          <t>14.10.2024 19:37:31</t>
        </is>
      </c>
      <c r="M105" s="21" t="inlineStr">
        <is>
          <t>31 min</t>
        </is>
      </c>
      <c r="N105" s="21" t="inlineStr">
        <is>
          <t xml:space="preserve">         93K           103K            80K</t>
        </is>
      </c>
      <c r="O105" s="21" t="inlineStr">
        <is>
          <t>6j7Nz72bD6PQKLVTQ4wKH1cweQHoPvsYR7qh2capump</t>
        </is>
      </c>
      <c r="P105" s="21">
        <f>HYPERLINK("https://dexscreener.com/solana/6j7Nz72bD6PQKLVTQ4wKH1cweQHoPvsYR7qh2capump", "View")</f>
        <v/>
      </c>
    </row>
    <row r="106">
      <c r="A106" s="16" t="inlineStr">
        <is>
          <t>ANG</t>
        </is>
      </c>
      <c r="B106" s="17" t="n">
        <v>12392675</v>
      </c>
      <c r="C106" s="17" t="n">
        <v>12392675</v>
      </c>
      <c r="D106" s="17" t="inlineStr">
        <is>
          <t>0.000020</t>
        </is>
      </c>
      <c r="E106" s="17" t="inlineStr">
        <is>
          <t>0.837 SOL</t>
        </is>
      </c>
      <c r="F106" s="17" t="inlineStr">
        <is>
          <t>1.121 SOL</t>
        </is>
      </c>
      <c r="G106" s="22" t="inlineStr">
        <is>
          <t>0.284 SOL</t>
        </is>
      </c>
      <c r="H106" s="22" t="inlineStr">
        <is>
          <t>33.95%</t>
        </is>
      </c>
      <c r="I106" s="17" t="inlineStr">
        <is>
          <t>N/A</t>
        </is>
      </c>
      <c r="J106" s="17" t="n">
        <v>1</v>
      </c>
      <c r="K106" s="17" t="n">
        <v>1</v>
      </c>
      <c r="L106" s="17" t="inlineStr">
        <is>
          <t>14.10.2024 18:04:38</t>
        </is>
      </c>
      <c r="M106" s="19" t="inlineStr">
        <is>
          <t>25 sec</t>
        </is>
      </c>
      <c r="N106" s="17" t="inlineStr">
        <is>
          <t xml:space="preserve">        N/A           N/A           N/A</t>
        </is>
      </c>
      <c r="O106" s="17" t="inlineStr">
        <is>
          <t>9drSqmcaPiR9nzfaA23XxozW7HJJidCDmWGVZ1Qqpump</t>
        </is>
      </c>
      <c r="P106" s="17">
        <f>HYPERLINK("https://photon-sol.tinyastro.io/en/lp/9drSqmcaPiR9nzfaA23XxozW7HJJidCDmWGVZ1Qqpump?handle=676050794bc1b1657a56b", "View")</f>
        <v/>
      </c>
    </row>
    <row r="107">
      <c r="A107" s="20" t="inlineStr">
        <is>
          <t>Gangshit</t>
        </is>
      </c>
      <c r="B107" s="21" t="n">
        <v>14356624</v>
      </c>
      <c r="C107" s="21" t="n">
        <v>14356624</v>
      </c>
      <c r="D107" s="21" t="inlineStr">
        <is>
          <t>0.080020</t>
        </is>
      </c>
      <c r="E107" s="21" t="inlineStr">
        <is>
          <t>0.644 SOL</t>
        </is>
      </c>
      <c r="F107" s="21" t="inlineStr">
        <is>
          <t>1.742 SOL</t>
        </is>
      </c>
      <c r="G107" s="24" t="inlineStr">
        <is>
          <t>1.018 SOL</t>
        </is>
      </c>
      <c r="H107" s="24" t="inlineStr">
        <is>
          <t>140.54%</t>
        </is>
      </c>
      <c r="I107" s="21" t="inlineStr">
        <is>
          <t>N/A</t>
        </is>
      </c>
      <c r="J107" s="21" t="n">
        <v>1</v>
      </c>
      <c r="K107" s="21" t="n">
        <v>1</v>
      </c>
      <c r="L107" s="21" t="inlineStr">
        <is>
          <t>14.10.2024 17:37:58</t>
        </is>
      </c>
      <c r="M107" s="19" t="inlineStr">
        <is>
          <t>16 sec</t>
        </is>
      </c>
      <c r="N107" s="21" t="inlineStr">
        <is>
          <t xml:space="preserve">        N/A           N/A           N/A</t>
        </is>
      </c>
      <c r="O107" s="21" t="inlineStr">
        <is>
          <t>DzLjh4aHDifnyKNLpS6pFVaawTV2St3Ji9XDH7Gfpump</t>
        </is>
      </c>
      <c r="P107" s="21">
        <f>HYPERLINK("https://photon-sol.tinyastro.io/en/lp/DzLjh4aHDifnyKNLpS6pFVaawTV2St3Ji9XDH7Gfpump?handle=676050794bc1b1657a56b", "View")</f>
        <v/>
      </c>
    </row>
    <row r="108">
      <c r="A108" s="16" t="inlineStr">
        <is>
          <t>HUNCH</t>
        </is>
      </c>
      <c r="B108" s="17" t="n">
        <v>7243364</v>
      </c>
      <c r="C108" s="17" t="n">
        <v>7243364</v>
      </c>
      <c r="D108" s="17" t="inlineStr">
        <is>
          <t>0.000020</t>
        </is>
      </c>
      <c r="E108" s="17" t="inlineStr">
        <is>
          <t>0.606 SOL</t>
        </is>
      </c>
      <c r="F108" s="17" t="inlineStr">
        <is>
          <t>0.676 SOL</t>
        </is>
      </c>
      <c r="G108" s="22" t="inlineStr">
        <is>
          <t>0.070 SOL</t>
        </is>
      </c>
      <c r="H108" s="22" t="inlineStr">
        <is>
          <t>11.56%</t>
        </is>
      </c>
      <c r="I108" s="17" t="inlineStr">
        <is>
          <t>N/A</t>
        </is>
      </c>
      <c r="J108" s="17" t="n">
        <v>1</v>
      </c>
      <c r="K108" s="17" t="n">
        <v>1</v>
      </c>
      <c r="L108" s="17" t="inlineStr">
        <is>
          <t>14.10.2024 17:34:53</t>
        </is>
      </c>
      <c r="M108" s="19" t="inlineStr">
        <is>
          <t>30 sec</t>
        </is>
      </c>
      <c r="N108" s="17" t="inlineStr">
        <is>
          <t xml:space="preserve">        N/A           N/A           N/A</t>
        </is>
      </c>
      <c r="O108" s="17" t="inlineStr">
        <is>
          <t>6R2JgYeKsFx4awnGJxQd2w3sx33SuSJ6mqZrZWPUpump</t>
        </is>
      </c>
      <c r="P108" s="17">
        <f>HYPERLINK("https://photon-sol.tinyastro.io/en/lp/6R2JgYeKsFx4awnGJxQd2w3sx33SuSJ6mqZrZWPUpump?handle=676050794bc1b1657a56b", "View")</f>
        <v/>
      </c>
    </row>
    <row r="109">
      <c r="A109" s="20" t="inlineStr">
        <is>
          <t>smol</t>
        </is>
      </c>
      <c r="B109" s="21" t="n">
        <v>8563356</v>
      </c>
      <c r="C109" s="21" t="n">
        <v>8563356</v>
      </c>
      <c r="D109" s="21" t="inlineStr">
        <is>
          <t>0.080020</t>
        </is>
      </c>
      <c r="E109" s="21" t="inlineStr">
        <is>
          <t>0.528 SOL</t>
        </is>
      </c>
      <c r="F109" s="21" t="inlineStr">
        <is>
          <t>0.774 SOL</t>
        </is>
      </c>
      <c r="G109" s="22" t="inlineStr">
        <is>
          <t>0.166 SOL</t>
        </is>
      </c>
      <c r="H109" s="22" t="inlineStr">
        <is>
          <t>27.22%</t>
        </is>
      </c>
      <c r="I109" s="21" t="inlineStr">
        <is>
          <t>N/A</t>
        </is>
      </c>
      <c r="J109" s="21" t="n">
        <v>1</v>
      </c>
      <c r="K109" s="21" t="n">
        <v>1</v>
      </c>
      <c r="L109" s="21" t="inlineStr">
        <is>
          <t>14.10.2024 17:32:30</t>
        </is>
      </c>
      <c r="M109" s="19" t="inlineStr">
        <is>
          <t>24 sec</t>
        </is>
      </c>
      <c r="N109" s="21" t="inlineStr">
        <is>
          <t xml:space="preserve">        N/A           N/A           N/A</t>
        </is>
      </c>
      <c r="O109" s="21" t="inlineStr">
        <is>
          <t>5gjdeLq969dLyeqvv7xw7bae6gPyM2WMwi5Pnm94pump</t>
        </is>
      </c>
      <c r="P109" s="21">
        <f>HYPERLINK("https://photon-sol.tinyastro.io/en/lp/5gjdeLq969dLyeqvv7xw7bae6gPyM2WMwi5Pnm94pump?handle=676050794bc1b1657a56b", "View")</f>
        <v/>
      </c>
    </row>
    <row r="110">
      <c r="A110" s="16" t="inlineStr">
        <is>
          <t>GOOBY</t>
        </is>
      </c>
      <c r="B110" s="17" t="n">
        <v>44</v>
      </c>
      <c r="C110" s="17" t="n">
        <v>44</v>
      </c>
      <c r="D110" s="17" t="inlineStr">
        <is>
          <t>0.001270</t>
        </is>
      </c>
      <c r="E110" s="17" t="inlineStr">
        <is>
          <t>0.300 SOL</t>
        </is>
      </c>
      <c r="F110" s="17" t="inlineStr">
        <is>
          <t>0.133 SOL</t>
        </is>
      </c>
      <c r="G110" s="23" t="inlineStr">
        <is>
          <t>-0.168 SOL</t>
        </is>
      </c>
      <c r="H110" s="23" t="inlineStr">
        <is>
          <t>-55.78%</t>
        </is>
      </c>
      <c r="I110" s="17" t="inlineStr">
        <is>
          <t>N/A</t>
        </is>
      </c>
      <c r="J110" s="17" t="n">
        <v>1</v>
      </c>
      <c r="K110" s="17" t="n">
        <v>1</v>
      </c>
      <c r="L110" s="17" t="inlineStr">
        <is>
          <t>14.10.2024 16:35:48</t>
        </is>
      </c>
      <c r="M110" s="17" t="inlineStr">
        <is>
          <t>1 min</t>
        </is>
      </c>
      <c r="N110" s="17" t="inlineStr">
        <is>
          <t xml:space="preserve">        N/A           N/A           N/A</t>
        </is>
      </c>
      <c r="O110" s="17" t="inlineStr">
        <is>
          <t>Ga6VkyPxLJdKdyofHJh5NegCzuE4QE6rEARrBYwKbzCv</t>
        </is>
      </c>
      <c r="P110" s="17">
        <f>HYPERLINK("https://dexscreener.com/solana/Ga6VkyPxLJdKdyofHJh5NegCzuE4QE6rEARrBYwKbzCv", "View")</f>
        <v/>
      </c>
    </row>
    <row r="111">
      <c r="A111" s="20" t="inlineStr">
        <is>
          <t>TREE</t>
        </is>
      </c>
      <c r="B111" s="21" t="n">
        <v>366360</v>
      </c>
      <c r="C111" s="21" t="n">
        <v>340851</v>
      </c>
      <c r="D111" s="21" t="inlineStr">
        <is>
          <t>0.048040</t>
        </is>
      </c>
      <c r="E111" s="21" t="inlineStr">
        <is>
          <t>0.200 SOL</t>
        </is>
      </c>
      <c r="F111" s="21" t="inlineStr">
        <is>
          <t>4.307 SOL</t>
        </is>
      </c>
      <c r="G111" s="24" t="inlineStr">
        <is>
          <t>4.059 SOL</t>
        </is>
      </c>
      <c r="H111" s="24" t="inlineStr">
        <is>
          <t>1636.38%</t>
        </is>
      </c>
      <c r="I111" s="21" t="inlineStr">
        <is>
          <t>N/A</t>
        </is>
      </c>
      <c r="J111" s="21" t="n">
        <v>1</v>
      </c>
      <c r="K111" s="21" t="n">
        <v>6</v>
      </c>
      <c r="L111" s="21" t="inlineStr">
        <is>
          <t>14.10.2024 15:49:09</t>
        </is>
      </c>
      <c r="M111" s="21" t="inlineStr">
        <is>
          <t>1 days</t>
        </is>
      </c>
      <c r="N111" s="21" t="inlineStr">
        <is>
          <t xml:space="preserve">         97K             1M           177K</t>
        </is>
      </c>
      <c r="O111" s="21" t="inlineStr">
        <is>
          <t>BMpFQJXd7KBLJBp174fKCFcDxyrd1cTXaFvcudJLpump</t>
        </is>
      </c>
      <c r="P111" s="21">
        <f>HYPERLINK("https://dexscreener.com/solana/BMpFQJXd7KBLJBp174fKCFcDxyrd1cTXaFvcudJLpump", "View")</f>
        <v/>
      </c>
    </row>
    <row r="112">
      <c r="A112" s="16" t="inlineStr">
        <is>
          <t>AIFather</t>
        </is>
      </c>
      <c r="B112" s="17" t="n">
        <v>17967498</v>
      </c>
      <c r="C112" s="17" t="n">
        <v>17967498</v>
      </c>
      <c r="D112" s="17" t="inlineStr">
        <is>
          <t>0.024020</t>
        </is>
      </c>
      <c r="E112" s="17" t="inlineStr">
        <is>
          <t>0.400 SOL</t>
        </is>
      </c>
      <c r="F112" s="17" t="inlineStr">
        <is>
          <t>0.511 SOL</t>
        </is>
      </c>
      <c r="G112" s="22" t="inlineStr">
        <is>
          <t>0.087 SOL</t>
        </is>
      </c>
      <c r="H112" s="22" t="inlineStr">
        <is>
          <t>20.50%</t>
        </is>
      </c>
      <c r="I112" s="17" t="inlineStr">
        <is>
          <t>N/A</t>
        </is>
      </c>
      <c r="J112" s="17" t="n">
        <v>1</v>
      </c>
      <c r="K112" s="17" t="n">
        <v>2</v>
      </c>
      <c r="L112" s="17" t="inlineStr">
        <is>
          <t>14.10.2024 15:38:28</t>
        </is>
      </c>
      <c r="M112" s="17" t="inlineStr">
        <is>
          <t>49 min</t>
        </is>
      </c>
      <c r="N112" s="17" t="inlineStr">
        <is>
          <t xml:space="preserve">        N/A           N/A           N/A</t>
        </is>
      </c>
      <c r="O112" s="17" t="inlineStr">
        <is>
          <t>7UPqY8cm9XEt9uYTF523RSvUQREpWG5DuBVoc5jiBgV8</t>
        </is>
      </c>
      <c r="P112" s="17">
        <f>HYPERLINK("https://dexscreener.com/solana/7UPqY8cm9XEt9uYTF523RSvUQREpWG5DuBVoc5jiBgV8", "View")</f>
        <v/>
      </c>
    </row>
    <row r="113">
      <c r="A113" s="20" t="inlineStr">
        <is>
          <t>FREE</t>
        </is>
      </c>
      <c r="B113" s="21" t="n">
        <v>767283</v>
      </c>
      <c r="C113" s="21" t="n">
        <v>675384</v>
      </c>
      <c r="D113" s="21" t="inlineStr">
        <is>
          <t>0.017280</t>
        </is>
      </c>
      <c r="E113" s="21" t="inlineStr">
        <is>
          <t>0.158 SOL</t>
        </is>
      </c>
      <c r="F113" s="21" t="inlineStr">
        <is>
          <t>0.172 SOL</t>
        </is>
      </c>
      <c r="G113" s="25" t="inlineStr">
        <is>
          <t>-0.004 SOL</t>
        </is>
      </c>
      <c r="H113" s="25" t="inlineStr">
        <is>
          <t>-2.07%</t>
        </is>
      </c>
      <c r="I113" s="21" t="inlineStr">
        <is>
          <t>N/A</t>
        </is>
      </c>
      <c r="J113" s="21" t="n">
        <v>2</v>
      </c>
      <c r="K113" s="21" t="n">
        <v>2</v>
      </c>
      <c r="L113" s="21" t="inlineStr">
        <is>
          <t>14.10.2024 04:26:07</t>
        </is>
      </c>
      <c r="M113" s="21" t="inlineStr">
        <is>
          <t>11 hours</t>
        </is>
      </c>
      <c r="N113" s="21" t="inlineStr">
        <is>
          <t xml:space="preserve">         63K            33K           127K</t>
        </is>
      </c>
      <c r="O113" s="21" t="inlineStr">
        <is>
          <t>2TYhhwG6zCYMue6QHmcxEHnt8tMhnyq8hbXNUbdrpump</t>
        </is>
      </c>
      <c r="P113" s="21">
        <f>HYPERLINK("https://dexscreener.com/solana/2TYhhwG6zCYMue6QHmcxEHnt8tMhnyq8hbXNUbdrpump", "View")</f>
        <v/>
      </c>
    </row>
    <row r="114">
      <c r="A114" s="16" t="inlineStr">
        <is>
          <t>deepfates</t>
        </is>
      </c>
      <c r="B114" s="17" t="n">
        <v>319244</v>
      </c>
      <c r="C114" s="17" t="n">
        <v>319244</v>
      </c>
      <c r="D114" s="17" t="inlineStr">
        <is>
          <t>0.000020</t>
        </is>
      </c>
      <c r="E114" s="17" t="inlineStr">
        <is>
          <t>0.125 SOL</t>
        </is>
      </c>
      <c r="F114" s="17" t="inlineStr">
        <is>
          <t>0.101 SOL</t>
        </is>
      </c>
      <c r="G114" s="25" t="inlineStr">
        <is>
          <t>-0.024 SOL</t>
        </is>
      </c>
      <c r="H114" s="25" t="inlineStr">
        <is>
          <t>-19.38%</t>
        </is>
      </c>
      <c r="I114" s="17" t="inlineStr">
        <is>
          <t>N/A</t>
        </is>
      </c>
      <c r="J114" s="17" t="n">
        <v>1</v>
      </c>
      <c r="K114" s="17" t="n">
        <v>1</v>
      </c>
      <c r="L114" s="17" t="inlineStr">
        <is>
          <t>13.10.2024 06:59:53</t>
        </is>
      </c>
      <c r="M114" s="17" t="inlineStr">
        <is>
          <t>5 min</t>
        </is>
      </c>
      <c r="N114" s="17" t="inlineStr">
        <is>
          <t xml:space="preserve">         68K            56K             8K</t>
        </is>
      </c>
      <c r="O114" s="17" t="inlineStr">
        <is>
          <t>46Fy12jQeqci7m7jy4CYuGbVhY1rea6mfxkD4gkMpump</t>
        </is>
      </c>
      <c r="P114" s="17">
        <f>HYPERLINK("https://dexscreener.com/solana/46Fy12jQeqci7m7jy4CYuGbVhY1rea6mfxkD4gkMpump", "View")</f>
        <v/>
      </c>
    </row>
    <row r="115">
      <c r="A115" s="20" t="inlineStr">
        <is>
          <t>WKP</t>
        </is>
      </c>
      <c r="B115" s="21" t="n">
        <v>4951717</v>
      </c>
      <c r="C115" s="21" t="n">
        <v>4951717</v>
      </c>
      <c r="D115" s="21" t="inlineStr">
        <is>
          <t>0.000020</t>
        </is>
      </c>
      <c r="E115" s="21" t="inlineStr">
        <is>
          <t>0.200 SOL</t>
        </is>
      </c>
      <c r="F115" s="21" t="inlineStr">
        <is>
          <t>0.223 SOL</t>
        </is>
      </c>
      <c r="G115" s="22" t="inlineStr">
        <is>
          <t>0.023 SOL</t>
        </is>
      </c>
      <c r="H115" s="22" t="inlineStr">
        <is>
          <t>11.31%</t>
        </is>
      </c>
      <c r="I115" s="21" t="inlineStr">
        <is>
          <t>N/A</t>
        </is>
      </c>
      <c r="J115" s="21" t="n">
        <v>1</v>
      </c>
      <c r="K115" s="21" t="n">
        <v>1</v>
      </c>
      <c r="L115" s="21" t="inlineStr">
        <is>
          <t>13.10.2024 06:33:07</t>
        </is>
      </c>
      <c r="M115" s="21" t="inlineStr">
        <is>
          <t>10 min</t>
        </is>
      </c>
      <c r="N115" s="21" t="inlineStr">
        <is>
          <t xml:space="preserve">          7K             7K             4K</t>
        </is>
      </c>
      <c r="O115" s="21" t="inlineStr">
        <is>
          <t>BrAeCEvyNW1jSZxqKZD58MSTLzEWp8twSXAe7p8pA2GK</t>
        </is>
      </c>
      <c r="P115" s="21">
        <f>HYPERLINK("https://dexscreener.com/solana/BrAeCEvyNW1jSZxqKZD58MSTLzEWp8twSXAe7p8pA2GK", "View")</f>
        <v/>
      </c>
    </row>
    <row r="116">
      <c r="A116" s="16" t="inlineStr">
        <is>
          <t>Red40</t>
        </is>
      </c>
      <c r="B116" s="17" t="n">
        <v>1572211</v>
      </c>
      <c r="C116" s="17" t="n">
        <v>1572211</v>
      </c>
      <c r="D116" s="17" t="inlineStr">
        <is>
          <t>0.016020</t>
        </is>
      </c>
      <c r="E116" s="17" t="inlineStr">
        <is>
          <t>0.308 SOL</t>
        </is>
      </c>
      <c r="F116" s="17" t="inlineStr">
        <is>
          <t>0.459 SOL</t>
        </is>
      </c>
      <c r="G116" s="22" t="inlineStr">
        <is>
          <t>0.136 SOL</t>
        </is>
      </c>
      <c r="H116" s="22" t="inlineStr">
        <is>
          <t>41.88%</t>
        </is>
      </c>
      <c r="I116" s="17" t="inlineStr">
        <is>
          <t>N/A</t>
        </is>
      </c>
      <c r="J116" s="17" t="n">
        <v>1</v>
      </c>
      <c r="K116" s="17" t="n">
        <v>2</v>
      </c>
      <c r="L116" s="17" t="inlineStr">
        <is>
          <t>13.10.2024 06:32:22</t>
        </is>
      </c>
      <c r="M116" s="17" t="inlineStr">
        <is>
          <t>3 min</t>
        </is>
      </c>
      <c r="N116" s="17" t="inlineStr">
        <is>
          <t xml:space="preserve">         35K            51K             5K</t>
        </is>
      </c>
      <c r="O116" s="17" t="inlineStr">
        <is>
          <t>ARBwuAv4TFij4DCSbQAhZw2yRVDEDdAbjFZZAgwbpump</t>
        </is>
      </c>
      <c r="P116" s="17">
        <f>HYPERLINK("https://photon-sol.tinyastro.io/en/lp/ARBwuAv4TFij4DCSbQAhZw2yRVDEDdAbjFZZAgwbpump?handle=676050794bc1b1657a56b", "View")</f>
        <v/>
      </c>
    </row>
    <row r="117">
      <c r="A117" s="20" t="inlineStr">
        <is>
          <t>BUSINESS</t>
        </is>
      </c>
      <c r="B117" s="21" t="n">
        <v>8729126</v>
      </c>
      <c r="C117" s="21" t="n">
        <v>8352181</v>
      </c>
      <c r="D117" s="21" t="inlineStr">
        <is>
          <t>0.041330</t>
        </is>
      </c>
      <c r="E117" s="21" t="inlineStr">
        <is>
          <t>1.384 SOL</t>
        </is>
      </c>
      <c r="F117" s="21" t="inlineStr">
        <is>
          <t>7.303 SOL</t>
        </is>
      </c>
      <c r="G117" s="24" t="inlineStr">
        <is>
          <t>5.878 SOL</t>
        </is>
      </c>
      <c r="H117" s="24" t="inlineStr">
        <is>
          <t>412.45%</t>
        </is>
      </c>
      <c r="I117" s="21" t="inlineStr">
        <is>
          <t>N/A</t>
        </is>
      </c>
      <c r="J117" s="21" t="n">
        <v>4</v>
      </c>
      <c r="K117" s="21" t="n">
        <v>7</v>
      </c>
      <c r="L117" s="21" t="inlineStr">
        <is>
          <t>13.10.2024 06:26:48</t>
        </is>
      </c>
      <c r="M117" s="21" t="inlineStr">
        <is>
          <t>7 hours</t>
        </is>
      </c>
      <c r="N117" s="21" t="inlineStr">
        <is>
          <t xml:space="preserve">         24K            31K             7K</t>
        </is>
      </c>
      <c r="O117" s="21" t="inlineStr">
        <is>
          <t>9uodGPRsn5K8CWcErxPBten4dM7ygAB2RTR1cUGNpump</t>
        </is>
      </c>
      <c r="P117" s="21">
        <f>HYPERLINK("https://photon-sol.tinyastro.io/en/lp/9uodGPRsn5K8CWcErxPBten4dM7ygAB2RTR1cUGNpump?handle=676050794bc1b1657a56b", "View")</f>
        <v/>
      </c>
    </row>
    <row r="118">
      <c r="A118" s="16" t="inlineStr">
        <is>
          <t>MENTALITY</t>
        </is>
      </c>
      <c r="B118" s="17" t="n">
        <v>1400434</v>
      </c>
      <c r="C118" s="17" t="n">
        <v>1400434</v>
      </c>
      <c r="D118" s="17" t="inlineStr">
        <is>
          <t>0.001290</t>
        </is>
      </c>
      <c r="E118" s="17" t="inlineStr">
        <is>
          <t>0.300 SOL</t>
        </is>
      </c>
      <c r="F118" s="17" t="inlineStr">
        <is>
          <t>1.099 SOL</t>
        </is>
      </c>
      <c r="G118" s="24" t="inlineStr">
        <is>
          <t>0.797 SOL</t>
        </is>
      </c>
      <c r="H118" s="24" t="inlineStr">
        <is>
          <t>264.63%</t>
        </is>
      </c>
      <c r="I118" s="17" t="inlineStr">
        <is>
          <t>N/A</t>
        </is>
      </c>
      <c r="J118" s="17" t="n">
        <v>1</v>
      </c>
      <c r="K118" s="17" t="n">
        <v>3</v>
      </c>
      <c r="L118" s="17" t="inlineStr">
        <is>
          <t>12.10.2024 22:51:04</t>
        </is>
      </c>
      <c r="M118" s="17" t="inlineStr">
        <is>
          <t>3 days</t>
        </is>
      </c>
      <c r="N118" s="17" t="inlineStr">
        <is>
          <t xml:space="preserve">         37K            74K            10K</t>
        </is>
      </c>
      <c r="O118" s="17" t="inlineStr">
        <is>
          <t>EJ6r55VaTxKwaPTBWU6naLsUoSnBJ59Q3jZtE5wrpump</t>
        </is>
      </c>
      <c r="P118" s="17">
        <f>HYPERLINK("https://dexscreener.com/solana/EJ6r55VaTxKwaPTBWU6naLsUoSnBJ59Q3jZtE5wrpump", "View")</f>
        <v/>
      </c>
    </row>
    <row r="119">
      <c r="A119" s="20" t="inlineStr">
        <is>
          <t>MINDSET</t>
        </is>
      </c>
      <c r="B119" s="21" t="n">
        <v>6019864</v>
      </c>
      <c r="C119" s="21" t="n">
        <v>6019864</v>
      </c>
      <c r="D119" s="21" t="inlineStr">
        <is>
          <t>0.003790</t>
        </is>
      </c>
      <c r="E119" s="21" t="inlineStr">
        <is>
          <t>0.887 SOL</t>
        </is>
      </c>
      <c r="F119" s="21" t="inlineStr">
        <is>
          <t>0.311 SOL</t>
        </is>
      </c>
      <c r="G119" s="23" t="inlineStr">
        <is>
          <t>-0.580 SOL</t>
        </is>
      </c>
      <c r="H119" s="23" t="inlineStr">
        <is>
          <t>-65.14%</t>
        </is>
      </c>
      <c r="I119" s="21" t="inlineStr">
        <is>
          <t>N/A</t>
        </is>
      </c>
      <c r="J119" s="21" t="n">
        <v>4</v>
      </c>
      <c r="K119" s="21" t="n">
        <v>1</v>
      </c>
      <c r="L119" s="21" t="inlineStr">
        <is>
          <t>10.10.2024 17:41:04</t>
        </is>
      </c>
      <c r="M119" s="21" t="inlineStr">
        <is>
          <t>7 min</t>
        </is>
      </c>
      <c r="N119" s="21" t="inlineStr">
        <is>
          <t xml:space="preserve">        N/A           N/A           N/A</t>
        </is>
      </c>
      <c r="O119" s="21" t="inlineStr">
        <is>
          <t>FV46teREK1opz2W8WSw4vzzjCQzCz22SR5bZZgHApump</t>
        </is>
      </c>
      <c r="P119" s="21">
        <f>HYPERLINK("https://photon-sol.tinyastro.io/en/lp/FV46teREK1opz2W8WSw4vzzjCQzCz22SR5bZZgHApump?handle=676050794bc1b1657a56b", "View")</f>
        <v/>
      </c>
    </row>
    <row r="120">
      <c r="A120" s="16" t="inlineStr">
        <is>
          <t>Pato</t>
        </is>
      </c>
      <c r="B120" s="17" t="n">
        <v>584537</v>
      </c>
      <c r="C120" s="17" t="n">
        <v>0</v>
      </c>
      <c r="D120" s="17" t="inlineStr">
        <is>
          <t>0.001260</t>
        </is>
      </c>
      <c r="E120" s="17" t="inlineStr">
        <is>
          <t>0.250 SOL</t>
        </is>
      </c>
      <c r="F120" s="17" t="inlineStr">
        <is>
          <t>0.000 SOL</t>
        </is>
      </c>
      <c r="G120" s="18" t="inlineStr">
        <is>
          <t>-0.251 SOL</t>
        </is>
      </c>
      <c r="H120" s="18" t="inlineStr">
        <is>
          <t>0.00%</t>
        </is>
      </c>
      <c r="I120" s="17" t="inlineStr">
        <is>
          <t>584,537</t>
        </is>
      </c>
      <c r="J120" s="17" t="n">
        <v>1</v>
      </c>
      <c r="K120" s="17" t="n">
        <v>0</v>
      </c>
      <c r="L120" s="17" t="inlineStr">
        <is>
          <t>10.10.2024 15:54:25</t>
        </is>
      </c>
      <c r="M120" s="19" t="inlineStr">
        <is>
          <t>0 sec</t>
        </is>
      </c>
      <c r="N120" s="17" t="inlineStr">
        <is>
          <t xml:space="preserve">         76K            76K             5K</t>
        </is>
      </c>
      <c r="O120" s="17" t="inlineStr">
        <is>
          <t>43kDpYJVBx8ctbyvGPzfBdrLq57w8m4JYibd8tUfpump</t>
        </is>
      </c>
      <c r="P120" s="17">
        <f>HYPERLINK("https://dexscreener.com/solana/43kDpYJVBx8ctbyvGPzfBdrLq57w8m4JYibd8tUfpump", "View")</f>
        <v/>
      </c>
    </row>
    <row r="121">
      <c r="A121" s="20" t="inlineStr">
        <is>
          <t>RIGHT</t>
        </is>
      </c>
      <c r="B121" s="21" t="n">
        <v>652439</v>
      </c>
      <c r="C121" s="21" t="n">
        <v>0</v>
      </c>
      <c r="D121" s="21" t="inlineStr">
        <is>
          <t>0.000010</t>
        </is>
      </c>
      <c r="E121" s="21" t="inlineStr">
        <is>
          <t>0.070 SOL</t>
        </is>
      </c>
      <c r="F121" s="21" t="inlineStr">
        <is>
          <t>0.000 SOL</t>
        </is>
      </c>
      <c r="G121" s="18" t="inlineStr">
        <is>
          <t>-0.070 SOL</t>
        </is>
      </c>
      <c r="H121" s="18" t="inlineStr">
        <is>
          <t>0.00%</t>
        </is>
      </c>
      <c r="I121" s="21" t="inlineStr">
        <is>
          <t>652,439</t>
        </is>
      </c>
      <c r="J121" s="21" t="n">
        <v>1</v>
      </c>
      <c r="K121" s="21" t="n">
        <v>0</v>
      </c>
      <c r="L121" s="21" t="inlineStr">
        <is>
          <t>10.10.2024 14:40:10</t>
        </is>
      </c>
      <c r="M121" s="19" t="inlineStr">
        <is>
          <t>0 sec</t>
        </is>
      </c>
      <c r="N121" s="21" t="inlineStr">
        <is>
          <t xml:space="preserve">         19K            19K             5K</t>
        </is>
      </c>
      <c r="O121" s="21" t="inlineStr">
        <is>
          <t>GnMkhejvQmjMfAwnrYfu1LN3AfheiSo6pD2WaBeRL648</t>
        </is>
      </c>
      <c r="P121" s="21">
        <f>HYPERLINK("https://dexscreener.com/solana/GnMkhejvQmjMfAwnrYfu1LN3AfheiSo6pD2WaBeRL648", "View")</f>
        <v/>
      </c>
    </row>
    <row r="122">
      <c r="A122" s="16" t="inlineStr">
        <is>
          <t>SEE</t>
        </is>
      </c>
      <c r="B122" s="17" t="n">
        <v>34579406</v>
      </c>
      <c r="C122" s="17" t="n">
        <v>34579406</v>
      </c>
      <c r="D122" s="17" t="inlineStr">
        <is>
          <t>0.016010</t>
        </is>
      </c>
      <c r="E122" s="17" t="inlineStr">
        <is>
          <t>1.029 SOL</t>
        </is>
      </c>
      <c r="F122" s="17" t="inlineStr">
        <is>
          <t>0.971 SOL</t>
        </is>
      </c>
      <c r="G122" s="25" t="inlineStr">
        <is>
          <t>-0.074 SOL</t>
        </is>
      </c>
      <c r="H122" s="25" t="inlineStr">
        <is>
          <t>-7.10%</t>
        </is>
      </c>
      <c r="I122" s="17" t="inlineStr">
        <is>
          <t>N/A</t>
        </is>
      </c>
      <c r="J122" s="17" t="n">
        <v>1</v>
      </c>
      <c r="K122" s="17" t="n">
        <v>1</v>
      </c>
      <c r="L122" s="17" t="inlineStr">
        <is>
          <t>10.10.2024 13:38:44</t>
        </is>
      </c>
      <c r="M122" s="17" t="inlineStr">
        <is>
          <t>3 min</t>
        </is>
      </c>
      <c r="N122" s="17" t="inlineStr">
        <is>
          <t xml:space="preserve">        N/A           N/A           N/A</t>
        </is>
      </c>
      <c r="O122" s="17" t="inlineStr">
        <is>
          <t>EhJArs6DWDbpTPcHzbEKaUvEH24sYYYMtb6NYHSHpump</t>
        </is>
      </c>
      <c r="P122" s="17">
        <f>HYPERLINK("https://photon-sol.tinyastro.io/en/lp/EhJArs6DWDbpTPcHzbEKaUvEH24sYYYMtb6NYHSHpump?handle=676050794bc1b1657a56b", "View")</f>
        <v/>
      </c>
    </row>
    <row r="123">
      <c r="A123" s="20" t="inlineStr">
        <is>
          <t>0%</t>
        </is>
      </c>
      <c r="B123" s="21" t="n">
        <v>34502894</v>
      </c>
      <c r="C123" s="21" t="n">
        <v>34502894</v>
      </c>
      <c r="D123" s="21" t="inlineStr">
        <is>
          <t>0.016010</t>
        </is>
      </c>
      <c r="E123" s="21" t="inlineStr">
        <is>
          <t>1.029 SOL</t>
        </is>
      </c>
      <c r="F123" s="21" t="inlineStr">
        <is>
          <t>0.969 SOL</t>
        </is>
      </c>
      <c r="G123" s="25" t="inlineStr">
        <is>
          <t>-0.076 SOL</t>
        </is>
      </c>
      <c r="H123" s="25" t="inlineStr">
        <is>
          <t>-7.23%</t>
        </is>
      </c>
      <c r="I123" s="21" t="inlineStr">
        <is>
          <t>N/A</t>
        </is>
      </c>
      <c r="J123" s="21" t="n">
        <v>1</v>
      </c>
      <c r="K123" s="21" t="n">
        <v>1</v>
      </c>
      <c r="L123" s="21" t="inlineStr">
        <is>
          <t>10.10.2024 13:34:46</t>
        </is>
      </c>
      <c r="M123" s="21" t="inlineStr">
        <is>
          <t>3 min</t>
        </is>
      </c>
      <c r="N123" s="21" t="inlineStr">
        <is>
          <t xml:space="preserve">        N/A           N/A           N/A</t>
        </is>
      </c>
      <c r="O123" s="21" t="inlineStr">
        <is>
          <t>DeBHhUDwiSxLadtHC5a9Cw43UhmngA74M2r45wDhpump</t>
        </is>
      </c>
      <c r="P123" s="21">
        <f>HYPERLINK("https://photon-sol.tinyastro.io/en/lp/DeBHhUDwiSxLadtHC5a9Cw43UhmngA74M2r45wDhpump?handle=676050794bc1b1657a56b", "View")</f>
        <v/>
      </c>
    </row>
    <row r="124">
      <c r="A124" s="16" t="inlineStr">
        <is>
          <t>HUSTLER</t>
        </is>
      </c>
      <c r="B124" s="17" t="n">
        <v>34579406</v>
      </c>
      <c r="C124" s="17" t="n">
        <v>34579406</v>
      </c>
      <c r="D124" s="17" t="inlineStr">
        <is>
          <t>0.016010</t>
        </is>
      </c>
      <c r="E124" s="17" t="inlineStr">
        <is>
          <t>1.029 SOL</t>
        </is>
      </c>
      <c r="F124" s="17" t="inlineStr">
        <is>
          <t>0.977 SOL</t>
        </is>
      </c>
      <c r="G124" s="25" t="inlineStr">
        <is>
          <t>-0.068 SOL</t>
        </is>
      </c>
      <c r="H124" s="25" t="inlineStr">
        <is>
          <t>-6.51%</t>
        </is>
      </c>
      <c r="I124" s="17" t="inlineStr">
        <is>
          <t>N/A</t>
        </is>
      </c>
      <c r="J124" s="17" t="n">
        <v>1</v>
      </c>
      <c r="K124" s="17" t="n">
        <v>1</v>
      </c>
      <c r="L124" s="17" t="inlineStr">
        <is>
          <t>10.10.2024 13:24:39</t>
        </is>
      </c>
      <c r="M124" s="17" t="inlineStr">
        <is>
          <t>5 min</t>
        </is>
      </c>
      <c r="N124" s="17" t="inlineStr">
        <is>
          <t xml:space="preserve">        N/A           N/A           N/A</t>
        </is>
      </c>
      <c r="O124" s="17" t="inlineStr">
        <is>
          <t>77uM5bCx8ybvQYNuJdkxkCLieNnEe1PaTDAiUJuEpump</t>
        </is>
      </c>
      <c r="P124" s="17">
        <f>HYPERLINK("https://photon-sol.tinyastro.io/en/lp/77uM5bCx8ybvQYNuJdkxkCLieNnEe1PaTDAiUJuEpump?handle=676050794bc1b1657a56b", "View")</f>
        <v/>
      </c>
    </row>
    <row r="125">
      <c r="A125" s="20" t="inlineStr">
        <is>
          <t>BETTER</t>
        </is>
      </c>
      <c r="B125" s="21" t="n">
        <v>24458733</v>
      </c>
      <c r="C125" s="21" t="n">
        <v>24458733</v>
      </c>
      <c r="D125" s="21" t="inlineStr">
        <is>
          <t>0.016010</t>
        </is>
      </c>
      <c r="E125" s="21" t="inlineStr">
        <is>
          <t>1.048 SOL</t>
        </is>
      </c>
      <c r="F125" s="21" t="inlineStr">
        <is>
          <t>0.982 SOL</t>
        </is>
      </c>
      <c r="G125" s="25" t="inlineStr">
        <is>
          <t>-0.081 SOL</t>
        </is>
      </c>
      <c r="H125" s="25" t="inlineStr">
        <is>
          <t>-7.66%</t>
        </is>
      </c>
      <c r="I125" s="21" t="inlineStr">
        <is>
          <t>N/A</t>
        </is>
      </c>
      <c r="J125" s="21" t="n">
        <v>1</v>
      </c>
      <c r="K125" s="21" t="n">
        <v>1</v>
      </c>
      <c r="L125" s="21" t="inlineStr">
        <is>
          <t>10.10.2024 13:01:04</t>
        </is>
      </c>
      <c r="M125" s="21" t="inlineStr">
        <is>
          <t>4 min</t>
        </is>
      </c>
      <c r="N125" s="21" t="inlineStr">
        <is>
          <t xml:space="preserve">        N/A           N/A           N/A</t>
        </is>
      </c>
      <c r="O125" s="21" t="inlineStr">
        <is>
          <t>Enf3ScqNVSCJJHXriJSddwVZYDVNZQGG4Eukzd1Fpump</t>
        </is>
      </c>
      <c r="P125" s="21">
        <f>HYPERLINK("https://photon-sol.tinyastro.io/en/lp/Enf3ScqNVSCJJHXriJSddwVZYDVNZQGG4Eukzd1Fpump?handle=676050794bc1b1657a56b", "View")</f>
        <v/>
      </c>
    </row>
    <row r="126">
      <c r="A126" s="16" t="inlineStr">
        <is>
          <t>Hawkey</t>
        </is>
      </c>
      <c r="B126" s="17" t="n">
        <v>3561231</v>
      </c>
      <c r="C126" s="17" t="n">
        <v>3561231</v>
      </c>
      <c r="D126" s="17" t="inlineStr">
        <is>
          <t>0.016010</t>
        </is>
      </c>
      <c r="E126" s="17" t="inlineStr">
        <is>
          <t>0.113 SOL</t>
        </is>
      </c>
      <c r="F126" s="17" t="inlineStr">
        <is>
          <t>0.089 SOL</t>
        </is>
      </c>
      <c r="G126" s="25" t="inlineStr">
        <is>
          <t>-0.039 SOL</t>
        </is>
      </c>
      <c r="H126" s="25" t="inlineStr">
        <is>
          <t>-30.63%</t>
        </is>
      </c>
      <c r="I126" s="17" t="inlineStr">
        <is>
          <t>N/A</t>
        </is>
      </c>
      <c r="J126" s="17" t="n">
        <v>1</v>
      </c>
      <c r="K126" s="17" t="n">
        <v>1</v>
      </c>
      <c r="L126" s="17" t="inlineStr">
        <is>
          <t>10.10.2024 12:45:03</t>
        </is>
      </c>
      <c r="M126" s="17" t="inlineStr">
        <is>
          <t>1 min</t>
        </is>
      </c>
      <c r="N126" s="17" t="inlineStr">
        <is>
          <t xml:space="preserve">        N/A           N/A           N/A</t>
        </is>
      </c>
      <c r="O126" s="17" t="inlineStr">
        <is>
          <t>DmpHUXBYEWmRvzembkuTt4isXLch1UqyGaYqMxQ3ua6N</t>
        </is>
      </c>
      <c r="P126" s="17">
        <f>HYPERLINK("https://photon-sol.tinyastro.io/en/lp/DmpHUXBYEWmRvzembkuTt4isXLch1UqyGaYqMxQ3ua6N?handle=676050794bc1b1657a56b", "View")</f>
        <v/>
      </c>
    </row>
    <row r="127">
      <c r="A127" s="20" t="inlineStr">
        <is>
          <t>Tizi</t>
        </is>
      </c>
      <c r="B127" s="21" t="n">
        <v>2341648</v>
      </c>
      <c r="C127" s="21" t="n">
        <v>2341648</v>
      </c>
      <c r="D127" s="21" t="inlineStr">
        <is>
          <t>0.001270</t>
        </is>
      </c>
      <c r="E127" s="21" t="inlineStr">
        <is>
          <t>0.155 SOL</t>
        </is>
      </c>
      <c r="F127" s="21" t="inlineStr">
        <is>
          <t>0.102 SOL</t>
        </is>
      </c>
      <c r="G127" s="25" t="inlineStr">
        <is>
          <t>-0.055 SOL</t>
        </is>
      </c>
      <c r="H127" s="25" t="inlineStr">
        <is>
          <t>-34.99%</t>
        </is>
      </c>
      <c r="I127" s="21" t="inlineStr">
        <is>
          <t>N/A</t>
        </is>
      </c>
      <c r="J127" s="21" t="n">
        <v>1</v>
      </c>
      <c r="K127" s="21" t="n">
        <v>1</v>
      </c>
      <c r="L127" s="21" t="inlineStr">
        <is>
          <t>10.10.2024 10:19:06</t>
        </is>
      </c>
      <c r="M127" s="21" t="inlineStr">
        <is>
          <t>9 min</t>
        </is>
      </c>
      <c r="N127" s="21" t="inlineStr">
        <is>
          <t xml:space="preserve">        N/A           N/A           N/A</t>
        </is>
      </c>
      <c r="O127" s="21" t="inlineStr">
        <is>
          <t>DsU96srevck8jWXsCbTsSMq39F1L7xV1smHu7oNepump</t>
        </is>
      </c>
      <c r="P127" s="21">
        <f>HYPERLINK("https://photon-sol.tinyastro.io/en/lp/DsU96srevck8jWXsCbTsSMq39F1L7xV1smHu7oNepump?handle=676050794bc1b1657a56b", "View")</f>
        <v/>
      </c>
    </row>
    <row r="128">
      <c r="A128" s="16" t="inlineStr">
        <is>
          <t>CHARLIE</t>
        </is>
      </c>
      <c r="B128" s="17" t="n">
        <v>510490</v>
      </c>
      <c r="C128" s="17" t="n">
        <v>510490</v>
      </c>
      <c r="D128" s="17" t="inlineStr">
        <is>
          <t>0.009290</t>
        </is>
      </c>
      <c r="E128" s="17" t="inlineStr">
        <is>
          <t>0.330 SOL</t>
        </is>
      </c>
      <c r="F128" s="17" t="inlineStr">
        <is>
          <t>0.109 SOL</t>
        </is>
      </c>
      <c r="G128" s="23" t="inlineStr">
        <is>
          <t>-0.231 SOL</t>
        </is>
      </c>
      <c r="H128" s="23" t="inlineStr">
        <is>
          <t>-67.99%</t>
        </is>
      </c>
      <c r="I128" s="17" t="inlineStr">
        <is>
          <t>N/A</t>
        </is>
      </c>
      <c r="J128" s="17" t="n">
        <v>3</v>
      </c>
      <c r="K128" s="17" t="n">
        <v>2</v>
      </c>
      <c r="L128" s="17" t="inlineStr">
        <is>
          <t>10.10.2024 08:30:22</t>
        </is>
      </c>
      <c r="M128" s="17" t="inlineStr">
        <is>
          <t>1 days</t>
        </is>
      </c>
      <c r="N128" s="17" t="inlineStr">
        <is>
          <t xml:space="preserve">        123K             5K             4K</t>
        </is>
      </c>
      <c r="O128" s="17" t="inlineStr">
        <is>
          <t>7FiAjPVMKBp5eHSicW2pZUNsmiL3XULp1w7AUvFNpump</t>
        </is>
      </c>
      <c r="P128" s="17">
        <f>HYPERLINK("https://dexscreener.com/solana/7FiAjPVMKBp5eHSicW2pZUNsmiL3XULp1w7AUvFNpump", "View")</f>
        <v/>
      </c>
    </row>
    <row r="129">
      <c r="A129" s="20" t="inlineStr">
        <is>
          <t>MIHARU</t>
        </is>
      </c>
      <c r="B129" s="21" t="n">
        <v>45753</v>
      </c>
      <c r="C129" s="21" t="n">
        <v>45753</v>
      </c>
      <c r="D129" s="21" t="inlineStr">
        <is>
          <t>0.001270</t>
        </is>
      </c>
      <c r="E129" s="21" t="inlineStr">
        <is>
          <t>0.080 SOL</t>
        </is>
      </c>
      <c r="F129" s="21" t="inlineStr">
        <is>
          <t>0.014 SOL</t>
        </is>
      </c>
      <c r="G129" s="23" t="inlineStr">
        <is>
          <t>-0.068 SOL</t>
        </is>
      </c>
      <c r="H129" s="23" t="inlineStr">
        <is>
          <t>-83.36%</t>
        </is>
      </c>
      <c r="I129" s="21" t="inlineStr">
        <is>
          <t>N/A</t>
        </is>
      </c>
      <c r="J129" s="21" t="n">
        <v>1</v>
      </c>
      <c r="K129" s="21" t="n">
        <v>1</v>
      </c>
      <c r="L129" s="21" t="inlineStr">
        <is>
          <t>09.10.2024 20:16:03</t>
        </is>
      </c>
      <c r="M129" s="21" t="inlineStr">
        <is>
          <t>7 min</t>
        </is>
      </c>
      <c r="N129" s="21" t="inlineStr">
        <is>
          <t xml:space="preserve">        307K            53K            18K</t>
        </is>
      </c>
      <c r="O129" s="21" t="inlineStr">
        <is>
          <t>6yG3pna19rfYm1k1P7eBTDhFqyFkyrW16j5iZwMWpump</t>
        </is>
      </c>
      <c r="P129" s="21">
        <f>HYPERLINK("https://dexscreener.com/solana/6yG3pna19rfYm1k1P7eBTDhFqyFkyrW16j5iZwMWpump", "View")</f>
        <v/>
      </c>
    </row>
    <row r="130">
      <c r="A130" s="16" t="inlineStr">
        <is>
          <t>ROSA</t>
        </is>
      </c>
      <c r="B130" s="17" t="n">
        <v>154984</v>
      </c>
      <c r="C130" s="17" t="n">
        <v>154984</v>
      </c>
      <c r="D130" s="17" t="inlineStr">
        <is>
          <t>0.001290</t>
        </is>
      </c>
      <c r="E130" s="17" t="inlineStr">
        <is>
          <t>0.505 SOL</t>
        </is>
      </c>
      <c r="F130" s="17" t="inlineStr">
        <is>
          <t>0.506 SOL</t>
        </is>
      </c>
      <c r="G130" s="25" t="inlineStr">
        <is>
          <t>-0.000 SOL</t>
        </is>
      </c>
      <c r="H130" s="25" t="inlineStr">
        <is>
          <t>-0.10%</t>
        </is>
      </c>
      <c r="I130" s="17" t="inlineStr">
        <is>
          <t>N/A</t>
        </is>
      </c>
      <c r="J130" s="17" t="n">
        <v>3</v>
      </c>
      <c r="K130" s="17" t="n">
        <v>1</v>
      </c>
      <c r="L130" s="17" t="inlineStr">
        <is>
          <t>09.10.2024 19:38:50</t>
        </is>
      </c>
      <c r="M130" s="17" t="inlineStr">
        <is>
          <t>21 min</t>
        </is>
      </c>
      <c r="N130" s="17" t="inlineStr">
        <is>
          <t xml:space="preserve">        614K           572K             6K</t>
        </is>
      </c>
      <c r="O130" s="17" t="inlineStr">
        <is>
          <t>ETQ1eizmor3uMnPByaRDdzqVDa67XBdxNuWB61t5pump</t>
        </is>
      </c>
      <c r="P130" s="17">
        <f>HYPERLINK("https://dexscreener.com/solana/ETQ1eizmor3uMnPByaRDdzqVDa67XBdxNuWB61t5pump", "View")</f>
        <v/>
      </c>
    </row>
    <row r="131">
      <c r="A131" s="20" t="inlineStr">
        <is>
          <t>FERN</t>
        </is>
      </c>
      <c r="B131" s="21" t="n">
        <v>1027977</v>
      </c>
      <c r="C131" s="21" t="n">
        <v>1027977</v>
      </c>
      <c r="D131" s="21" t="inlineStr">
        <is>
          <t>0.000020</t>
        </is>
      </c>
      <c r="E131" s="21" t="inlineStr">
        <is>
          <t>0.114 SOL</t>
        </is>
      </c>
      <c r="F131" s="21" t="inlineStr">
        <is>
          <t>0.048 SOL</t>
        </is>
      </c>
      <c r="G131" s="23" t="inlineStr">
        <is>
          <t>-0.066 SOL</t>
        </is>
      </c>
      <c r="H131" s="23" t="inlineStr">
        <is>
          <t>-57.55%</t>
        </is>
      </c>
      <c r="I131" s="21" t="inlineStr">
        <is>
          <t>N/A</t>
        </is>
      </c>
      <c r="J131" s="21" t="n">
        <v>1</v>
      </c>
      <c r="K131" s="21" t="n">
        <v>1</v>
      </c>
      <c r="L131" s="21" t="inlineStr">
        <is>
          <t>09.10.2024 17:14:20</t>
        </is>
      </c>
      <c r="M131" s="21" t="inlineStr">
        <is>
          <t>21 min</t>
        </is>
      </c>
      <c r="N131" s="21" t="inlineStr">
        <is>
          <t xml:space="preserve">         19K             9K             4K</t>
        </is>
      </c>
      <c r="O131" s="21" t="inlineStr">
        <is>
          <t>F15J7xrDt6Bo2a9BJRWhX2uC9fdUFrA1ENrBouUWpump</t>
        </is>
      </c>
      <c r="P131" s="21">
        <f>HYPERLINK("https://photon-sol.tinyastro.io/en/lp/F15J7xrDt6Bo2a9BJRWhX2uC9fdUFrA1ENrBouUWpump?handle=676050794bc1b1657a56b", "View")</f>
        <v/>
      </c>
    </row>
    <row r="132">
      <c r="A132" s="16" t="inlineStr">
        <is>
          <t>STUDY</t>
        </is>
      </c>
      <c r="B132" s="17" t="n">
        <v>54827</v>
      </c>
      <c r="C132" s="17" t="n">
        <v>54827</v>
      </c>
      <c r="D132" s="17" t="inlineStr">
        <is>
          <t>0.000020</t>
        </is>
      </c>
      <c r="E132" s="17" t="inlineStr">
        <is>
          <t>0.110 SOL</t>
        </is>
      </c>
      <c r="F132" s="17" t="inlineStr">
        <is>
          <t>0.109 SOL</t>
        </is>
      </c>
      <c r="G132" s="25" t="inlineStr">
        <is>
          <t>-0.001 SOL</t>
        </is>
      </c>
      <c r="H132" s="25" t="inlineStr">
        <is>
          <t>-0.53%</t>
        </is>
      </c>
      <c r="I132" s="17" t="inlineStr">
        <is>
          <t>N/A</t>
        </is>
      </c>
      <c r="J132" s="17" t="n">
        <v>1</v>
      </c>
      <c r="K132" s="17" t="n">
        <v>1</v>
      </c>
      <c r="L132" s="17" t="inlineStr">
        <is>
          <t>09.10.2024 08:03:28</t>
        </is>
      </c>
      <c r="M132" s="17" t="inlineStr">
        <is>
          <t>1 min</t>
        </is>
      </c>
      <c r="N132" s="17" t="inlineStr">
        <is>
          <t xml:space="preserve">        335K           334K           233K</t>
        </is>
      </c>
      <c r="O132" s="17" t="inlineStr">
        <is>
          <t>GWdFcYSbpQLywCe5qQkBPeojHGQHmX3L16SQM9mq9fCt</t>
        </is>
      </c>
      <c r="P132" s="17">
        <f>HYPERLINK("https://dexscreener.com/solana/GWdFcYSbpQLywCe5qQkBPeojHGQHmX3L16SQM9mq9fCt", "View")</f>
        <v/>
      </c>
    </row>
    <row r="133">
      <c r="A133" s="20" t="inlineStr">
        <is>
          <t>FUCK</t>
        </is>
      </c>
      <c r="B133" s="21" t="n">
        <v>89948</v>
      </c>
      <c r="C133" s="21" t="n">
        <v>89948</v>
      </c>
      <c r="D133" s="21" t="inlineStr">
        <is>
          <t>0.000020</t>
        </is>
      </c>
      <c r="E133" s="21" t="inlineStr">
        <is>
          <t>0.110 SOL</t>
        </is>
      </c>
      <c r="F133" s="21" t="inlineStr">
        <is>
          <t>0.116 SOL</t>
        </is>
      </c>
      <c r="G133" s="22" t="inlineStr">
        <is>
          <t>0.006 SOL</t>
        </is>
      </c>
      <c r="H133" s="22" t="inlineStr">
        <is>
          <t>5.31%</t>
        </is>
      </c>
      <c r="I133" s="21" t="inlineStr">
        <is>
          <t>N/A</t>
        </is>
      </c>
      <c r="J133" s="21" t="n">
        <v>1</v>
      </c>
      <c r="K133" s="21" t="n">
        <v>1</v>
      </c>
      <c r="L133" s="21" t="inlineStr">
        <is>
          <t>09.10.2024 08:00:48</t>
        </is>
      </c>
      <c r="M133" s="21" t="inlineStr">
        <is>
          <t>1 hours</t>
        </is>
      </c>
      <c r="N133" s="21" t="inlineStr">
        <is>
          <t xml:space="preserve">        214K           227K             7K</t>
        </is>
      </c>
      <c r="O133" s="21" t="inlineStr">
        <is>
          <t>5Bjs6U1Qih7EvZ1RWTQLyJ6c5mjJ951FZBNJRvmV1pZg</t>
        </is>
      </c>
      <c r="P133" s="21">
        <f>HYPERLINK("https://dexscreener.com/solana/5Bjs6U1Qih7EvZ1RWTQLyJ6c5mjJ951FZBNJRvmV1pZg", "View")</f>
        <v/>
      </c>
    </row>
    <row r="134">
      <c r="A134" s="16" t="inlineStr">
        <is>
          <t>BONDING</t>
        </is>
      </c>
      <c r="B134" s="17" t="n">
        <v>1492071</v>
      </c>
      <c r="C134" s="17" t="n">
        <v>1492071</v>
      </c>
      <c r="D134" s="17" t="inlineStr">
        <is>
          <t>0.001270</t>
        </is>
      </c>
      <c r="E134" s="17" t="inlineStr">
        <is>
          <t>0.115 SOL</t>
        </is>
      </c>
      <c r="F134" s="17" t="inlineStr">
        <is>
          <t>0.073 SOL</t>
        </is>
      </c>
      <c r="G134" s="25" t="inlineStr">
        <is>
          <t>-0.043 SOL</t>
        </is>
      </c>
      <c r="H134" s="25" t="inlineStr">
        <is>
          <t>-37.02%</t>
        </is>
      </c>
      <c r="I134" s="17" t="inlineStr">
        <is>
          <t>N/A</t>
        </is>
      </c>
      <c r="J134" s="17" t="n">
        <v>1</v>
      </c>
      <c r="K134" s="17" t="n">
        <v>1</v>
      </c>
      <c r="L134" s="17" t="inlineStr">
        <is>
          <t>09.10.2024 05:59:58</t>
        </is>
      </c>
      <c r="M134" s="17" t="inlineStr">
        <is>
          <t>58 min</t>
        </is>
      </c>
      <c r="N134" s="17" t="inlineStr">
        <is>
          <t xml:space="preserve">        N/A           N/A           N/A</t>
        </is>
      </c>
      <c r="O134" s="17" t="inlineStr">
        <is>
          <t>3sN4cG9fwfXHaeczaxBXkqXSuRCLGLk2uowLPtz1pump</t>
        </is>
      </c>
      <c r="P134" s="17">
        <f>HYPERLINK("https://photon-sol.tinyastro.io/en/lp/3sN4cG9fwfXHaeczaxBXkqXSuRCLGLk2uowLPtz1pump?handle=676050794bc1b1657a56b", "View")</f>
        <v/>
      </c>
    </row>
    <row r="135">
      <c r="A135" s="20" t="inlineStr">
        <is>
          <t>ELSA</t>
        </is>
      </c>
      <c r="B135" s="21" t="n">
        <v>645354</v>
      </c>
      <c r="C135" s="21" t="n">
        <v>645354</v>
      </c>
      <c r="D135" s="21" t="inlineStr">
        <is>
          <t>0.001300</t>
        </is>
      </c>
      <c r="E135" s="21" t="inlineStr">
        <is>
          <t>0.240 SOL</t>
        </is>
      </c>
      <c r="F135" s="21" t="inlineStr">
        <is>
          <t>0.243 SOL</t>
        </is>
      </c>
      <c r="G135" s="22" t="inlineStr">
        <is>
          <t>0.002 SOL</t>
        </is>
      </c>
      <c r="H135" s="22" t="inlineStr">
        <is>
          <t>0.74%</t>
        </is>
      </c>
      <c r="I135" s="21" t="inlineStr">
        <is>
          <t>N/A</t>
        </is>
      </c>
      <c r="J135" s="21" t="n">
        <v>2</v>
      </c>
      <c r="K135" s="21" t="n">
        <v>3</v>
      </c>
      <c r="L135" s="21" t="inlineStr">
        <is>
          <t>09.10.2024 01:33:55</t>
        </is>
      </c>
      <c r="M135" s="21" t="inlineStr">
        <is>
          <t>3 days</t>
        </is>
      </c>
      <c r="N135" s="21" t="inlineStr">
        <is>
          <t xml:space="preserve">        132K             7K             4K</t>
        </is>
      </c>
      <c r="O135" s="21" t="inlineStr">
        <is>
          <t>AkzjvPjZMB6oqLWwQhq7NwNPhHcBNn7212Jy5hTCpump</t>
        </is>
      </c>
      <c r="P135" s="21">
        <f>HYPERLINK("https://dexscreener.com/solana/AkzjvPjZMB6oqLWwQhq7NwNPhHcBNn7212Jy5hTCpump", "View")</f>
        <v/>
      </c>
    </row>
    <row r="136">
      <c r="A136" s="16" t="inlineStr">
        <is>
          <t>satowater</t>
        </is>
      </c>
      <c r="B136" s="17" t="n">
        <v>699355</v>
      </c>
      <c r="C136" s="17" t="n">
        <v>699355</v>
      </c>
      <c r="D136" s="17" t="inlineStr">
        <is>
          <t>0.000050</t>
        </is>
      </c>
      <c r="E136" s="17" t="inlineStr">
        <is>
          <t>0.355 SOL</t>
        </is>
      </c>
      <c r="F136" s="17" t="inlineStr">
        <is>
          <t>0.234 SOL</t>
        </is>
      </c>
      <c r="G136" s="25" t="inlineStr">
        <is>
          <t>-0.121 SOL</t>
        </is>
      </c>
      <c r="H136" s="25" t="inlineStr">
        <is>
          <t>-34.17%</t>
        </is>
      </c>
      <c r="I136" s="17" t="inlineStr">
        <is>
          <t>N/A</t>
        </is>
      </c>
      <c r="J136" s="17" t="n">
        <v>3</v>
      </c>
      <c r="K136" s="17" t="n">
        <v>2</v>
      </c>
      <c r="L136" s="17" t="inlineStr">
        <is>
          <t>09.10.2024 01:09:28</t>
        </is>
      </c>
      <c r="M136" s="17" t="inlineStr">
        <is>
          <t>6 hours</t>
        </is>
      </c>
      <c r="N136" s="17" t="inlineStr">
        <is>
          <t xml:space="preserve">         61K            47K             5K</t>
        </is>
      </c>
      <c r="O136" s="17" t="inlineStr">
        <is>
          <t>CC8sCXp2eZigJ7FL7kV7NVVaErfeE1TUFYVubc6opump</t>
        </is>
      </c>
      <c r="P136" s="17">
        <f>HYPERLINK("https://dexscreener.com/solana/CC8sCXp2eZigJ7FL7kV7NVVaErfeE1TUFYVubc6opump", "View")</f>
        <v/>
      </c>
    </row>
    <row r="137">
      <c r="A137" s="20" t="inlineStr">
        <is>
          <t>YOURMOM</t>
        </is>
      </c>
      <c r="B137" s="21" t="n">
        <v>274724</v>
      </c>
      <c r="C137" s="21" t="n">
        <v>274724</v>
      </c>
      <c r="D137" s="21" t="inlineStr">
        <is>
          <t>0.017310</t>
        </is>
      </c>
      <c r="E137" s="21" t="inlineStr">
        <is>
          <t>0.125 SOL</t>
        </is>
      </c>
      <c r="F137" s="21" t="inlineStr">
        <is>
          <t>1.185 SOL</t>
        </is>
      </c>
      <c r="G137" s="24" t="inlineStr">
        <is>
          <t>1.043 SOL</t>
        </is>
      </c>
      <c r="H137" s="24" t="inlineStr">
        <is>
          <t>733.06%</t>
        </is>
      </c>
      <c r="I137" s="21" t="inlineStr">
        <is>
          <t>N/A</t>
        </is>
      </c>
      <c r="J137" s="21" t="n">
        <v>1</v>
      </c>
      <c r="K137" s="21" t="n">
        <v>6</v>
      </c>
      <c r="L137" s="21" t="inlineStr">
        <is>
          <t>09.10.2024 01:09:19</t>
        </is>
      </c>
      <c r="M137" s="21" t="inlineStr">
        <is>
          <t>6 hours</t>
        </is>
      </c>
      <c r="N137" s="21" t="inlineStr">
        <is>
          <t xml:space="preserve">         81K           544K            24K</t>
        </is>
      </c>
      <c r="O137" s="21" t="inlineStr">
        <is>
          <t>Bp2KgefjvRDhvuLGjXHsSFxmqkJEXk3ZAa1FQ4rWpump</t>
        </is>
      </c>
      <c r="P137" s="21">
        <f>HYPERLINK("https://dexscreener.com/solana/Bp2KgefjvRDhvuLGjXHsSFxmqkJEXk3ZAa1FQ4rWpump", "View")</f>
        <v/>
      </c>
    </row>
    <row r="138">
      <c r="A138" s="16" t="inlineStr">
        <is>
          <t>TRT</t>
        </is>
      </c>
      <c r="B138" s="17" t="n">
        <v>1</v>
      </c>
      <c r="C138" s="17" t="n">
        <v>1</v>
      </c>
      <c r="D138" s="17" t="inlineStr">
        <is>
          <t>0.000020</t>
        </is>
      </c>
      <c r="E138" s="17" t="inlineStr">
        <is>
          <t>0.110 SOL</t>
        </is>
      </c>
      <c r="F138" s="17" t="inlineStr">
        <is>
          <t>0.102 SOL</t>
        </is>
      </c>
      <c r="G138" s="25" t="inlineStr">
        <is>
          <t>-0.008 SOL</t>
        </is>
      </c>
      <c r="H138" s="25" t="inlineStr">
        <is>
          <t>-7.69%</t>
        </is>
      </c>
      <c r="I138" s="17" t="inlineStr">
        <is>
          <t>N/A</t>
        </is>
      </c>
      <c r="J138" s="17" t="n">
        <v>1</v>
      </c>
      <c r="K138" s="17" t="n">
        <v>1</v>
      </c>
      <c r="L138" s="17" t="inlineStr">
        <is>
          <t>09.10.2024 00:40:08</t>
        </is>
      </c>
      <c r="M138" s="17" t="inlineStr">
        <is>
          <t>2 min</t>
        </is>
      </c>
      <c r="N138" s="17" t="inlineStr">
        <is>
          <t xml:space="preserve">         45K            42K            26K</t>
        </is>
      </c>
      <c r="O138" s="17" t="inlineStr">
        <is>
          <t>TitsMQfY4vqqK9ZarKZz4foSVKoDPtVAP2bnYvoczp6</t>
        </is>
      </c>
      <c r="P138" s="17">
        <f>HYPERLINK("https://dexscreener.com/solana/TitsMQfY4vqqK9ZarKZz4foSVKoDPtVAP2bnYvoczp6", "View")</f>
        <v/>
      </c>
    </row>
    <row r="139">
      <c r="A139" s="20" t="inlineStr">
        <is>
          <t>SMC</t>
        </is>
      </c>
      <c r="B139" s="21" t="n">
        <v>6587602</v>
      </c>
      <c r="C139" s="21" t="n">
        <v>6587602</v>
      </c>
      <c r="D139" s="21" t="inlineStr">
        <is>
          <t>0.000040</t>
        </is>
      </c>
      <c r="E139" s="21" t="inlineStr">
        <is>
          <t>0.435 SOL</t>
        </is>
      </c>
      <c r="F139" s="21" t="inlineStr">
        <is>
          <t>0.593 SOL</t>
        </is>
      </c>
      <c r="G139" s="22" t="inlineStr">
        <is>
          <t>0.158 SOL</t>
        </is>
      </c>
      <c r="H139" s="22" t="inlineStr">
        <is>
          <t>36.20%</t>
        </is>
      </c>
      <c r="I139" s="21" t="inlineStr">
        <is>
          <t>N/A</t>
        </is>
      </c>
      <c r="J139" s="21" t="n">
        <v>2</v>
      </c>
      <c r="K139" s="21" t="n">
        <v>2</v>
      </c>
      <c r="L139" s="21" t="inlineStr">
        <is>
          <t>09.10.2024 00:37:30</t>
        </is>
      </c>
      <c r="M139" s="21" t="inlineStr">
        <is>
          <t>16 min</t>
        </is>
      </c>
      <c r="N139" s="21" t="inlineStr">
        <is>
          <t xml:space="preserve">        N/A           N/A           N/A</t>
        </is>
      </c>
      <c r="O139" s="21" t="inlineStr">
        <is>
          <t>3rBCH9gD4PeaCo3MJcLswHsRX9aqkSdPQQZWZ24vpump</t>
        </is>
      </c>
      <c r="P139" s="21">
        <f>HYPERLINK("https://photon-sol.tinyastro.io/en/lp/3rBCH9gD4PeaCo3MJcLswHsRX9aqkSdPQQZWZ24vpump?handle=676050794bc1b1657a56b", "View")</f>
        <v/>
      </c>
    </row>
    <row r="140">
      <c r="A140" s="16" t="inlineStr">
        <is>
          <t>gDOG</t>
        </is>
      </c>
      <c r="B140" s="17" t="n">
        <v>3143570</v>
      </c>
      <c r="C140" s="17" t="n">
        <v>3143570</v>
      </c>
      <c r="D140" s="17" t="inlineStr">
        <is>
          <t>0.000020</t>
        </is>
      </c>
      <c r="E140" s="17" t="inlineStr">
        <is>
          <t>0.129 SOL</t>
        </is>
      </c>
      <c r="F140" s="17" t="inlineStr">
        <is>
          <t>0.105 SOL</t>
        </is>
      </c>
      <c r="G140" s="25" t="inlineStr">
        <is>
          <t>-0.025 SOL</t>
        </is>
      </c>
      <c r="H140" s="25" t="inlineStr">
        <is>
          <t>-19.22%</t>
        </is>
      </c>
      <c r="I140" s="17" t="inlineStr">
        <is>
          <t>N/A</t>
        </is>
      </c>
      <c r="J140" s="17" t="n">
        <v>1</v>
      </c>
      <c r="K140" s="17" t="n">
        <v>1</v>
      </c>
      <c r="L140" s="17" t="inlineStr">
        <is>
          <t>09.10.2024 00:26:19</t>
        </is>
      </c>
      <c r="M140" s="17" t="inlineStr">
        <is>
          <t>5 min</t>
        </is>
      </c>
      <c r="N140" s="17" t="inlineStr">
        <is>
          <t xml:space="preserve">        N/A           N/A           N/A</t>
        </is>
      </c>
      <c r="O140" s="17" t="inlineStr">
        <is>
          <t>9P1qfp9HndhA71L1hDyU5DanfLnPFogRmaDLiTeLpump</t>
        </is>
      </c>
      <c r="P140" s="17">
        <f>HYPERLINK("https://photon-sol.tinyastro.io/en/lp/9P1qfp9HndhA71L1hDyU5DanfLnPFogRmaDLiTeLpump?handle=676050794bc1b1657a56b", "View")</f>
        <v/>
      </c>
    </row>
    <row r="141">
      <c r="A141" s="20" t="inlineStr">
        <is>
          <t>sending</t>
        </is>
      </c>
      <c r="B141" s="21" t="n">
        <v>2632102</v>
      </c>
      <c r="C141" s="21" t="n">
        <v>2632102</v>
      </c>
      <c r="D141" s="21" t="inlineStr">
        <is>
          <t>0.000020</t>
        </is>
      </c>
      <c r="E141" s="21" t="inlineStr">
        <is>
          <t>0.136 SOL</t>
        </is>
      </c>
      <c r="F141" s="21" t="inlineStr">
        <is>
          <t>0.207 SOL</t>
        </is>
      </c>
      <c r="G141" s="24" t="inlineStr">
        <is>
          <t>0.071 SOL</t>
        </is>
      </c>
      <c r="H141" s="24" t="inlineStr">
        <is>
          <t>52.18%</t>
        </is>
      </c>
      <c r="I141" s="21" t="inlineStr">
        <is>
          <t>N/A</t>
        </is>
      </c>
      <c r="J141" s="21" t="n">
        <v>1</v>
      </c>
      <c r="K141" s="21" t="n">
        <v>1</v>
      </c>
      <c r="L141" s="21" t="inlineStr">
        <is>
          <t>09.10.2024 00:23:05</t>
        </is>
      </c>
      <c r="M141" s="21" t="inlineStr">
        <is>
          <t>4 min</t>
        </is>
      </c>
      <c r="N141" s="21" t="inlineStr">
        <is>
          <t xml:space="preserve">        N/A           N/A           N/A</t>
        </is>
      </c>
      <c r="O141" s="21" t="inlineStr">
        <is>
          <t>H2UbNj5hNS1iosWL3cVMX6bzbToPSuqRxJXPpFagpump</t>
        </is>
      </c>
      <c r="P141" s="21">
        <f>HYPERLINK("https://photon-sol.tinyastro.io/en/lp/H2UbNj5hNS1iosWL3cVMX6bzbToPSuqRxJXPpFagpump?handle=676050794bc1b1657a56b", "View")</f>
        <v/>
      </c>
    </row>
    <row r="142">
      <c r="A142" s="16" t="inlineStr">
        <is>
          <t>BAHAMAS</t>
        </is>
      </c>
      <c r="B142" s="17" t="n">
        <v>44167</v>
      </c>
      <c r="C142" s="17" t="n">
        <v>44167</v>
      </c>
      <c r="D142" s="17" t="inlineStr">
        <is>
          <t>0.001270</t>
        </is>
      </c>
      <c r="E142" s="17" t="inlineStr">
        <is>
          <t>0.125 SOL</t>
        </is>
      </c>
      <c r="F142" s="17" t="inlineStr">
        <is>
          <t>0.104 SOL</t>
        </is>
      </c>
      <c r="G142" s="25" t="inlineStr">
        <is>
          <t>-0.022 SOL</t>
        </is>
      </c>
      <c r="H142" s="25" t="inlineStr">
        <is>
          <t>-17.82%</t>
        </is>
      </c>
      <c r="I142" s="17" t="inlineStr">
        <is>
          <t>N/A</t>
        </is>
      </c>
      <c r="J142" s="17" t="n">
        <v>1</v>
      </c>
      <c r="K142" s="17" t="n">
        <v>1</v>
      </c>
      <c r="L142" s="17" t="inlineStr">
        <is>
          <t>09.10.2024 00:19:55</t>
        </is>
      </c>
      <c r="M142" s="17" t="inlineStr">
        <is>
          <t>1 min</t>
        </is>
      </c>
      <c r="N142" s="17" t="inlineStr">
        <is>
          <t xml:space="preserve">        N/A           N/A           N/A</t>
        </is>
      </c>
      <c r="O142" s="17" t="inlineStr">
        <is>
          <t>3yKikSAzdbwF7vLMoyRCsU6zQNtwxKGP6MLxDcaSgLZP</t>
        </is>
      </c>
      <c r="P142" s="17">
        <f>HYPERLINK("https://dexscreener.com/solana/3yKikSAzdbwF7vLMoyRCsU6zQNtwxKGP6MLxDcaSgLZP", "View")</f>
        <v/>
      </c>
    </row>
    <row r="143">
      <c r="A143" s="20" t="inlineStr">
        <is>
          <t>ETH</t>
        </is>
      </c>
      <c r="B143" s="21" t="n">
        <v>481846</v>
      </c>
      <c r="C143" s="21" t="n">
        <v>481846</v>
      </c>
      <c r="D143" s="21" t="inlineStr">
        <is>
          <t>0.000020</t>
        </is>
      </c>
      <c r="E143" s="21" t="inlineStr">
        <is>
          <t>0.125 SOL</t>
        </is>
      </c>
      <c r="F143" s="21" t="inlineStr">
        <is>
          <t>0.152 SOL</t>
        </is>
      </c>
      <c r="G143" s="22" t="inlineStr">
        <is>
          <t>0.027 SOL</t>
        </is>
      </c>
      <c r="H143" s="22" t="inlineStr">
        <is>
          <t>21.86%</t>
        </is>
      </c>
      <c r="I143" s="21" t="inlineStr">
        <is>
          <t>N/A</t>
        </is>
      </c>
      <c r="J143" s="21" t="n">
        <v>1</v>
      </c>
      <c r="K143" s="21" t="n">
        <v>1</v>
      </c>
      <c r="L143" s="21" t="inlineStr">
        <is>
          <t>09.10.2024 00:08:06</t>
        </is>
      </c>
      <c r="M143" s="21" t="inlineStr">
        <is>
          <t>27 min</t>
        </is>
      </c>
      <c r="N143" s="21" t="inlineStr">
        <is>
          <t xml:space="preserve">         43K            52K             8K</t>
        </is>
      </c>
      <c r="O143" s="21" t="inlineStr">
        <is>
          <t>3fXFfXHNVhBRsfQQJjavCAgKSRtWK31oNCLapXM8zjif</t>
        </is>
      </c>
      <c r="P143" s="21">
        <f>HYPERLINK("https://dexscreener.com/solana/3fXFfXHNVhBRsfQQJjavCAgKSRtWK31oNCLapXM8zjif", "View")</f>
        <v/>
      </c>
    </row>
    <row r="144">
      <c r="A144" s="16" t="inlineStr">
        <is>
          <t>MB</t>
        </is>
      </c>
      <c r="B144" s="17" t="n">
        <v>2595429</v>
      </c>
      <c r="C144" s="17" t="n">
        <v>2595429</v>
      </c>
      <c r="D144" s="17" t="inlineStr">
        <is>
          <t>0.000020</t>
        </is>
      </c>
      <c r="E144" s="17" t="inlineStr">
        <is>
          <t>0.129 SOL</t>
        </is>
      </c>
      <c r="F144" s="17" t="inlineStr">
        <is>
          <t>0.082 SOL</t>
        </is>
      </c>
      <c r="G144" s="25" t="inlineStr">
        <is>
          <t>-0.048 SOL</t>
        </is>
      </c>
      <c r="H144" s="25" t="inlineStr">
        <is>
          <t>-36.86%</t>
        </is>
      </c>
      <c r="I144" s="17" t="inlineStr">
        <is>
          <t>N/A</t>
        </is>
      </c>
      <c r="J144" s="17" t="n">
        <v>1</v>
      </c>
      <c r="K144" s="17" t="n">
        <v>1</v>
      </c>
      <c r="L144" s="17" t="inlineStr">
        <is>
          <t>08.10.2024 23:49:43</t>
        </is>
      </c>
      <c r="M144" s="17" t="inlineStr">
        <is>
          <t>1 min</t>
        </is>
      </c>
      <c r="N144" s="17" t="inlineStr">
        <is>
          <t xml:space="preserve">        N/A           N/A           N/A</t>
        </is>
      </c>
      <c r="O144" s="17" t="inlineStr">
        <is>
          <t>GpCjazHj3DuDibE8a6MzFmy8FDQiuEkEH4pxyokyXW4b</t>
        </is>
      </c>
      <c r="P144" s="17">
        <f>HYPERLINK("https://photon-sol.tinyastro.io/en/lp/GpCjazHj3DuDibE8a6MzFmy8FDQiuEkEH4pxyokyXW4b?handle=676050794bc1b1657a56b", "View")</f>
        <v/>
      </c>
    </row>
    <row r="145">
      <c r="A145" s="20" t="inlineStr">
        <is>
          <t>shoko</t>
        </is>
      </c>
      <c r="B145" s="21" t="n">
        <v>1043204</v>
      </c>
      <c r="C145" s="21" t="n">
        <v>1043204</v>
      </c>
      <c r="D145" s="21" t="inlineStr">
        <is>
          <t>0.000020</t>
        </is>
      </c>
      <c r="E145" s="21" t="inlineStr">
        <is>
          <t>0.129 SOL</t>
        </is>
      </c>
      <c r="F145" s="21" t="inlineStr">
        <is>
          <t>0.171 SOL</t>
        </is>
      </c>
      <c r="G145" s="22" t="inlineStr">
        <is>
          <t>0.042 SOL</t>
        </is>
      </c>
      <c r="H145" s="22" t="inlineStr">
        <is>
          <t>32.36%</t>
        </is>
      </c>
      <c r="I145" s="21" t="inlineStr">
        <is>
          <t>N/A</t>
        </is>
      </c>
      <c r="J145" s="21" t="n">
        <v>1</v>
      </c>
      <c r="K145" s="21" t="n">
        <v>1</v>
      </c>
      <c r="L145" s="21" t="inlineStr">
        <is>
          <t>08.10.2024 23:38:58</t>
        </is>
      </c>
      <c r="M145" s="21" t="inlineStr">
        <is>
          <t>16 min</t>
        </is>
      </c>
      <c r="N145" s="21" t="inlineStr">
        <is>
          <t xml:space="preserve">        N/A           N/A           N/A</t>
        </is>
      </c>
      <c r="O145" s="21" t="inlineStr">
        <is>
          <t>2fDVXy8puFVuQ7e4JKykcx3eKtXfZDBcwp5okAGjpump</t>
        </is>
      </c>
      <c r="P145" s="21">
        <f>HYPERLINK("https://photon-sol.tinyastro.io/en/lp/2fDVXy8puFVuQ7e4JKykcx3eKtXfZDBcwp5okAGjpump?handle=676050794bc1b1657a56b", "View")</f>
        <v/>
      </c>
    </row>
    <row r="146">
      <c r="A146" s="16" t="inlineStr">
        <is>
          <t>EASY</t>
        </is>
      </c>
      <c r="B146" s="17" t="n">
        <v>44633</v>
      </c>
      <c r="C146" s="17" t="n">
        <v>44633</v>
      </c>
      <c r="D146" s="17" t="inlineStr">
        <is>
          <t>0.001270</t>
        </is>
      </c>
      <c r="E146" s="17" t="inlineStr">
        <is>
          <t>0.125 SOL</t>
        </is>
      </c>
      <c r="F146" s="17" t="inlineStr">
        <is>
          <t>0.113 SOL</t>
        </is>
      </c>
      <c r="G146" s="25" t="inlineStr">
        <is>
          <t>-0.013 SOL</t>
        </is>
      </c>
      <c r="H146" s="25" t="inlineStr">
        <is>
          <t>-10.60%</t>
        </is>
      </c>
      <c r="I146" s="17" t="inlineStr">
        <is>
          <t>N/A</t>
        </is>
      </c>
      <c r="J146" s="17" t="n">
        <v>1</v>
      </c>
      <c r="K146" s="17" t="n">
        <v>1</v>
      </c>
      <c r="L146" s="17" t="inlineStr">
        <is>
          <t>08.10.2024 22:53:40</t>
        </is>
      </c>
      <c r="M146" s="17" t="inlineStr">
        <is>
          <t>2 min</t>
        </is>
      </c>
      <c r="N146" s="17" t="inlineStr">
        <is>
          <t xml:space="preserve">        443K           400K            67K</t>
        </is>
      </c>
      <c r="O146" s="17" t="inlineStr">
        <is>
          <t>8WQWc8DDPXJRcYn6Y7PDtiJuaXunjsDY963Yb7Ns44HX</t>
        </is>
      </c>
      <c r="P146" s="17">
        <f>HYPERLINK("https://dexscreener.com/solana/8WQWc8DDPXJRcYn6Y7PDtiJuaXunjsDY963Yb7Ns44HX", "View")</f>
        <v/>
      </c>
    </row>
    <row r="147">
      <c r="A147" s="20" t="inlineStr">
        <is>
          <t>BINGUS</t>
        </is>
      </c>
      <c r="B147" s="21" t="n">
        <v>3526</v>
      </c>
      <c r="C147" s="21" t="n">
        <v>3526</v>
      </c>
      <c r="D147" s="21" t="inlineStr">
        <is>
          <t>0.000020</t>
        </is>
      </c>
      <c r="E147" s="21" t="inlineStr">
        <is>
          <t>0.120 SOL</t>
        </is>
      </c>
      <c r="F147" s="21" t="inlineStr">
        <is>
          <t>0.117 SOL</t>
        </is>
      </c>
      <c r="G147" s="25" t="inlineStr">
        <is>
          <t>-0.003 SOL</t>
        </is>
      </c>
      <c r="H147" s="25" t="inlineStr">
        <is>
          <t>-2.48%</t>
        </is>
      </c>
      <c r="I147" s="21" t="inlineStr">
        <is>
          <t>N/A</t>
        </is>
      </c>
      <c r="J147" s="21" t="n">
        <v>1</v>
      </c>
      <c r="K147" s="21" t="n">
        <v>1</v>
      </c>
      <c r="L147" s="21" t="inlineStr">
        <is>
          <t>08.10.2024 22:37:01</t>
        </is>
      </c>
      <c r="M147" s="21" t="inlineStr">
        <is>
          <t>16 min</t>
        </is>
      </c>
      <c r="N147" s="21" t="inlineStr">
        <is>
          <t xml:space="preserve">          6M             6M             4M</t>
        </is>
      </c>
      <c r="O147" s="21" t="inlineStr">
        <is>
          <t>AQuuQ4xktyzGBFnbKHnYsXHxsKVQetAoiPeCEG97NUJw</t>
        </is>
      </c>
      <c r="P147" s="21">
        <f>HYPERLINK("https://dexscreener.com/solana/AQuuQ4xktyzGBFnbKHnYsXHxsKVQetAoiPeCEG97NUJw", "View")</f>
        <v/>
      </c>
    </row>
    <row r="148">
      <c r="A148" s="16" t="inlineStr">
        <is>
          <t>Shoko</t>
        </is>
      </c>
      <c r="B148" s="17" t="n">
        <v>428151</v>
      </c>
      <c r="C148" s="17" t="n">
        <v>186934</v>
      </c>
      <c r="D148" s="17" t="inlineStr">
        <is>
          <t>0.001310</t>
        </is>
      </c>
      <c r="E148" s="17" t="inlineStr">
        <is>
          <t>0.625 SOL</t>
        </is>
      </c>
      <c r="F148" s="17" t="inlineStr">
        <is>
          <t>0.681 SOL</t>
        </is>
      </c>
      <c r="G148" s="22" t="inlineStr">
        <is>
          <t>0.055 SOL</t>
        </is>
      </c>
      <c r="H148" s="22" t="inlineStr">
        <is>
          <t>8.72%</t>
        </is>
      </c>
      <c r="I148" s="17" t="inlineStr">
        <is>
          <t>N/A</t>
        </is>
      </c>
      <c r="J148" s="17" t="n">
        <v>3</v>
      </c>
      <c r="K148" s="17" t="n">
        <v>3</v>
      </c>
      <c r="L148" s="17" t="inlineStr">
        <is>
          <t>08.10.2024 22:30:24</t>
        </is>
      </c>
      <c r="M148" s="17" t="inlineStr">
        <is>
          <t>46 min</t>
        </is>
      </c>
      <c r="N148" s="17" t="inlineStr">
        <is>
          <t xml:space="preserve">        287K            91K             6K</t>
        </is>
      </c>
      <c r="O148" s="17" t="inlineStr">
        <is>
          <t>AK1ZuRHkb4aBZGDwyNWwb5KaJsCvXpiZUDQkUEsqpump</t>
        </is>
      </c>
      <c r="P148" s="17">
        <f>HYPERLINK("https://dexscreener.com/solana/AK1ZuRHkb4aBZGDwyNWwb5KaJsCvXpiZUDQkUEsqpump", "View")</f>
        <v/>
      </c>
    </row>
    <row r="149">
      <c r="A149" s="20" t="inlineStr">
        <is>
          <t>Shoko</t>
        </is>
      </c>
      <c r="B149" s="21" t="n">
        <v>92211</v>
      </c>
      <c r="C149" s="21" t="n">
        <v>8050</v>
      </c>
      <c r="D149" s="21" t="inlineStr">
        <is>
          <t>0.002520</t>
        </is>
      </c>
      <c r="E149" s="21" t="inlineStr">
        <is>
          <t>0.245 SOL</t>
        </is>
      </c>
      <c r="F149" s="21" t="inlineStr">
        <is>
          <t>0.089 SOL</t>
        </is>
      </c>
      <c r="G149" s="23" t="inlineStr">
        <is>
          <t>-0.159 SOL</t>
        </is>
      </c>
      <c r="H149" s="23" t="inlineStr">
        <is>
          <t>-64.12%</t>
        </is>
      </c>
      <c r="I149" s="21" t="inlineStr">
        <is>
          <t>N/A</t>
        </is>
      </c>
      <c r="J149" s="21" t="n">
        <v>2</v>
      </c>
      <c r="K149" s="21" t="n">
        <v>1</v>
      </c>
      <c r="L149" s="21" t="inlineStr">
        <is>
          <t>08.10.2024 22:30:14</t>
        </is>
      </c>
      <c r="M149" s="21" t="inlineStr">
        <is>
          <t>26 min</t>
        </is>
      </c>
      <c r="N149" s="21" t="inlineStr">
        <is>
          <t xml:space="preserve">          3M           262K            11K</t>
        </is>
      </c>
      <c r="O149" s="21" t="inlineStr">
        <is>
          <t>DWKScU3qJvo3he2qtuULDHWq726aEhvCuuCu266opump</t>
        </is>
      </c>
      <c r="P149" s="21">
        <f>HYPERLINK("https://dexscreener.com/solana/DWKScU3qJvo3he2qtuULDHWq726aEhvCuuCu266opump", "View")</f>
        <v/>
      </c>
    </row>
    <row r="150">
      <c r="A150" s="16" t="inlineStr">
        <is>
          <t>SHOKO-CHAN</t>
        </is>
      </c>
      <c r="B150" s="17" t="n">
        <v>239453</v>
      </c>
      <c r="C150" s="17" t="n">
        <v>239453</v>
      </c>
      <c r="D150" s="17" t="inlineStr">
        <is>
          <t>0.001280</t>
        </is>
      </c>
      <c r="E150" s="17" t="inlineStr">
        <is>
          <t>0.250 SOL</t>
        </is>
      </c>
      <c r="F150" s="17" t="inlineStr">
        <is>
          <t>0.313 SOL</t>
        </is>
      </c>
      <c r="G150" s="22" t="inlineStr">
        <is>
          <t>0.062 SOL</t>
        </is>
      </c>
      <c r="H150" s="22" t="inlineStr">
        <is>
          <t>24.65%</t>
        </is>
      </c>
      <c r="I150" s="17" t="inlineStr">
        <is>
          <t>N/A</t>
        </is>
      </c>
      <c r="J150" s="17" t="n">
        <v>1</v>
      </c>
      <c r="K150" s="17" t="n">
        <v>2</v>
      </c>
      <c r="L150" s="17" t="inlineStr">
        <is>
          <t>08.10.2024 21:57:55</t>
        </is>
      </c>
      <c r="M150" s="17" t="inlineStr">
        <is>
          <t>10 min</t>
        </is>
      </c>
      <c r="N150" s="17" t="inlineStr">
        <is>
          <t xml:space="preserve">        182K           116K             4K</t>
        </is>
      </c>
      <c r="O150" s="17" t="inlineStr">
        <is>
          <t>9x22m7wJtHxcWMzQWe5x5K8sT4AiVNzsJLjqYHdupump</t>
        </is>
      </c>
      <c r="P150" s="17">
        <f>HYPERLINK("https://dexscreener.com/solana/9x22m7wJtHxcWMzQWe5x5K8sT4AiVNzsJLjqYHdupump", "View")</f>
        <v/>
      </c>
    </row>
    <row r="151">
      <c r="A151" s="20" t="inlineStr">
        <is>
          <t>❤️</t>
        </is>
      </c>
      <c r="B151" s="21" t="n">
        <v>466180</v>
      </c>
      <c r="C151" s="21" t="n">
        <v>466180</v>
      </c>
      <c r="D151" s="21" t="inlineStr">
        <is>
          <t>0.000020</t>
        </is>
      </c>
      <c r="E151" s="21" t="inlineStr">
        <is>
          <t>0.125 SOL</t>
        </is>
      </c>
      <c r="F151" s="21" t="inlineStr">
        <is>
          <t>0.195 SOL</t>
        </is>
      </c>
      <c r="G151" s="24" t="inlineStr">
        <is>
          <t>0.070 SOL</t>
        </is>
      </c>
      <c r="H151" s="24" t="inlineStr">
        <is>
          <t>56.29%</t>
        </is>
      </c>
      <c r="I151" s="21" t="inlineStr">
        <is>
          <t>N/A</t>
        </is>
      </c>
      <c r="J151" s="21" t="n">
        <v>1</v>
      </c>
      <c r="K151" s="21" t="n">
        <v>1</v>
      </c>
      <c r="L151" s="21" t="inlineStr">
        <is>
          <t>08.10.2024 21:45:38</t>
        </is>
      </c>
      <c r="M151" s="21" t="inlineStr">
        <is>
          <t>6 hours</t>
        </is>
      </c>
      <c r="N151" s="21" t="inlineStr">
        <is>
          <t xml:space="preserve">         47K            74K           243K</t>
        </is>
      </c>
      <c r="O151" s="21" t="inlineStr">
        <is>
          <t>whheYm7JzA2DsAofFKvXtNdJ8HhQDxa72fa52pdHaoB</t>
        </is>
      </c>
      <c r="P151" s="21">
        <f>HYPERLINK("https://dexscreener.com/solana/whheYm7JzA2DsAofFKvXtNdJ8HhQDxa72fa52pdHaoB", "View")</f>
        <v/>
      </c>
    </row>
    <row r="152">
      <c r="A152" s="16" t="inlineStr">
        <is>
          <t>ROTHIS</t>
        </is>
      </c>
      <c r="B152" s="17" t="n">
        <v>3876881</v>
      </c>
      <c r="C152" s="17" t="n">
        <v>3876881</v>
      </c>
      <c r="D152" s="17" t="inlineStr">
        <is>
          <t>0.000020</t>
        </is>
      </c>
      <c r="E152" s="17" t="inlineStr">
        <is>
          <t>0.127 SOL</t>
        </is>
      </c>
      <c r="F152" s="17" t="inlineStr">
        <is>
          <t>0.122 SOL</t>
        </is>
      </c>
      <c r="G152" s="25" t="inlineStr">
        <is>
          <t>-0.005 SOL</t>
        </is>
      </c>
      <c r="H152" s="25" t="inlineStr">
        <is>
          <t>-3.61%</t>
        </is>
      </c>
      <c r="I152" s="17" t="inlineStr">
        <is>
          <t>N/A</t>
        </is>
      </c>
      <c r="J152" s="17" t="n">
        <v>1</v>
      </c>
      <c r="K152" s="17" t="n">
        <v>1</v>
      </c>
      <c r="L152" s="17" t="inlineStr">
        <is>
          <t>08.10.2024 21:38:01</t>
        </is>
      </c>
      <c r="M152" s="19" t="inlineStr">
        <is>
          <t>18 sec</t>
        </is>
      </c>
      <c r="N152" s="17" t="inlineStr">
        <is>
          <t xml:space="preserve">        N/A           N/A           N/A</t>
        </is>
      </c>
      <c r="O152" s="17" t="inlineStr">
        <is>
          <t>5U8HSXdRNH2ZqLwHvctKDFiNt72S2yGxxFuNvzhApump</t>
        </is>
      </c>
      <c r="P152" s="17">
        <f>HYPERLINK("https://photon-sol.tinyastro.io/en/lp/5U8HSXdRNH2ZqLwHvctKDFiNt72S2yGxxFuNvzhApump?handle=676050794bc1b1657a56b", "View")</f>
        <v/>
      </c>
    </row>
    <row r="153">
      <c r="A153" s="20" t="inlineStr">
        <is>
          <t>NO INFO</t>
        </is>
      </c>
      <c r="B153" s="21" t="n">
        <v>1119358</v>
      </c>
      <c r="C153" s="21" t="n">
        <v>1119358</v>
      </c>
      <c r="D153" s="21" t="inlineStr">
        <is>
          <t>0.000030</t>
        </is>
      </c>
      <c r="E153" s="21" t="inlineStr">
        <is>
          <t>0.129 SOL</t>
        </is>
      </c>
      <c r="F153" s="21" t="inlineStr">
        <is>
          <t>0.223 SOL</t>
        </is>
      </c>
      <c r="G153" s="24" t="inlineStr">
        <is>
          <t>0.093 SOL</t>
        </is>
      </c>
      <c r="H153" s="24" t="inlineStr">
        <is>
          <t>71.90%</t>
        </is>
      </c>
      <c r="I153" s="21" t="inlineStr">
        <is>
          <t>N/A</t>
        </is>
      </c>
      <c r="J153" s="21" t="n">
        <v>1</v>
      </c>
      <c r="K153" s="21" t="n">
        <v>2</v>
      </c>
      <c r="L153" s="21" t="inlineStr">
        <is>
          <t>08.10.2024 20:46:11</t>
        </is>
      </c>
      <c r="M153" s="21" t="inlineStr">
        <is>
          <t>58 min</t>
        </is>
      </c>
      <c r="N153" s="21" t="inlineStr">
        <is>
          <t xml:space="preserve">        N/A           N/A           N/A</t>
        </is>
      </c>
      <c r="O153" s="21" t="inlineStr">
        <is>
          <t>7fiNQ2ePjm67U4Lpxq5Gd1d1y3HXGyAGC1PQ4D5Gpump</t>
        </is>
      </c>
      <c r="P153" s="21">
        <f>HYPERLINK("https://photon-sol.tinyastro.io/en/lp/7fiNQ2ePjm67U4Lpxq5Gd1d1y3HXGyAGC1PQ4D5Gpump?handle=676050794bc1b1657a56b", "View")</f>
        <v/>
      </c>
    </row>
    <row r="154">
      <c r="A154" s="16" t="inlineStr">
        <is>
          <t>KILO</t>
        </is>
      </c>
      <c r="B154" s="17" t="n">
        <v>761455</v>
      </c>
      <c r="C154" s="17" t="n">
        <v>269555</v>
      </c>
      <c r="D154" s="17" t="inlineStr">
        <is>
          <t>0.000020</t>
        </is>
      </c>
      <c r="E154" s="17" t="inlineStr">
        <is>
          <t>0.300 SOL</t>
        </is>
      </c>
      <c r="F154" s="17" t="inlineStr">
        <is>
          <t>0.295 SOL</t>
        </is>
      </c>
      <c r="G154" s="25" t="inlineStr">
        <is>
          <t>-0.005 SOL</t>
        </is>
      </c>
      <c r="H154" s="25" t="inlineStr">
        <is>
          <t>-1.63%</t>
        </is>
      </c>
      <c r="I154" s="17" t="inlineStr">
        <is>
          <t>N/A</t>
        </is>
      </c>
      <c r="J154" s="17" t="n">
        <v>1</v>
      </c>
      <c r="K154" s="17" t="n">
        <v>1</v>
      </c>
      <c r="L154" s="17" t="inlineStr">
        <is>
          <t>08.10.2024 20:21:13</t>
        </is>
      </c>
      <c r="M154" s="17" t="inlineStr">
        <is>
          <t>26 min</t>
        </is>
      </c>
      <c r="N154" s="17" t="inlineStr">
        <is>
          <t xml:space="preserve">         68K           191K             7K</t>
        </is>
      </c>
      <c r="O154" s="17" t="inlineStr">
        <is>
          <t>HJnrVW8XfjAYkpKb5RjvUHufZ6WPRFWb89DtrL1epump</t>
        </is>
      </c>
      <c r="P154" s="17">
        <f>HYPERLINK("https://dexscreener.com/solana/HJnrVW8XfjAYkpKb5RjvUHufZ6WPRFWb89DtrL1epump", "View")</f>
        <v/>
      </c>
    </row>
    <row r="155">
      <c r="A155" s="20" t="inlineStr">
        <is>
          <t>Todd</t>
        </is>
      </c>
      <c r="B155" s="21" t="n">
        <v>430408</v>
      </c>
      <c r="C155" s="21" t="n">
        <v>430408</v>
      </c>
      <c r="D155" s="21" t="inlineStr">
        <is>
          <t>0.000020</t>
        </is>
      </c>
      <c r="E155" s="21" t="inlineStr">
        <is>
          <t>0.125 SOL</t>
        </is>
      </c>
      <c r="F155" s="21" t="inlineStr">
        <is>
          <t>0.112 SOL</t>
        </is>
      </c>
      <c r="G155" s="25" t="inlineStr">
        <is>
          <t>-0.013 SOL</t>
        </is>
      </c>
      <c r="H155" s="25" t="inlineStr">
        <is>
          <t>-10.44%</t>
        </is>
      </c>
      <c r="I155" s="21" t="inlineStr">
        <is>
          <t>N/A</t>
        </is>
      </c>
      <c r="J155" s="21" t="n">
        <v>1</v>
      </c>
      <c r="K155" s="21" t="n">
        <v>1</v>
      </c>
      <c r="L155" s="21" t="inlineStr">
        <is>
          <t>08.10.2024 18:58:36</t>
        </is>
      </c>
      <c r="M155" s="21" t="inlineStr">
        <is>
          <t>1 min</t>
        </is>
      </c>
      <c r="N155" s="21" t="inlineStr">
        <is>
          <t xml:space="preserve">         51K            46K             4K</t>
        </is>
      </c>
      <c r="O155" s="21" t="inlineStr">
        <is>
          <t>67yCqFSCAHnSKYh8r1GRwTGA4sTpUPfwRbsxT2pLpump</t>
        </is>
      </c>
      <c r="P155" s="21">
        <f>HYPERLINK("https://dexscreener.com/solana/67yCqFSCAHnSKYh8r1GRwTGA4sTpUPfwRbsxT2pLpump", "View")</f>
        <v/>
      </c>
    </row>
    <row r="156">
      <c r="A156" s="16" t="inlineStr">
        <is>
          <t>CHAD</t>
        </is>
      </c>
      <c r="B156" s="17" t="n">
        <v>93313</v>
      </c>
      <c r="C156" s="17" t="n">
        <v>93313</v>
      </c>
      <c r="D156" s="17" t="inlineStr">
        <is>
          <t>0.000020</t>
        </is>
      </c>
      <c r="E156" s="17" t="inlineStr">
        <is>
          <t>0.125 SOL</t>
        </is>
      </c>
      <c r="F156" s="17" t="inlineStr">
        <is>
          <t>0.130 SOL</t>
        </is>
      </c>
      <c r="G156" s="22" t="inlineStr">
        <is>
          <t>0.005 SOL</t>
        </is>
      </c>
      <c r="H156" s="22" t="inlineStr">
        <is>
          <t>4.34%</t>
        </is>
      </c>
      <c r="I156" s="17" t="inlineStr">
        <is>
          <t>N/A</t>
        </is>
      </c>
      <c r="J156" s="17" t="n">
        <v>1</v>
      </c>
      <c r="K156" s="17" t="n">
        <v>1</v>
      </c>
      <c r="L156" s="17" t="inlineStr">
        <is>
          <t>08.10.2024 05:46:05</t>
        </is>
      </c>
      <c r="M156" s="17" t="inlineStr">
        <is>
          <t>1 hours</t>
        </is>
      </c>
      <c r="N156" s="17" t="inlineStr">
        <is>
          <t xml:space="preserve">        N/A           N/A           N/A</t>
        </is>
      </c>
      <c r="O156" s="17" t="inlineStr">
        <is>
          <t>C7xGvy9yE6FF2AYgJi2CCdRoUnPZLPhADRJgAQP3pump</t>
        </is>
      </c>
      <c r="P156" s="17">
        <f>HYPERLINK("https://dexscreener.com/solana/C7xGvy9yE6FF2AYgJi2CCdRoUnPZLPhADRJgAQP3pump", "View")</f>
        <v/>
      </c>
    </row>
    <row r="157">
      <c r="A157" s="20" t="inlineStr">
        <is>
          <t>UP</t>
        </is>
      </c>
      <c r="B157" s="21" t="n">
        <v>3402546</v>
      </c>
      <c r="C157" s="21" t="n">
        <v>3402546</v>
      </c>
      <c r="D157" s="21" t="inlineStr">
        <is>
          <t>0.000060</t>
        </is>
      </c>
      <c r="E157" s="21" t="inlineStr">
        <is>
          <t>0.526 SOL</t>
        </is>
      </c>
      <c r="F157" s="21" t="inlineStr">
        <is>
          <t>0.369 SOL</t>
        </is>
      </c>
      <c r="G157" s="25" t="inlineStr">
        <is>
          <t>-0.158 SOL</t>
        </is>
      </c>
      <c r="H157" s="25" t="inlineStr">
        <is>
          <t>-29.94%</t>
        </is>
      </c>
      <c r="I157" s="21" t="inlineStr">
        <is>
          <t>N/A</t>
        </is>
      </c>
      <c r="J157" s="21" t="n">
        <v>5</v>
      </c>
      <c r="K157" s="21" t="n">
        <v>1</v>
      </c>
      <c r="L157" s="21" t="inlineStr">
        <is>
          <t>07.10.2024 22:20:40</t>
        </is>
      </c>
      <c r="M157" s="21" t="inlineStr">
        <is>
          <t>3 hours</t>
        </is>
      </c>
      <c r="N157" s="21" t="inlineStr">
        <is>
          <t xml:space="preserve">        N/A           N/A           N/A</t>
        </is>
      </c>
      <c r="O157" s="21" t="inlineStr">
        <is>
          <t>DkLuYCBYu9MErS99ZTZpKJAWhGEWUa5j3WFetuR4pump</t>
        </is>
      </c>
      <c r="P157" s="21">
        <f>HYPERLINK("https://photon-sol.tinyastro.io/en/lp/DkLuYCBYu9MErS99ZTZpKJAWhGEWUa5j3WFetuR4pump?handle=676050794bc1b1657a56b", "View")</f>
        <v/>
      </c>
    </row>
    <row r="158">
      <c r="A158" s="16" t="inlineStr">
        <is>
          <t>Gandalf</t>
        </is>
      </c>
      <c r="B158" s="17" t="n">
        <v>711157</v>
      </c>
      <c r="C158" s="17" t="n">
        <v>711157</v>
      </c>
      <c r="D158" s="17" t="inlineStr">
        <is>
          <t>0.000020</t>
        </is>
      </c>
      <c r="E158" s="17" t="inlineStr">
        <is>
          <t>0.070 SOL</t>
        </is>
      </c>
      <c r="F158" s="17" t="inlineStr">
        <is>
          <t>0.068 SOL</t>
        </is>
      </c>
      <c r="G158" s="25" t="inlineStr">
        <is>
          <t>-0.002 SOL</t>
        </is>
      </c>
      <c r="H158" s="25" t="inlineStr">
        <is>
          <t>-2.62%</t>
        </is>
      </c>
      <c r="I158" s="17" t="inlineStr">
        <is>
          <t>N/A</t>
        </is>
      </c>
      <c r="J158" s="17" t="n">
        <v>1</v>
      </c>
      <c r="K158" s="17" t="n">
        <v>1</v>
      </c>
      <c r="L158" s="17" t="inlineStr">
        <is>
          <t>07.10.2024 19:53:44</t>
        </is>
      </c>
      <c r="M158" s="17" t="inlineStr">
        <is>
          <t>49 min</t>
        </is>
      </c>
      <c r="N158" s="17" t="inlineStr">
        <is>
          <t xml:space="preserve">         18K            18K            10K</t>
        </is>
      </c>
      <c r="O158" s="17" t="inlineStr">
        <is>
          <t>4CPQVcfg4o16KTFfy1XVc2TXvNcp8Zep8QnwTHm4pump</t>
        </is>
      </c>
      <c r="P158" s="17">
        <f>HYPERLINK("https://dexscreener.com/solana/4CPQVcfg4o16KTFfy1XVc2TXvNcp8Zep8QnwTHm4pump", "View")</f>
        <v/>
      </c>
    </row>
    <row r="159">
      <c r="A159" s="20" t="inlineStr">
        <is>
          <t>Slurp</t>
        </is>
      </c>
      <c r="B159" s="21" t="n">
        <v>400042</v>
      </c>
      <c r="C159" s="21" t="n">
        <v>400042</v>
      </c>
      <c r="D159" s="21" t="inlineStr">
        <is>
          <t>0.000020</t>
        </is>
      </c>
      <c r="E159" s="21" t="inlineStr">
        <is>
          <t>0.150 SOL</t>
        </is>
      </c>
      <c r="F159" s="21" t="inlineStr">
        <is>
          <t>0.098 SOL</t>
        </is>
      </c>
      <c r="G159" s="25" t="inlineStr">
        <is>
          <t>-0.052 SOL</t>
        </is>
      </c>
      <c r="H159" s="25" t="inlineStr">
        <is>
          <t>-34.66%</t>
        </is>
      </c>
      <c r="I159" s="21" t="inlineStr">
        <is>
          <t>N/A</t>
        </is>
      </c>
      <c r="J159" s="21" t="n">
        <v>1</v>
      </c>
      <c r="K159" s="21" t="n">
        <v>1</v>
      </c>
      <c r="L159" s="21" t="inlineStr">
        <is>
          <t>07.10.2024 17:32:14</t>
        </is>
      </c>
      <c r="M159" s="21" t="inlineStr">
        <is>
          <t>9 min</t>
        </is>
      </c>
      <c r="N159" s="21" t="inlineStr">
        <is>
          <t xml:space="preserve">         65K            44K             7K</t>
        </is>
      </c>
      <c r="O159" s="21" t="inlineStr">
        <is>
          <t>5CJumoFSKr4M6MvTyFyW4VQogNVyxDgKsfRuksoepump</t>
        </is>
      </c>
      <c r="P159" s="21">
        <f>HYPERLINK("https://dexscreener.com/solana/5CJumoFSKr4M6MvTyFyW4VQogNVyxDgKsfRuksoepump", "View")</f>
        <v/>
      </c>
    </row>
    <row r="160">
      <c r="A160" s="16" t="inlineStr">
        <is>
          <t>GOLD</t>
        </is>
      </c>
      <c r="B160" s="17" t="n">
        <v>7098901</v>
      </c>
      <c r="C160" s="17" t="n">
        <v>7098901</v>
      </c>
      <c r="D160" s="17" t="inlineStr">
        <is>
          <t>0.016010</t>
        </is>
      </c>
      <c r="E160" s="17" t="inlineStr">
        <is>
          <t>0.215 SOL</t>
        </is>
      </c>
      <c r="F160" s="17" t="inlineStr">
        <is>
          <t>0.187 SOL</t>
        </is>
      </c>
      <c r="G160" s="25" t="inlineStr">
        <is>
          <t>-0.044 SOL</t>
        </is>
      </c>
      <c r="H160" s="25" t="inlineStr">
        <is>
          <t>-18.92%</t>
        </is>
      </c>
      <c r="I160" s="17" t="inlineStr">
        <is>
          <t>N/A</t>
        </is>
      </c>
      <c r="J160" s="17" t="n">
        <v>1</v>
      </c>
      <c r="K160" s="17" t="n">
        <v>1</v>
      </c>
      <c r="L160" s="17" t="inlineStr">
        <is>
          <t>07.10.2024 11:48:02</t>
        </is>
      </c>
      <c r="M160" s="19" t="inlineStr">
        <is>
          <t>54 sec</t>
        </is>
      </c>
      <c r="N160" s="17" t="inlineStr">
        <is>
          <t xml:space="preserve">        N/A           N/A           N/A</t>
        </is>
      </c>
      <c r="O160" s="17" t="inlineStr">
        <is>
          <t>BKLCeQUYB8kt5wbxXYTE6z1SGwRFeGsKsWXYhW6qKofq</t>
        </is>
      </c>
      <c r="P160" s="17">
        <f>HYPERLINK("https://photon-sol.tinyastro.io/en/lp/BKLCeQUYB8kt5wbxXYTE6z1SGwRFeGsKsWXYhW6qKofq?handle=676050794bc1b1657a56b", "View")</f>
        <v/>
      </c>
    </row>
    <row r="161">
      <c r="A161" s="20" t="inlineStr">
        <is>
          <t>Maa</t>
        </is>
      </c>
      <c r="B161" s="21" t="n">
        <v>1994210</v>
      </c>
      <c r="C161" s="21" t="n">
        <v>1994210</v>
      </c>
      <c r="D161" s="21" t="inlineStr">
        <is>
          <t>0.000050</t>
        </is>
      </c>
      <c r="E161" s="21" t="inlineStr">
        <is>
          <t>0.955 SOL</t>
        </is>
      </c>
      <c r="F161" s="21" t="inlineStr">
        <is>
          <t>0.050 SOL</t>
        </is>
      </c>
      <c r="G161" s="23" t="inlineStr">
        <is>
          <t>-0.906 SOL</t>
        </is>
      </c>
      <c r="H161" s="23" t="inlineStr">
        <is>
          <t>-94.81%</t>
        </is>
      </c>
      <c r="I161" s="21" t="inlineStr">
        <is>
          <t>N/A</t>
        </is>
      </c>
      <c r="J161" s="21" t="n">
        <v>4</v>
      </c>
      <c r="K161" s="21" t="n">
        <v>1</v>
      </c>
      <c r="L161" s="21" t="inlineStr">
        <is>
          <t>07.10.2024 11:34:55</t>
        </is>
      </c>
      <c r="M161" s="21" t="inlineStr">
        <is>
          <t>1 days</t>
        </is>
      </c>
      <c r="N161" s="21" t="inlineStr">
        <is>
          <t xml:space="preserve">         91K             4K             4K</t>
        </is>
      </c>
      <c r="O161" s="21" t="inlineStr">
        <is>
          <t>BHiVUHns5sR4JE9tYXagBLEeSZ9sEVsJ5Qmpyterpump</t>
        </is>
      </c>
      <c r="P161" s="21">
        <f>HYPERLINK("https://dexscreener.com/solana/BHiVUHns5sR4JE9tYXagBLEeSZ9sEVsJ5Qmpyterpump", "View")</f>
        <v/>
      </c>
    </row>
    <row r="162">
      <c r="A162" s="16" t="inlineStr">
        <is>
          <t>ZAZU</t>
        </is>
      </c>
      <c r="B162" s="17" t="n">
        <v>1458950</v>
      </c>
      <c r="C162" s="17" t="n">
        <v>1458950</v>
      </c>
      <c r="D162" s="17" t="inlineStr">
        <is>
          <t>0.001280</t>
        </is>
      </c>
      <c r="E162" s="17" t="inlineStr">
        <is>
          <t>0.150 SOL</t>
        </is>
      </c>
      <c r="F162" s="17" t="inlineStr">
        <is>
          <t>0.228 SOL</t>
        </is>
      </c>
      <c r="G162" s="24" t="inlineStr">
        <is>
          <t>0.076 SOL</t>
        </is>
      </c>
      <c r="H162" s="24" t="inlineStr">
        <is>
          <t>50.42%</t>
        </is>
      </c>
      <c r="I162" s="17" t="inlineStr">
        <is>
          <t>N/A</t>
        </is>
      </c>
      <c r="J162" s="17" t="n">
        <v>1</v>
      </c>
      <c r="K162" s="17" t="n">
        <v>2</v>
      </c>
      <c r="L162" s="17" t="inlineStr">
        <is>
          <t>07.10.2024 04:18:46</t>
        </is>
      </c>
      <c r="M162" s="17" t="inlineStr">
        <is>
          <t>45 min</t>
        </is>
      </c>
      <c r="N162" s="17" t="inlineStr">
        <is>
          <t xml:space="preserve">         18K            19K             5K</t>
        </is>
      </c>
      <c r="O162" s="17" t="inlineStr">
        <is>
          <t>A4afoCKXxmmYQXjSPryU3HjssEdystpY9JRSjJ5fCx8a</t>
        </is>
      </c>
      <c r="P162" s="17">
        <f>HYPERLINK("https://dexscreener.com/solana/A4afoCKXxmmYQXjSPryU3HjssEdystpY9JRSjJ5fCx8a", "View")</f>
        <v/>
      </c>
    </row>
    <row r="163">
      <c r="A163" s="20" t="inlineStr">
        <is>
          <t>Lerry</t>
        </is>
      </c>
      <c r="B163" s="21" t="n">
        <v>13783162</v>
      </c>
      <c r="C163" s="21" t="n">
        <v>13783162</v>
      </c>
      <c r="D163" s="21" t="inlineStr">
        <is>
          <t>0.000040</t>
        </is>
      </c>
      <c r="E163" s="21" t="inlineStr">
        <is>
          <t>0.932 SOL</t>
        </is>
      </c>
      <c r="F163" s="21" t="inlineStr">
        <is>
          <t>0.708 SOL</t>
        </is>
      </c>
      <c r="G163" s="25" t="inlineStr">
        <is>
          <t>-0.224 SOL</t>
        </is>
      </c>
      <c r="H163" s="25" t="inlineStr">
        <is>
          <t>-24.06%</t>
        </is>
      </c>
      <c r="I163" s="21" t="inlineStr">
        <is>
          <t>N/A</t>
        </is>
      </c>
      <c r="J163" s="21" t="n">
        <v>2</v>
      </c>
      <c r="K163" s="21" t="n">
        <v>2</v>
      </c>
      <c r="L163" s="21" t="inlineStr">
        <is>
          <t>06.10.2024 16:08:17</t>
        </is>
      </c>
      <c r="M163" s="21" t="inlineStr">
        <is>
          <t>2 min</t>
        </is>
      </c>
      <c r="N163" s="21" t="inlineStr">
        <is>
          <t xml:space="preserve">        N/A           N/A           N/A</t>
        </is>
      </c>
      <c r="O163" s="21" t="inlineStr">
        <is>
          <t>6J1eFhkqZBGuRiy6dLH3VMjPykz24PjuUcnYufKGpump</t>
        </is>
      </c>
      <c r="P163" s="21">
        <f>HYPERLINK("https://photon-sol.tinyastro.io/en/lp/6J1eFhkqZBGuRiy6dLH3VMjPykz24PjuUcnYufKGpump?handle=676050794bc1b1657a56b", "View")</f>
        <v/>
      </c>
    </row>
    <row r="164">
      <c r="A164" s="16" t="inlineStr">
        <is>
          <t>TOMINYA</t>
        </is>
      </c>
      <c r="B164" s="17" t="n">
        <v>528051</v>
      </c>
      <c r="C164" s="17" t="n">
        <v>528051</v>
      </c>
      <c r="D164" s="17" t="inlineStr">
        <is>
          <t>0.000020</t>
        </is>
      </c>
      <c r="E164" s="17" t="inlineStr">
        <is>
          <t>0.073 SOL</t>
        </is>
      </c>
      <c r="F164" s="17" t="inlineStr">
        <is>
          <t>0.015 SOL</t>
        </is>
      </c>
      <c r="G164" s="23" t="inlineStr">
        <is>
          <t>-0.058 SOL</t>
        </is>
      </c>
      <c r="H164" s="23" t="inlineStr">
        <is>
          <t>-79.49%</t>
        </is>
      </c>
      <c r="I164" s="17" t="inlineStr">
        <is>
          <t>N/A</t>
        </is>
      </c>
      <c r="J164" s="17" t="n">
        <v>1</v>
      </c>
      <c r="K164" s="17" t="n">
        <v>1</v>
      </c>
      <c r="L164" s="17" t="inlineStr">
        <is>
          <t>06.10.2024 13:55:18</t>
        </is>
      </c>
      <c r="M164" s="17" t="inlineStr">
        <is>
          <t>22 min</t>
        </is>
      </c>
      <c r="N164" s="17" t="inlineStr">
        <is>
          <t xml:space="preserve">        N/A           N/A           N/A</t>
        </is>
      </c>
      <c r="O164" s="17" t="inlineStr">
        <is>
          <t>3SLoQyQnXS9e4zhpGpPTDTkTrV1ZkdoPmNQaY5q2WikK</t>
        </is>
      </c>
      <c r="P164" s="17">
        <f>HYPERLINK("https://photon-sol.tinyastro.io/en/lp/3SLoQyQnXS9e4zhpGpPTDTkTrV1ZkdoPmNQaY5q2WikK?handle=676050794bc1b1657a56b", "View")</f>
        <v/>
      </c>
    </row>
    <row r="165">
      <c r="A165" s="20" t="inlineStr">
        <is>
          <t>Zizi</t>
        </is>
      </c>
      <c r="B165" s="21" t="n">
        <v>10449830</v>
      </c>
      <c r="C165" s="21" t="n">
        <v>10449830</v>
      </c>
      <c r="D165" s="21" t="inlineStr">
        <is>
          <t>0.000020</t>
        </is>
      </c>
      <c r="E165" s="21" t="inlineStr">
        <is>
          <t>0.359 SOL</t>
        </is>
      </c>
      <c r="F165" s="21" t="inlineStr">
        <is>
          <t>0.416 SOL</t>
        </is>
      </c>
      <c r="G165" s="22" t="inlineStr">
        <is>
          <t>0.057 SOL</t>
        </is>
      </c>
      <c r="H165" s="22" t="inlineStr">
        <is>
          <t>15.97%</t>
        </is>
      </c>
      <c r="I165" s="21" t="inlineStr">
        <is>
          <t>N/A</t>
        </is>
      </c>
      <c r="J165" s="21" t="n">
        <v>1</v>
      </c>
      <c r="K165" s="21" t="n">
        <v>1</v>
      </c>
      <c r="L165" s="21" t="inlineStr">
        <is>
          <t>06.10.2024 13:34:53</t>
        </is>
      </c>
      <c r="M165" s="19" t="inlineStr">
        <is>
          <t>23 sec</t>
        </is>
      </c>
      <c r="N165" s="21" t="inlineStr">
        <is>
          <t xml:space="preserve">        N/A           N/A           N/A</t>
        </is>
      </c>
      <c r="O165" s="21" t="inlineStr">
        <is>
          <t>3WhW7w8EqAsJtgs4TqJ1zf2EfZjATbgpaJzkhJs1pump</t>
        </is>
      </c>
      <c r="P165" s="21">
        <f>HYPERLINK("https://photon-sol.tinyastro.io/en/lp/3WhW7w8EqAsJtgs4TqJ1zf2EfZjATbgpaJzkhJs1pump?handle=676050794bc1b1657a56b", "View")</f>
        <v/>
      </c>
    </row>
    <row r="166">
      <c r="A166" s="16" t="inlineStr">
        <is>
          <t>MOCHA</t>
        </is>
      </c>
      <c r="B166" s="17" t="n">
        <v>11592595</v>
      </c>
      <c r="C166" s="17" t="n">
        <v>11592595</v>
      </c>
      <c r="D166" s="17" t="inlineStr">
        <is>
          <t>0.001270</t>
        </is>
      </c>
      <c r="E166" s="17" t="inlineStr">
        <is>
          <t>0.516 SOL</t>
        </is>
      </c>
      <c r="F166" s="17" t="inlineStr">
        <is>
          <t>1.187 SOL</t>
        </is>
      </c>
      <c r="G166" s="24" t="inlineStr">
        <is>
          <t>0.670 SOL</t>
        </is>
      </c>
      <c r="H166" s="24" t="inlineStr">
        <is>
          <t>129.42%</t>
        </is>
      </c>
      <c r="I166" s="17" t="inlineStr">
        <is>
          <t>N/A</t>
        </is>
      </c>
      <c r="J166" s="17" t="n">
        <v>1</v>
      </c>
      <c r="K166" s="17" t="n">
        <v>1</v>
      </c>
      <c r="L166" s="17" t="inlineStr">
        <is>
          <t>06.10.2024 12:23:46</t>
        </is>
      </c>
      <c r="M166" s="19" t="inlineStr">
        <is>
          <t>16 sec</t>
        </is>
      </c>
      <c r="N166" s="17" t="inlineStr">
        <is>
          <t xml:space="preserve">        N/A           N/A           N/A</t>
        </is>
      </c>
      <c r="O166" s="17" t="inlineStr">
        <is>
          <t>4yWP55x5o5ktZq8ibUEvDjrTkXk3ntUbqiwM6MsUpump</t>
        </is>
      </c>
      <c r="P166" s="17">
        <f>HYPERLINK("https://photon-sol.tinyastro.io/en/lp/4yWP55x5o5ktZq8ibUEvDjrTkXk3ntUbqiwM6MsUpump?handle=676050794bc1b1657a56b", "View")</f>
        <v/>
      </c>
    </row>
    <row r="167">
      <c r="A167" s="20" t="inlineStr">
        <is>
          <t>nico</t>
        </is>
      </c>
      <c r="B167" s="21" t="n">
        <v>6313854</v>
      </c>
      <c r="C167" s="21" t="n">
        <v>6313854</v>
      </c>
      <c r="D167" s="21" t="inlineStr">
        <is>
          <t>0.000020</t>
        </is>
      </c>
      <c r="E167" s="21" t="inlineStr">
        <is>
          <t>0.437 SOL</t>
        </is>
      </c>
      <c r="F167" s="21" t="inlineStr">
        <is>
          <t>0.804 SOL</t>
        </is>
      </c>
      <c r="G167" s="24" t="inlineStr">
        <is>
          <t>0.367 SOL</t>
        </is>
      </c>
      <c r="H167" s="24" t="inlineStr">
        <is>
          <t>84.07%</t>
        </is>
      </c>
      <c r="I167" s="21" t="inlineStr">
        <is>
          <t>N/A</t>
        </is>
      </c>
      <c r="J167" s="21" t="n">
        <v>1</v>
      </c>
      <c r="K167" s="21" t="n">
        <v>1</v>
      </c>
      <c r="L167" s="21" t="inlineStr">
        <is>
          <t>06.10.2024 12:10:07</t>
        </is>
      </c>
      <c r="M167" s="19" t="inlineStr">
        <is>
          <t>18 sec</t>
        </is>
      </c>
      <c r="N167" s="21" t="inlineStr">
        <is>
          <t xml:space="preserve">        N/A           N/A           N/A</t>
        </is>
      </c>
      <c r="O167" s="21" t="inlineStr">
        <is>
          <t>2PHLKEKdy1xJ6yj5PDLpgyd5SNKetZTc6UJNi3Swpump</t>
        </is>
      </c>
      <c r="P167" s="21">
        <f>HYPERLINK("https://photon-sol.tinyastro.io/en/lp/2PHLKEKdy1xJ6yj5PDLpgyd5SNKetZTc6UJNi3Swpump?handle=676050794bc1b1657a56b", "View")</f>
        <v/>
      </c>
    </row>
    <row r="168">
      <c r="A168" s="16" t="inlineStr">
        <is>
          <t>PHANTY</t>
        </is>
      </c>
      <c r="B168" s="17" t="n">
        <v>1069475</v>
      </c>
      <c r="C168" s="17" t="n">
        <v>1069475</v>
      </c>
      <c r="D168" s="17" t="inlineStr">
        <is>
          <t>0.008020</t>
        </is>
      </c>
      <c r="E168" s="17" t="inlineStr">
        <is>
          <t>0.359 SOL</t>
        </is>
      </c>
      <c r="F168" s="17" t="inlineStr">
        <is>
          <t>0.084 SOL</t>
        </is>
      </c>
      <c r="G168" s="23" t="inlineStr">
        <is>
          <t>-0.283 SOL</t>
        </is>
      </c>
      <c r="H168" s="23" t="inlineStr">
        <is>
          <t>-77.09%</t>
        </is>
      </c>
      <c r="I168" s="17" t="inlineStr">
        <is>
          <t>N/A</t>
        </is>
      </c>
      <c r="J168" s="17" t="n">
        <v>1</v>
      </c>
      <c r="K168" s="17" t="n">
        <v>1</v>
      </c>
      <c r="L168" s="17" t="inlineStr">
        <is>
          <t>06.10.2024 09:24:28</t>
        </is>
      </c>
      <c r="M168" s="17" t="inlineStr">
        <is>
          <t>4 min</t>
        </is>
      </c>
      <c r="N168" s="17" t="inlineStr">
        <is>
          <t xml:space="preserve">         60K            14K             3K</t>
        </is>
      </c>
      <c r="O168" s="17" t="inlineStr">
        <is>
          <t>6mKTaG71bioYwFZ4XR1DA8sH8iwLSTcHTZ5dr2xHpump</t>
        </is>
      </c>
      <c r="P168" s="17">
        <f>HYPERLINK("https://photon-sol.tinyastro.io/en/lp/6mKTaG71bioYwFZ4XR1DA8sH8iwLSTcHTZ5dr2xHpump?handle=676050794bc1b1657a56b", "View")</f>
        <v/>
      </c>
    </row>
    <row r="169">
      <c r="A169" s="20" t="inlineStr">
        <is>
          <t>Tom</t>
        </is>
      </c>
      <c r="B169" s="21" t="n">
        <v>9081937</v>
      </c>
      <c r="C169" s="21" t="n">
        <v>9081937</v>
      </c>
      <c r="D169" s="21" t="inlineStr">
        <is>
          <t>0.001270</t>
        </is>
      </c>
      <c r="E169" s="21" t="inlineStr">
        <is>
          <t>0.309 SOL</t>
        </is>
      </c>
      <c r="F169" s="21" t="inlineStr">
        <is>
          <t>0.294 SOL</t>
        </is>
      </c>
      <c r="G169" s="25" t="inlineStr">
        <is>
          <t>-0.016 SOL</t>
        </is>
      </c>
      <c r="H169" s="25" t="inlineStr">
        <is>
          <t>-5.15%</t>
        </is>
      </c>
      <c r="I169" s="21" t="inlineStr">
        <is>
          <t>N/A</t>
        </is>
      </c>
      <c r="J169" s="21" t="n">
        <v>1</v>
      </c>
      <c r="K169" s="21" t="n">
        <v>1</v>
      </c>
      <c r="L169" s="21" t="inlineStr">
        <is>
          <t>06.10.2024 09:20:03</t>
        </is>
      </c>
      <c r="M169" s="21" t="inlineStr">
        <is>
          <t>1 min</t>
        </is>
      </c>
      <c r="N169" s="21" t="inlineStr">
        <is>
          <t xml:space="preserve">        N/A           N/A           N/A</t>
        </is>
      </c>
      <c r="O169" s="21" t="inlineStr">
        <is>
          <t>Ei7heWNtnEP5qUdZDAWjEBdo1xcgJP82kXaQ2p3ypump</t>
        </is>
      </c>
      <c r="P169" s="21">
        <f>HYPERLINK("https://photon-sol.tinyastro.io/en/lp/Ei7heWNtnEP5qUdZDAWjEBdo1xcgJP82kXaQ2p3ypump?handle=676050794bc1b1657a56b", "View")</f>
        <v/>
      </c>
    </row>
    <row r="170">
      <c r="A170" s="16" t="inlineStr">
        <is>
          <t>cap</t>
        </is>
      </c>
      <c r="B170" s="17" t="n">
        <v>130550</v>
      </c>
      <c r="C170" s="17" t="n">
        <v>130550</v>
      </c>
      <c r="D170" s="17" t="inlineStr">
        <is>
          <t>0.000020</t>
        </is>
      </c>
      <c r="E170" s="17" t="inlineStr">
        <is>
          <t>0.070 SOL</t>
        </is>
      </c>
      <c r="F170" s="17" t="inlineStr">
        <is>
          <t>0.059 SOL</t>
        </is>
      </c>
      <c r="G170" s="25" t="inlineStr">
        <is>
          <t>-0.011 SOL</t>
        </is>
      </c>
      <c r="H170" s="25" t="inlineStr">
        <is>
          <t>-15.10%</t>
        </is>
      </c>
      <c r="I170" s="17" t="inlineStr">
        <is>
          <t>N/A</t>
        </is>
      </c>
      <c r="J170" s="17" t="n">
        <v>1</v>
      </c>
      <c r="K170" s="17" t="n">
        <v>1</v>
      </c>
      <c r="L170" s="17" t="inlineStr">
        <is>
          <t>06.10.2024 08:41:45</t>
        </is>
      </c>
      <c r="M170" s="17" t="inlineStr">
        <is>
          <t>26 min</t>
        </is>
      </c>
      <c r="N170" s="17" t="inlineStr">
        <is>
          <t xml:space="preserve">         95K            81K             4K</t>
        </is>
      </c>
      <c r="O170" s="17" t="inlineStr">
        <is>
          <t>CkhR7kosetTQCBVbw6jim1SNoFiMiBh4VD5NY2Jopump</t>
        </is>
      </c>
      <c r="P170" s="17">
        <f>HYPERLINK("https://dexscreener.com/solana/CkhR7kosetTQCBVbw6jim1SNoFiMiBh4VD5NY2Jopump", "View")</f>
        <v/>
      </c>
    </row>
    <row r="171">
      <c r="A171" s="20" t="inlineStr">
        <is>
          <t>sib</t>
        </is>
      </c>
      <c r="B171" s="21" t="n">
        <v>108452</v>
      </c>
      <c r="C171" s="21" t="n">
        <v>108452</v>
      </c>
      <c r="D171" s="21" t="inlineStr">
        <is>
          <t>0.000020</t>
        </is>
      </c>
      <c r="E171" s="21" t="inlineStr">
        <is>
          <t>0.050 SOL</t>
        </is>
      </c>
      <c r="F171" s="21" t="inlineStr">
        <is>
          <t>0.019 SOL</t>
        </is>
      </c>
      <c r="G171" s="23" t="inlineStr">
        <is>
          <t>-0.031 SOL</t>
        </is>
      </c>
      <c r="H171" s="23" t="inlineStr">
        <is>
          <t>-61.15%</t>
        </is>
      </c>
      <c r="I171" s="21" t="inlineStr">
        <is>
          <t>N/A</t>
        </is>
      </c>
      <c r="J171" s="21" t="n">
        <v>1</v>
      </c>
      <c r="K171" s="21" t="n">
        <v>1</v>
      </c>
      <c r="L171" s="21" t="inlineStr">
        <is>
          <t>06.10.2024 07:50:18</t>
        </is>
      </c>
      <c r="M171" s="21" t="inlineStr">
        <is>
          <t>12 min</t>
        </is>
      </c>
      <c r="N171" s="21" t="inlineStr">
        <is>
          <t xml:space="preserve">         81K            32K             3K</t>
        </is>
      </c>
      <c r="O171" s="21" t="inlineStr">
        <is>
          <t>EYFiZKBxyxPg741N2r7Vx7GiqyrXuL1M76CkQH1Apump</t>
        </is>
      </c>
      <c r="P171" s="21">
        <f>HYPERLINK("https://dexscreener.com/solana/EYFiZKBxyxPg741N2r7Vx7GiqyrXuL1M76CkQH1Apump", "View")</f>
        <v/>
      </c>
    </row>
    <row r="172">
      <c r="A172" s="16" t="inlineStr">
        <is>
          <t>r/len</t>
        </is>
      </c>
      <c r="B172" s="17" t="n">
        <v>2004527</v>
      </c>
      <c r="C172" s="17" t="n">
        <v>2004527</v>
      </c>
      <c r="D172" s="17" t="inlineStr">
        <is>
          <t>0.000070</t>
        </is>
      </c>
      <c r="E172" s="17" t="inlineStr">
        <is>
          <t>0.357 SOL</t>
        </is>
      </c>
      <c r="F172" s="17" t="inlineStr">
        <is>
          <t>0.347 SOL</t>
        </is>
      </c>
      <c r="G172" s="25" t="inlineStr">
        <is>
          <t>-0.010 SOL</t>
        </is>
      </c>
      <c r="H172" s="25" t="inlineStr">
        <is>
          <t>-2.70%</t>
        </is>
      </c>
      <c r="I172" s="17" t="inlineStr">
        <is>
          <t>N/A</t>
        </is>
      </c>
      <c r="J172" s="17" t="n">
        <v>4</v>
      </c>
      <c r="K172" s="17" t="n">
        <v>3</v>
      </c>
      <c r="L172" s="17" t="inlineStr">
        <is>
          <t>06.10.2024 06:07:01</t>
        </is>
      </c>
      <c r="M172" s="17" t="inlineStr">
        <is>
          <t>36 min</t>
        </is>
      </c>
      <c r="N172" s="17" t="inlineStr">
        <is>
          <t xml:space="preserve">         37K            16K             3K</t>
        </is>
      </c>
      <c r="O172" s="17" t="inlineStr">
        <is>
          <t>JBnyMJs97EgauPSdLydkiRhT1wp8DtrBeAbMoetRpump</t>
        </is>
      </c>
      <c r="P172" s="17">
        <f>HYPERLINK("https://photon-sol.tinyastro.io/en/lp/JBnyMJs97EgauPSdLydkiRhT1wp8DtrBeAbMoetRpump?handle=676050794bc1b1657a56b", "View")</f>
        <v/>
      </c>
    </row>
    <row r="173">
      <c r="A173" s="20" t="inlineStr">
        <is>
          <t>Len</t>
        </is>
      </c>
      <c r="B173" s="21" t="n">
        <v>17894223</v>
      </c>
      <c r="C173" s="21" t="n">
        <v>17894223</v>
      </c>
      <c r="D173" s="21" t="inlineStr">
        <is>
          <t>0.000020</t>
        </is>
      </c>
      <c r="E173" s="21" t="inlineStr">
        <is>
          <t>0.749 SOL</t>
        </is>
      </c>
      <c r="F173" s="21" t="inlineStr">
        <is>
          <t>0.506 SOL</t>
        </is>
      </c>
      <c r="G173" s="25" t="inlineStr">
        <is>
          <t>-0.243 SOL</t>
        </is>
      </c>
      <c r="H173" s="25" t="inlineStr">
        <is>
          <t>-32.50%</t>
        </is>
      </c>
      <c r="I173" s="21" t="inlineStr">
        <is>
          <t>N/A</t>
        </is>
      </c>
      <c r="J173" s="21" t="n">
        <v>1</v>
      </c>
      <c r="K173" s="21" t="n">
        <v>1</v>
      </c>
      <c r="L173" s="21" t="inlineStr">
        <is>
          <t>05.10.2024 16:33:46</t>
        </is>
      </c>
      <c r="M173" s="19" t="inlineStr">
        <is>
          <t>35 sec</t>
        </is>
      </c>
      <c r="N173" s="21" t="inlineStr">
        <is>
          <t xml:space="preserve">        N/A           N/A           N/A</t>
        </is>
      </c>
      <c r="O173" s="21" t="inlineStr">
        <is>
          <t>Cxb59MtRJBGXHFpPiaTyQicUPXPdqLLi5YY2NwHLpump</t>
        </is>
      </c>
      <c r="P173" s="21">
        <f>HYPERLINK("https://photon-sol.tinyastro.io/en/lp/Cxb59MtRJBGXHFpPiaTyQicUPXPdqLLi5YY2NwHLpump?handle=676050794bc1b1657a56b", "View")</f>
        <v/>
      </c>
    </row>
    <row r="174">
      <c r="A174" s="16" t="inlineStr">
        <is>
          <t>koma</t>
        </is>
      </c>
      <c r="B174" s="17" t="n">
        <v>13539513</v>
      </c>
      <c r="C174" s="17" t="n">
        <v>13539513</v>
      </c>
      <c r="D174" s="17" t="inlineStr">
        <is>
          <t>0.000020</t>
        </is>
      </c>
      <c r="E174" s="17" t="inlineStr">
        <is>
          <t>0.510 SOL</t>
        </is>
      </c>
      <c r="F174" s="17" t="inlineStr">
        <is>
          <t>1.197 SOL</t>
        </is>
      </c>
      <c r="G174" s="24" t="inlineStr">
        <is>
          <t>0.687 SOL</t>
        </is>
      </c>
      <c r="H174" s="24" t="inlineStr">
        <is>
          <t>134.59%</t>
        </is>
      </c>
      <c r="I174" s="17" t="inlineStr">
        <is>
          <t>N/A</t>
        </is>
      </c>
      <c r="J174" s="17" t="n">
        <v>1</v>
      </c>
      <c r="K174" s="17" t="n">
        <v>1</v>
      </c>
      <c r="L174" s="17" t="inlineStr">
        <is>
          <t>05.10.2024 16:05:55</t>
        </is>
      </c>
      <c r="M174" s="19" t="inlineStr">
        <is>
          <t>30 sec</t>
        </is>
      </c>
      <c r="N174" s="17" t="inlineStr">
        <is>
          <t xml:space="preserve">        N/A           N/A           N/A</t>
        </is>
      </c>
      <c r="O174" s="17" t="inlineStr">
        <is>
          <t>Fq86s5oH1hNEgfHXRJ3AZSmHsEubAncmoUMbya8xpump</t>
        </is>
      </c>
      <c r="P174" s="17">
        <f>HYPERLINK("https://photon-sol.tinyastro.io/en/lp/Fq86s5oH1hNEgfHXRJ3AZSmHsEubAncmoUMbya8xpump?handle=676050794bc1b1657a56b", "View")</f>
        <v/>
      </c>
    </row>
    <row r="175">
      <c r="A175" s="20" t="inlineStr">
        <is>
          <t>HALFINSIDE</t>
        </is>
      </c>
      <c r="B175" s="21" t="n">
        <v>7462379</v>
      </c>
      <c r="C175" s="21" t="n">
        <v>7462379</v>
      </c>
      <c r="D175" s="21" t="inlineStr">
        <is>
          <t>0.000030</t>
        </is>
      </c>
      <c r="E175" s="21" t="inlineStr">
        <is>
          <t>0.377 SOL</t>
        </is>
      </c>
      <c r="F175" s="21" t="inlineStr">
        <is>
          <t>0.825 SOL</t>
        </is>
      </c>
      <c r="G175" s="24" t="inlineStr">
        <is>
          <t>0.448 SOL</t>
        </is>
      </c>
      <c r="H175" s="24" t="inlineStr">
        <is>
          <t>118.68%</t>
        </is>
      </c>
      <c r="I175" s="21" t="inlineStr">
        <is>
          <t>N/A</t>
        </is>
      </c>
      <c r="J175" s="21" t="n">
        <v>2</v>
      </c>
      <c r="K175" s="21" t="n">
        <v>1</v>
      </c>
      <c r="L175" s="21" t="inlineStr">
        <is>
          <t>05.10.2024 15:48:20</t>
        </is>
      </c>
      <c r="M175" s="19" t="inlineStr">
        <is>
          <t>33 sec</t>
        </is>
      </c>
      <c r="N175" s="21" t="inlineStr">
        <is>
          <t xml:space="preserve">        N/A           N/A           N/A</t>
        </is>
      </c>
      <c r="O175" s="21" t="inlineStr">
        <is>
          <t>2oD9NucNG4jZv5BQne4LCpodUZM5d9HKGCm73h98pump</t>
        </is>
      </c>
      <c r="P175" s="21">
        <f>HYPERLINK("https://photon-sol.tinyastro.io/en/lp/2oD9NucNG4jZv5BQne4LCpodUZM5d9HKGCm73h98pump?handle=676050794bc1b1657a56b", "View")</f>
        <v/>
      </c>
    </row>
    <row r="176">
      <c r="A176" s="16" t="inlineStr">
        <is>
          <t>Lam</t>
        </is>
      </c>
      <c r="B176" s="17" t="n">
        <v>1195148</v>
      </c>
      <c r="C176" s="17" t="n">
        <v>1195148</v>
      </c>
      <c r="D176" s="17" t="inlineStr">
        <is>
          <t>0.002520</t>
        </is>
      </c>
      <c r="E176" s="17" t="inlineStr">
        <is>
          <t>0.143 SOL</t>
        </is>
      </c>
      <c r="F176" s="17" t="inlineStr">
        <is>
          <t>0.190 SOL</t>
        </is>
      </c>
      <c r="G176" s="22" t="inlineStr">
        <is>
          <t>0.044 SOL</t>
        </is>
      </c>
      <c r="H176" s="22" t="inlineStr">
        <is>
          <t>30.42%</t>
        </is>
      </c>
      <c r="I176" s="17" t="inlineStr">
        <is>
          <t>N/A</t>
        </is>
      </c>
      <c r="J176" s="17" t="n">
        <v>1</v>
      </c>
      <c r="K176" s="17" t="n">
        <v>2</v>
      </c>
      <c r="L176" s="17" t="inlineStr">
        <is>
          <t>05.10.2024 15:29:49</t>
        </is>
      </c>
      <c r="M176" s="17" t="inlineStr">
        <is>
          <t>3 min</t>
        </is>
      </c>
      <c r="N176" s="17" t="inlineStr">
        <is>
          <t xml:space="preserve">        N/A           N/A           N/A</t>
        </is>
      </c>
      <c r="O176" s="17" t="inlineStr">
        <is>
          <t>9R2bSEecxrSMT5TXrvSxqgB1WyXPopPW3cLtx48fpump</t>
        </is>
      </c>
      <c r="P176" s="17">
        <f>HYPERLINK("https://photon-sol.tinyastro.io/en/lp/9R2bSEecxrSMT5TXrvSxqgB1WyXPopPW3cLtx48fpump?handle=676050794bc1b1657a56b", "View")</f>
        <v/>
      </c>
    </row>
    <row r="177">
      <c r="A177" s="20" t="inlineStr">
        <is>
          <t>FBL</t>
        </is>
      </c>
      <c r="B177" s="21" t="n">
        <v>1215322</v>
      </c>
      <c r="C177" s="21" t="n">
        <v>1215322</v>
      </c>
      <c r="D177" s="21" t="inlineStr">
        <is>
          <t>0.021040</t>
        </is>
      </c>
      <c r="E177" s="21" t="inlineStr">
        <is>
          <t>0.308 SOL</t>
        </is>
      </c>
      <c r="F177" s="21" t="inlineStr">
        <is>
          <t>0.891 SOL</t>
        </is>
      </c>
      <c r="G177" s="24" t="inlineStr">
        <is>
          <t>0.562 SOL</t>
        </is>
      </c>
      <c r="H177" s="24" t="inlineStr">
        <is>
          <t>170.87%</t>
        </is>
      </c>
      <c r="I177" s="21" t="inlineStr">
        <is>
          <t>N/A</t>
        </is>
      </c>
      <c r="J177" s="21" t="n">
        <v>1</v>
      </c>
      <c r="K177" s="21" t="n">
        <v>4</v>
      </c>
      <c r="L177" s="21" t="inlineStr">
        <is>
          <t>05.10.2024 15:26:51</t>
        </is>
      </c>
      <c r="M177" s="21" t="inlineStr">
        <is>
          <t>1 hours</t>
        </is>
      </c>
      <c r="N177" s="21" t="inlineStr">
        <is>
          <t xml:space="preserve">         44K             7K             4K</t>
        </is>
      </c>
      <c r="O177" s="21" t="inlineStr">
        <is>
          <t>BvjkVW3zVRNaeqmx9d6FKeppZaTorJjJe2qeBip5pump</t>
        </is>
      </c>
      <c r="P177" s="21">
        <f>HYPERLINK("https://photon-sol.tinyastro.io/en/lp/BvjkVW3zVRNaeqmx9d6FKeppZaTorJjJe2qeBip5pump?handle=676050794bc1b1657a56b", "View")</f>
        <v/>
      </c>
    </row>
    <row r="178">
      <c r="A178" s="16" t="inlineStr">
        <is>
          <t>BTC E-CASH</t>
        </is>
      </c>
      <c r="B178" s="17" t="n">
        <v>2351918</v>
      </c>
      <c r="C178" s="17" t="n">
        <v>2351918</v>
      </c>
      <c r="D178" s="17" t="inlineStr">
        <is>
          <t>0.001280</t>
        </is>
      </c>
      <c r="E178" s="17" t="inlineStr">
        <is>
          <t>0.230 SOL</t>
        </is>
      </c>
      <c r="F178" s="17" t="inlineStr">
        <is>
          <t>0.284 SOL</t>
        </is>
      </c>
      <c r="G178" s="22" t="inlineStr">
        <is>
          <t>0.053 SOL</t>
        </is>
      </c>
      <c r="H178" s="22" t="inlineStr">
        <is>
          <t>22.89%</t>
        </is>
      </c>
      <c r="I178" s="17" t="inlineStr">
        <is>
          <t>N/A</t>
        </is>
      </c>
      <c r="J178" s="17" t="n">
        <v>2</v>
      </c>
      <c r="K178" s="17" t="n">
        <v>1</v>
      </c>
      <c r="L178" s="17" t="inlineStr">
        <is>
          <t>05.10.2024 12:17:45</t>
        </is>
      </c>
      <c r="M178" s="17" t="inlineStr">
        <is>
          <t>3 min</t>
        </is>
      </c>
      <c r="N178" s="17" t="inlineStr">
        <is>
          <t xml:space="preserve">        N/A           N/A           N/A</t>
        </is>
      </c>
      <c r="O178" s="17" t="inlineStr">
        <is>
          <t>5Zpkgz3AvfU99YBMrJWMuW65WfpZLjsgpCUYvJ5Apump</t>
        </is>
      </c>
      <c r="P178" s="17">
        <f>HYPERLINK("https://photon-sol.tinyastro.io/en/lp/5Zpkgz3AvfU99YBMrJWMuW65WfpZLjsgpCUYvJ5Apump?handle=676050794bc1b1657a56b", "View")</f>
        <v/>
      </c>
    </row>
    <row r="179">
      <c r="A179" s="20" t="inlineStr">
        <is>
          <t>TIGRA</t>
        </is>
      </c>
      <c r="B179" s="21" t="n">
        <v>639021</v>
      </c>
      <c r="C179" s="21" t="n">
        <v>639021</v>
      </c>
      <c r="D179" s="21" t="inlineStr">
        <is>
          <t>0.001300</t>
        </is>
      </c>
      <c r="E179" s="21" t="inlineStr">
        <is>
          <t>0.220 SOL</t>
        </is>
      </c>
      <c r="F179" s="21" t="inlineStr">
        <is>
          <t>0.194 SOL</t>
        </is>
      </c>
      <c r="G179" s="25" t="inlineStr">
        <is>
          <t>-0.027 SOL</t>
        </is>
      </c>
      <c r="H179" s="25" t="inlineStr">
        <is>
          <t>-12.28%</t>
        </is>
      </c>
      <c r="I179" s="21" t="inlineStr">
        <is>
          <t>N/A</t>
        </is>
      </c>
      <c r="J179" s="21" t="n">
        <v>2</v>
      </c>
      <c r="K179" s="21" t="n">
        <v>3</v>
      </c>
      <c r="L179" s="21" t="inlineStr">
        <is>
          <t>05.10.2024 12:14:40</t>
        </is>
      </c>
      <c r="M179" s="21" t="inlineStr">
        <is>
          <t>8 hours</t>
        </is>
      </c>
      <c r="N179" s="21" t="inlineStr">
        <is>
          <t xml:space="preserve">         79K            32K             5K</t>
        </is>
      </c>
      <c r="O179" s="21" t="inlineStr">
        <is>
          <t>orfCBLySfLwztKAFzeoWsxwx4kgGezkHMwZizN5pump</t>
        </is>
      </c>
      <c r="P179" s="21">
        <f>HYPERLINK("https://dexscreener.com/solana/orfCBLySfLwztKAFzeoWsxwx4kgGezkHMwZizN5pump", "View")</f>
        <v/>
      </c>
    </row>
    <row r="180">
      <c r="A180" s="16" t="inlineStr">
        <is>
          <t>Legend</t>
        </is>
      </c>
      <c r="B180" s="17" t="n">
        <v>135192</v>
      </c>
      <c r="C180" s="17" t="n">
        <v>135192</v>
      </c>
      <c r="D180" s="17" t="inlineStr">
        <is>
          <t>0.000020</t>
        </is>
      </c>
      <c r="E180" s="17" t="inlineStr">
        <is>
          <t>0.110 SOL</t>
        </is>
      </c>
      <c r="F180" s="17" t="inlineStr">
        <is>
          <t>0.043 SOL</t>
        </is>
      </c>
      <c r="G180" s="23" t="inlineStr">
        <is>
          <t>-0.067 SOL</t>
        </is>
      </c>
      <c r="H180" s="23" t="inlineStr">
        <is>
          <t>-61.11%</t>
        </is>
      </c>
      <c r="I180" s="17" t="inlineStr">
        <is>
          <t>N/A</t>
        </is>
      </c>
      <c r="J180" s="17" t="n">
        <v>1</v>
      </c>
      <c r="K180" s="17" t="n">
        <v>1</v>
      </c>
      <c r="L180" s="17" t="inlineStr">
        <is>
          <t>05.10.2024 11:53:33</t>
        </is>
      </c>
      <c r="M180" s="17" t="inlineStr">
        <is>
          <t>6 min</t>
        </is>
      </c>
      <c r="N180" s="17" t="inlineStr">
        <is>
          <t xml:space="preserve">        142K            56K             6K</t>
        </is>
      </c>
      <c r="O180" s="17" t="inlineStr">
        <is>
          <t>5az1xKbBam41E5fT2tfjVVsJ8bFaM4h4F9z4BvupAJ7p</t>
        </is>
      </c>
      <c r="P180" s="17">
        <f>HYPERLINK("https://dexscreener.com/solana/5az1xKbBam41E5fT2tfjVVsJ8bFaM4h4F9z4BvupAJ7p", "View")</f>
        <v/>
      </c>
    </row>
    <row r="181">
      <c r="A181" s="20" t="inlineStr">
        <is>
          <t>TIGRA</t>
        </is>
      </c>
      <c r="B181" s="21" t="n">
        <v>10623762</v>
      </c>
      <c r="C181" s="21" t="n">
        <v>10623762</v>
      </c>
      <c r="D181" s="21" t="inlineStr">
        <is>
          <t>0.000020</t>
        </is>
      </c>
      <c r="E181" s="21" t="inlineStr">
        <is>
          <t>0.308 SOL</t>
        </is>
      </c>
      <c r="F181" s="21" t="inlineStr">
        <is>
          <t>0.296 SOL</t>
        </is>
      </c>
      <c r="G181" s="25" t="inlineStr">
        <is>
          <t>-0.012 SOL</t>
        </is>
      </c>
      <c r="H181" s="25" t="inlineStr">
        <is>
          <t>-3.76%</t>
        </is>
      </c>
      <c r="I181" s="21" t="inlineStr">
        <is>
          <t>N/A</t>
        </is>
      </c>
      <c r="J181" s="21" t="n">
        <v>1</v>
      </c>
      <c r="K181" s="21" t="n">
        <v>1</v>
      </c>
      <c r="L181" s="21" t="inlineStr">
        <is>
          <t>05.10.2024 11:10:49</t>
        </is>
      </c>
      <c r="M181" s="19" t="inlineStr">
        <is>
          <t>41 sec</t>
        </is>
      </c>
      <c r="N181" s="21" t="inlineStr">
        <is>
          <t xml:space="preserve">        N/A           N/A           N/A</t>
        </is>
      </c>
      <c r="O181" s="21" t="inlineStr">
        <is>
          <t>Ed9HaFd7snQZnjkQT22fvTdkjgtsCsYbkhdy5y6Upump</t>
        </is>
      </c>
      <c r="P181" s="21">
        <f>HYPERLINK("https://photon-sol.tinyastro.io/en/lp/Ed9HaFd7snQZnjkQT22fvTdkjgtsCsYbkhdy5y6Upump?handle=676050794bc1b1657a56b", "View")</f>
        <v/>
      </c>
    </row>
    <row r="182">
      <c r="A182" s="16" t="inlineStr">
        <is>
          <t>NOTSATOSHI</t>
        </is>
      </c>
      <c r="B182" s="17" t="n">
        <v>360698</v>
      </c>
      <c r="C182" s="17" t="n">
        <v>360698</v>
      </c>
      <c r="D182" s="17" t="inlineStr">
        <is>
          <t>0.000020</t>
        </is>
      </c>
      <c r="E182" s="17" t="inlineStr">
        <is>
          <t>0.114 SOL</t>
        </is>
      </c>
      <c r="F182" s="17" t="inlineStr">
        <is>
          <t>0.114 SOL</t>
        </is>
      </c>
      <c r="G182" s="22" t="inlineStr">
        <is>
          <t>0.001 SOL</t>
        </is>
      </c>
      <c r="H182" s="22" t="inlineStr">
        <is>
          <t>0.80%</t>
        </is>
      </c>
      <c r="I182" s="17" t="inlineStr">
        <is>
          <t>N/A</t>
        </is>
      </c>
      <c r="J182" s="17" t="n">
        <v>1</v>
      </c>
      <c r="K182" s="17" t="n">
        <v>1</v>
      </c>
      <c r="L182" s="17" t="inlineStr">
        <is>
          <t>05.10.2024 10:59:58</t>
        </is>
      </c>
      <c r="M182" s="17" t="inlineStr">
        <is>
          <t>7 min</t>
        </is>
      </c>
      <c r="N182" s="17" t="inlineStr">
        <is>
          <t xml:space="preserve">         54K            56K             4K</t>
        </is>
      </c>
      <c r="O182" s="17" t="inlineStr">
        <is>
          <t>35X3Z5PYKYXvXpfjrepqPYTQFAun3aAcoX7bjTBMpump</t>
        </is>
      </c>
      <c r="P182" s="17">
        <f>HYPERLINK("https://photon-sol.tinyastro.io/en/lp/35X3Z5PYKYXvXpfjrepqPYTQFAun3aAcoX7bjTBMpump?handle=676050794bc1b1657a56b", "View")</f>
        <v/>
      </c>
    </row>
    <row r="183">
      <c r="A183" s="20" t="inlineStr">
        <is>
          <t>BITRING</t>
        </is>
      </c>
      <c r="B183" s="21" t="n">
        <v>1886903</v>
      </c>
      <c r="C183" s="21" t="n">
        <v>1886903</v>
      </c>
      <c r="D183" s="21" t="inlineStr">
        <is>
          <t>0.005020</t>
        </is>
      </c>
      <c r="E183" s="21" t="inlineStr">
        <is>
          <t>0.124 SOL</t>
        </is>
      </c>
      <c r="F183" s="21" t="inlineStr">
        <is>
          <t>0.155 SOL</t>
        </is>
      </c>
      <c r="G183" s="22" t="inlineStr">
        <is>
          <t>0.025 SOL</t>
        </is>
      </c>
      <c r="H183" s="22" t="inlineStr">
        <is>
          <t>19.71%</t>
        </is>
      </c>
      <c r="I183" s="21" t="inlineStr">
        <is>
          <t>N/A</t>
        </is>
      </c>
      <c r="J183" s="21" t="n">
        <v>1</v>
      </c>
      <c r="K183" s="21" t="n">
        <v>1</v>
      </c>
      <c r="L183" s="21" t="inlineStr">
        <is>
          <t>05.10.2024 07:57:10</t>
        </is>
      </c>
      <c r="M183" s="21" t="inlineStr">
        <is>
          <t>1 min</t>
        </is>
      </c>
      <c r="N183" s="21" t="inlineStr">
        <is>
          <t xml:space="preserve">        N/A           N/A           N/A</t>
        </is>
      </c>
      <c r="O183" s="21" t="inlineStr">
        <is>
          <t>FWPEwcCQE3bFiYGJFrn1FB9u1A2Kzpjm2FsBycghpump</t>
        </is>
      </c>
      <c r="P183" s="21">
        <f>HYPERLINK("https://photon-sol.tinyastro.io/en/lp/FWPEwcCQE3bFiYGJFrn1FB9u1A2Kzpjm2FsBycghpump?handle=676050794bc1b1657a56b", "View")</f>
        <v/>
      </c>
    </row>
    <row r="184">
      <c r="A184" s="16" t="inlineStr">
        <is>
          <t>TITCOIN</t>
        </is>
      </c>
      <c r="B184" s="17" t="n">
        <v>3217984</v>
      </c>
      <c r="C184" s="17" t="n">
        <v>3217984</v>
      </c>
      <c r="D184" s="17" t="inlineStr">
        <is>
          <t>0.000020</t>
        </is>
      </c>
      <c r="E184" s="17" t="inlineStr">
        <is>
          <t>0.112 SOL</t>
        </is>
      </c>
      <c r="F184" s="17" t="inlineStr">
        <is>
          <t>0.095 SOL</t>
        </is>
      </c>
      <c r="G184" s="25" t="inlineStr">
        <is>
          <t>-0.017 SOL</t>
        </is>
      </c>
      <c r="H184" s="25" t="inlineStr">
        <is>
          <t>-15.43%</t>
        </is>
      </c>
      <c r="I184" s="17" t="inlineStr">
        <is>
          <t>N/A</t>
        </is>
      </c>
      <c r="J184" s="17" t="n">
        <v>1</v>
      </c>
      <c r="K184" s="17" t="n">
        <v>1</v>
      </c>
      <c r="L184" s="17" t="inlineStr">
        <is>
          <t>05.10.2024 07:46:54</t>
        </is>
      </c>
      <c r="M184" s="19" t="inlineStr">
        <is>
          <t>17 sec</t>
        </is>
      </c>
      <c r="N184" s="17" t="inlineStr">
        <is>
          <t xml:space="preserve">        N/A           N/A           N/A</t>
        </is>
      </c>
      <c r="O184" s="17" t="inlineStr">
        <is>
          <t>86B9mLxwp1K3JNcyJ61Dc8JGMpjxY2WUEoouc8Acpump</t>
        </is>
      </c>
      <c r="P184" s="17">
        <f>HYPERLINK("https://photon-sol.tinyastro.io/en/lp/86B9mLxwp1K3JNcyJ61Dc8JGMpjxY2WUEoouc8Acpump?handle=676050794bc1b1657a56b", "View")</f>
        <v/>
      </c>
    </row>
    <row r="185">
      <c r="A185" s="20" t="inlineStr">
        <is>
          <t>SAWTOSHI</t>
        </is>
      </c>
      <c r="B185" s="21" t="n">
        <v>4632849</v>
      </c>
      <c r="C185" s="21" t="n">
        <v>4632849</v>
      </c>
      <c r="D185" s="21" t="inlineStr">
        <is>
          <t>0.005030</t>
        </is>
      </c>
      <c r="E185" s="21" t="inlineStr">
        <is>
          <t>0.247 SOL</t>
        </is>
      </c>
      <c r="F185" s="21" t="inlineStr">
        <is>
          <t>0.631 SOL</t>
        </is>
      </c>
      <c r="G185" s="24" t="inlineStr">
        <is>
          <t>0.379 SOL</t>
        </is>
      </c>
      <c r="H185" s="24" t="inlineStr">
        <is>
          <t>150.74%</t>
        </is>
      </c>
      <c r="I185" s="21" t="inlineStr">
        <is>
          <t>N/A</t>
        </is>
      </c>
      <c r="J185" s="21" t="n">
        <v>2</v>
      </c>
      <c r="K185" s="21" t="n">
        <v>1</v>
      </c>
      <c r="L185" s="21" t="inlineStr">
        <is>
          <t>05.10.2024 07:18:53</t>
        </is>
      </c>
      <c r="M185" s="21" t="inlineStr">
        <is>
          <t>24 min</t>
        </is>
      </c>
      <c r="N185" s="21" t="inlineStr">
        <is>
          <t xml:space="preserve">        N/A           N/A           N/A</t>
        </is>
      </c>
      <c r="O185" s="21" t="inlineStr">
        <is>
          <t>3q5Hc7YocEr21BRsrJXLYyxgYKP9hV49ECXMH4HKpump</t>
        </is>
      </c>
      <c r="P185" s="21">
        <f>HYPERLINK("https://photon-sol.tinyastro.io/en/lp/3q5Hc7YocEr21BRsrJXLYyxgYKP9hV49ECXMH4HKpump?handle=676050794bc1b1657a56b", "View")</f>
        <v/>
      </c>
    </row>
    <row r="186">
      <c r="A186" s="16" t="inlineStr">
        <is>
          <t>CLOUDCASH</t>
        </is>
      </c>
      <c r="B186" s="17" t="n">
        <v>322760</v>
      </c>
      <c r="C186" s="17" t="n">
        <v>322760</v>
      </c>
      <c r="D186" s="17" t="inlineStr">
        <is>
          <t>0.001270</t>
        </is>
      </c>
      <c r="E186" s="17" t="inlineStr">
        <is>
          <t>0.120 SOL</t>
        </is>
      </c>
      <c r="F186" s="17" t="inlineStr">
        <is>
          <t>0.124 SOL</t>
        </is>
      </c>
      <c r="G186" s="22" t="inlineStr">
        <is>
          <t>0.003 SOL</t>
        </is>
      </c>
      <c r="H186" s="22" t="inlineStr">
        <is>
          <t>2.35%</t>
        </is>
      </c>
      <c r="I186" s="17" t="inlineStr">
        <is>
          <t>N/A</t>
        </is>
      </c>
      <c r="J186" s="17" t="n">
        <v>1</v>
      </c>
      <c r="K186" s="17" t="n">
        <v>1</v>
      </c>
      <c r="L186" s="17" t="inlineStr">
        <is>
          <t>05.10.2024 06:17:32</t>
        </is>
      </c>
      <c r="M186" s="17" t="inlineStr">
        <is>
          <t>5 min</t>
        </is>
      </c>
      <c r="N186" s="17" t="inlineStr">
        <is>
          <t xml:space="preserve">         65K            67K             6K</t>
        </is>
      </c>
      <c r="O186" s="17" t="inlineStr">
        <is>
          <t>GTTAHWdh7nyXR9cRHa6iscGZkWexZDLRiV9H5zyUpump</t>
        </is>
      </c>
      <c r="P186" s="17">
        <f>HYPERLINK("https://dexscreener.com/solana/GTTAHWdh7nyXR9cRHa6iscGZkWexZDLRiV9H5zyUpump", "View")</f>
        <v/>
      </c>
    </row>
    <row r="187">
      <c r="A187" s="20" t="inlineStr">
        <is>
          <t>Szabo</t>
        </is>
      </c>
      <c r="B187" s="21" t="n">
        <v>3496552</v>
      </c>
      <c r="C187" s="21" t="n">
        <v>3496552</v>
      </c>
      <c r="D187" s="21" t="inlineStr">
        <is>
          <t>0.000020</t>
        </is>
      </c>
      <c r="E187" s="21" t="inlineStr">
        <is>
          <t>0.128 SOL</t>
        </is>
      </c>
      <c r="F187" s="21" t="inlineStr">
        <is>
          <t>0.106 SOL</t>
        </is>
      </c>
      <c r="G187" s="25" t="inlineStr">
        <is>
          <t>-0.023 SOL</t>
        </is>
      </c>
      <c r="H187" s="25" t="inlineStr">
        <is>
          <t>-17.67%</t>
        </is>
      </c>
      <c r="I187" s="21" t="inlineStr">
        <is>
          <t>N/A</t>
        </is>
      </c>
      <c r="J187" s="21" t="n">
        <v>1</v>
      </c>
      <c r="K187" s="21" t="n">
        <v>1</v>
      </c>
      <c r="L187" s="21" t="inlineStr">
        <is>
          <t>05.10.2024 06:13:15</t>
        </is>
      </c>
      <c r="M187" s="21" t="inlineStr">
        <is>
          <t>5 min</t>
        </is>
      </c>
      <c r="N187" s="21" t="inlineStr">
        <is>
          <t xml:space="preserve">        N/A           N/A           N/A</t>
        </is>
      </c>
      <c r="O187" s="21" t="inlineStr">
        <is>
          <t>D54uSZggociBDR3Lzsr5dArL3b2YQsWvuF59J4ukpump</t>
        </is>
      </c>
      <c r="P187" s="21">
        <f>HYPERLINK("https://photon-sol.tinyastro.io/en/lp/D54uSZggociBDR3Lzsr5dArL3b2YQsWvuF59J4ukpump?handle=676050794bc1b1657a56b", "View")</f>
        <v/>
      </c>
    </row>
    <row r="188">
      <c r="A188" s="16" t="inlineStr">
        <is>
          <t>PIZZA</t>
        </is>
      </c>
      <c r="B188" s="17" t="n">
        <v>477310</v>
      </c>
      <c r="C188" s="17" t="n">
        <v>477310</v>
      </c>
      <c r="D188" s="17" t="inlineStr">
        <is>
          <t>0.000020</t>
        </is>
      </c>
      <c r="E188" s="17" t="inlineStr">
        <is>
          <t>0.121 SOL</t>
        </is>
      </c>
      <c r="F188" s="17" t="inlineStr">
        <is>
          <t>0.094 SOL</t>
        </is>
      </c>
      <c r="G188" s="25" t="inlineStr">
        <is>
          <t>-0.026 SOL</t>
        </is>
      </c>
      <c r="H188" s="25" t="inlineStr">
        <is>
          <t>-21.70%</t>
        </is>
      </c>
      <c r="I188" s="17" t="inlineStr">
        <is>
          <t>N/A</t>
        </is>
      </c>
      <c r="J188" s="17" t="n">
        <v>1</v>
      </c>
      <c r="K188" s="17" t="n">
        <v>1</v>
      </c>
      <c r="L188" s="17" t="inlineStr">
        <is>
          <t>05.10.2024 05:22:56</t>
        </is>
      </c>
      <c r="M188" s="17" t="inlineStr">
        <is>
          <t>2 min</t>
        </is>
      </c>
      <c r="N188" s="17" t="inlineStr">
        <is>
          <t xml:space="preserve">         44K            35K             3K</t>
        </is>
      </c>
      <c r="O188" s="17" t="inlineStr">
        <is>
          <t>7zrz3AgKDNQ6TxsfTSFU26NKjoRhFFHbPdkqhbhFpump</t>
        </is>
      </c>
      <c r="P188" s="17">
        <f>HYPERLINK("https://photon-sol.tinyastro.io/en/lp/7zrz3AgKDNQ6TxsfTSFU26NKjoRhFFHbPdkqhbhFpump?handle=676050794bc1b1657a56b", "View")</f>
        <v/>
      </c>
    </row>
    <row r="189">
      <c r="A189" s="20" t="inlineStr">
        <is>
          <t>Mocha</t>
        </is>
      </c>
      <c r="B189" s="21" t="n">
        <v>3598478</v>
      </c>
      <c r="C189" s="21" t="n">
        <v>3598478</v>
      </c>
      <c r="D189" s="21" t="inlineStr">
        <is>
          <t>0.000040</t>
        </is>
      </c>
      <c r="E189" s="21" t="inlineStr">
        <is>
          <t>0.420 SOL</t>
        </is>
      </c>
      <c r="F189" s="21" t="inlineStr">
        <is>
          <t>0.538 SOL</t>
        </is>
      </c>
      <c r="G189" s="22" t="inlineStr">
        <is>
          <t>0.118 SOL</t>
        </is>
      </c>
      <c r="H189" s="22" t="inlineStr">
        <is>
          <t>27.98%</t>
        </is>
      </c>
      <c r="I189" s="21" t="inlineStr">
        <is>
          <t>N/A</t>
        </is>
      </c>
      <c r="J189" s="21" t="n">
        <v>2</v>
      </c>
      <c r="K189" s="21" t="n">
        <v>2</v>
      </c>
      <c r="L189" s="21" t="inlineStr">
        <is>
          <t>05.10.2024 05:20:05</t>
        </is>
      </c>
      <c r="M189" s="21" t="inlineStr">
        <is>
          <t>1 hours</t>
        </is>
      </c>
      <c r="N189" s="21" t="inlineStr">
        <is>
          <t xml:space="preserve">         19K            40K             6K</t>
        </is>
      </c>
      <c r="O189" s="21" t="inlineStr">
        <is>
          <t>7bC8NmDnACyCtKBwqjjSGis4rdjRMwvRaawsu9nYpump</t>
        </is>
      </c>
      <c r="P189" s="21">
        <f>HYPERLINK("https://dexscreener.com/solana/7bC8NmDnACyCtKBwqjjSGis4rdjRMwvRaawsu9nYpump", "View")</f>
        <v/>
      </c>
    </row>
    <row r="190">
      <c r="A190" s="16" t="inlineStr">
        <is>
          <t>handsome</t>
        </is>
      </c>
      <c r="B190" s="17" t="n">
        <v>3120219</v>
      </c>
      <c r="C190" s="17" t="n">
        <v>3120219</v>
      </c>
      <c r="D190" s="17" t="inlineStr">
        <is>
          <t>0.001300</t>
        </is>
      </c>
      <c r="E190" s="17" t="inlineStr">
        <is>
          <t>0.283 SOL</t>
        </is>
      </c>
      <c r="F190" s="17" t="inlineStr">
        <is>
          <t>0.246 SOL</t>
        </is>
      </c>
      <c r="G190" s="25" t="inlineStr">
        <is>
          <t>-0.039 SOL</t>
        </is>
      </c>
      <c r="H190" s="25" t="inlineStr">
        <is>
          <t>-13.57%</t>
        </is>
      </c>
      <c r="I190" s="17" t="inlineStr">
        <is>
          <t>N/A</t>
        </is>
      </c>
      <c r="J190" s="17" t="n">
        <v>3</v>
      </c>
      <c r="K190" s="17" t="n">
        <v>2</v>
      </c>
      <c r="L190" s="17" t="inlineStr">
        <is>
          <t>05.10.2024 03:35:34</t>
        </is>
      </c>
      <c r="M190" s="17" t="inlineStr">
        <is>
          <t>59 min</t>
        </is>
      </c>
      <c r="N190" s="17" t="inlineStr">
        <is>
          <t xml:space="preserve">         16K            18K             3K</t>
        </is>
      </c>
      <c r="O190" s="17" t="inlineStr">
        <is>
          <t>4yPLBn7zumxeW3kBMaQBipRud9S4nonA3NuXCig1pump</t>
        </is>
      </c>
      <c r="P190" s="17">
        <f>HYPERLINK("https://photon-sol.tinyastro.io/en/lp/4yPLBn7zumxeW3kBMaQBipRud9S4nonA3NuXCig1pump?handle=676050794bc1b1657a56b", "View")</f>
        <v/>
      </c>
    </row>
    <row r="191">
      <c r="A191" s="20" t="inlineStr">
        <is>
          <t>SMO</t>
        </is>
      </c>
      <c r="B191" s="21" t="n">
        <v>1758576</v>
      </c>
      <c r="C191" s="21" t="n">
        <v>1758576</v>
      </c>
      <c r="D191" s="21" t="inlineStr">
        <is>
          <t>0.000030</t>
        </is>
      </c>
      <c r="E191" s="21" t="inlineStr">
        <is>
          <t>0.206 SOL</t>
        </is>
      </c>
      <c r="F191" s="21" t="inlineStr">
        <is>
          <t>0.139 SOL</t>
        </is>
      </c>
      <c r="G191" s="25" t="inlineStr">
        <is>
          <t>-0.067 SOL</t>
        </is>
      </c>
      <c r="H191" s="25" t="inlineStr">
        <is>
          <t>-32.43%</t>
        </is>
      </c>
      <c r="I191" s="21" t="inlineStr">
        <is>
          <t>N/A</t>
        </is>
      </c>
      <c r="J191" s="21" t="n">
        <v>2</v>
      </c>
      <c r="K191" s="21" t="n">
        <v>1</v>
      </c>
      <c r="L191" s="21" t="inlineStr">
        <is>
          <t>05.10.2024 03:25:18</t>
        </is>
      </c>
      <c r="M191" s="21" t="inlineStr">
        <is>
          <t>4 min</t>
        </is>
      </c>
      <c r="N191" s="21" t="inlineStr">
        <is>
          <t xml:space="preserve">        N/A           N/A           N/A</t>
        </is>
      </c>
      <c r="O191" s="21" t="inlineStr">
        <is>
          <t>FfYhzJ7j3rrs4m4i1wKy5Bz5aYW8mKEGq2rxChU3pump</t>
        </is>
      </c>
      <c r="P191" s="21">
        <f>HYPERLINK("https://photon-sol.tinyastro.io/en/lp/FfYhzJ7j3rrs4m4i1wKy5Bz5aYW8mKEGq2rxChU3pump?handle=676050794bc1b1657a56b", "View")</f>
        <v/>
      </c>
    </row>
    <row r="192">
      <c r="A192" s="16" t="inlineStr">
        <is>
          <t>MC</t>
        </is>
      </c>
      <c r="B192" s="17" t="n">
        <v>1075849</v>
      </c>
      <c r="C192" s="17" t="n">
        <v>1075849</v>
      </c>
      <c r="D192" s="17" t="inlineStr">
        <is>
          <t>0.001280</t>
        </is>
      </c>
      <c r="E192" s="17" t="inlineStr">
        <is>
          <t>0.121 SOL</t>
        </is>
      </c>
      <c r="F192" s="17" t="inlineStr">
        <is>
          <t>0.208 SOL</t>
        </is>
      </c>
      <c r="G192" s="24" t="inlineStr">
        <is>
          <t>0.086 SOL</t>
        </is>
      </c>
      <c r="H192" s="24" t="inlineStr">
        <is>
          <t>70.30%</t>
        </is>
      </c>
      <c r="I192" s="17" t="inlineStr">
        <is>
          <t>N/A</t>
        </is>
      </c>
      <c r="J192" s="17" t="n">
        <v>1</v>
      </c>
      <c r="K192" s="17" t="n">
        <v>2</v>
      </c>
      <c r="L192" s="17" t="inlineStr">
        <is>
          <t>04.10.2024 13:48:36</t>
        </is>
      </c>
      <c r="M192" s="17" t="inlineStr">
        <is>
          <t>25 min</t>
        </is>
      </c>
      <c r="N192" s="17" t="inlineStr">
        <is>
          <t xml:space="preserve">         19K            32K             3K</t>
        </is>
      </c>
      <c r="O192" s="17" t="inlineStr">
        <is>
          <t>EzvyGfA936nMt3MdLzzRFwWzBkGaHDRmz3edwcnnpump</t>
        </is>
      </c>
      <c r="P192" s="17">
        <f>HYPERLINK("https://photon-sol.tinyastro.io/en/lp/EzvyGfA936nMt3MdLzzRFwWzBkGaHDRmz3edwcnnpump?handle=676050794bc1b1657a56b", "View")</f>
        <v/>
      </c>
    </row>
    <row r="193">
      <c r="A193" s="20" t="inlineStr">
        <is>
          <t>┴∀Ɔ</t>
        </is>
      </c>
      <c r="B193" s="21" t="n">
        <v>2222731</v>
      </c>
      <c r="C193" s="21" t="n">
        <v>2222731</v>
      </c>
      <c r="D193" s="21" t="inlineStr">
        <is>
          <t>0.000020</t>
        </is>
      </c>
      <c r="E193" s="21" t="inlineStr">
        <is>
          <t>0.130 SOL</t>
        </is>
      </c>
      <c r="F193" s="21" t="inlineStr">
        <is>
          <t>0.119 SOL</t>
        </is>
      </c>
      <c r="G193" s="25" t="inlineStr">
        <is>
          <t>-0.011 SOL</t>
        </is>
      </c>
      <c r="H193" s="25" t="inlineStr">
        <is>
          <t>-8.49%</t>
        </is>
      </c>
      <c r="I193" s="21" t="inlineStr">
        <is>
          <t>N/A</t>
        </is>
      </c>
      <c r="J193" s="21" t="n">
        <v>1</v>
      </c>
      <c r="K193" s="21" t="n">
        <v>1</v>
      </c>
      <c r="L193" s="21" t="inlineStr">
        <is>
          <t>04.10.2024 09:58:02</t>
        </is>
      </c>
      <c r="M193" s="21" t="inlineStr">
        <is>
          <t>1 min</t>
        </is>
      </c>
      <c r="N193" s="21" t="inlineStr">
        <is>
          <t xml:space="preserve">        N/A           N/A           N/A</t>
        </is>
      </c>
      <c r="O193" s="21" t="inlineStr">
        <is>
          <t>EMxWiJi6AboUDiJwiYnMPhxnbtrS52AVKKzV9VDpump</t>
        </is>
      </c>
      <c r="P193" s="21">
        <f>HYPERLINK("https://photon-sol.tinyastro.io/en/lp/EMxWiJi6AboUDiJwiYnMPhxnbtrS52AVKKzV9VDpump?handle=676050794bc1b1657a56b", "View")</f>
        <v/>
      </c>
    </row>
    <row r="194">
      <c r="A194" s="16" t="inlineStr">
        <is>
          <t>CB</t>
        </is>
      </c>
      <c r="B194" s="17" t="n">
        <v>2158</v>
      </c>
      <c r="C194" s="17" t="n">
        <v>2158</v>
      </c>
      <c r="D194" s="17" t="inlineStr">
        <is>
          <t>0.000020</t>
        </is>
      </c>
      <c r="E194" s="17" t="inlineStr">
        <is>
          <t>0.120 SOL</t>
        </is>
      </c>
      <c r="F194" s="17" t="inlineStr">
        <is>
          <t>0.145 SOL</t>
        </is>
      </c>
      <c r="G194" s="22" t="inlineStr">
        <is>
          <t>0.025 SOL</t>
        </is>
      </c>
      <c r="H194" s="22" t="inlineStr">
        <is>
          <t>20.63%</t>
        </is>
      </c>
      <c r="I194" s="17" t="inlineStr">
        <is>
          <t>N/A</t>
        </is>
      </c>
      <c r="J194" s="17" t="n">
        <v>1</v>
      </c>
      <c r="K194" s="17" t="n">
        <v>1</v>
      </c>
      <c r="L194" s="17" t="inlineStr">
        <is>
          <t>04.10.2024 07:51:21</t>
        </is>
      </c>
      <c r="M194" s="19" t="inlineStr">
        <is>
          <t>52 sec</t>
        </is>
      </c>
      <c r="N194" s="17" t="inlineStr">
        <is>
          <t xml:space="preserve">         10M            12M             5M</t>
        </is>
      </c>
      <c r="O194" s="17" t="inlineStr">
        <is>
          <t>3BeJ9zCgQhaqKMu2HgKJ79yQBChD1Pf3hPwRX44fpump</t>
        </is>
      </c>
      <c r="P194" s="17">
        <f>HYPERLINK("https://dexscreener.com/solana/3BeJ9zCgQhaqKMu2HgKJ79yQBChD1Pf3hPwRX44fpump", "View")</f>
        <v/>
      </c>
    </row>
    <row r="195">
      <c r="A195" s="20" t="inlineStr">
        <is>
          <t>Yukie</t>
        </is>
      </c>
      <c r="B195" s="21" t="n">
        <v>2165933</v>
      </c>
      <c r="C195" s="21" t="n">
        <v>0</v>
      </c>
      <c r="D195" s="21" t="inlineStr">
        <is>
          <t>0.005000</t>
        </is>
      </c>
      <c r="E195" s="21" t="inlineStr">
        <is>
          <t>1.200 SOL</t>
        </is>
      </c>
      <c r="F195" s="21" t="inlineStr">
        <is>
          <t>0.000 SOL</t>
        </is>
      </c>
      <c r="G195" s="18" t="inlineStr">
        <is>
          <t>-1.205 SOL</t>
        </is>
      </c>
      <c r="H195" s="18" t="inlineStr">
        <is>
          <t>0.00%</t>
        </is>
      </c>
      <c r="I195" s="21" t="inlineStr">
        <is>
          <t>2,165,933</t>
        </is>
      </c>
      <c r="J195" s="21" t="n">
        <v>1</v>
      </c>
      <c r="K195" s="21" t="n">
        <v>0</v>
      </c>
      <c r="L195" s="21" t="inlineStr">
        <is>
          <t>04.10.2024 04:32:56</t>
        </is>
      </c>
      <c r="M195" s="19" t="inlineStr">
        <is>
          <t>0 sec</t>
        </is>
      </c>
      <c r="N195" s="21" t="inlineStr">
        <is>
          <t xml:space="preserve">         97K            97K           111K</t>
        </is>
      </c>
      <c r="O195" s="21" t="inlineStr">
        <is>
          <t>EjTePVtuosSxn1bPbdk97WRZL7uVx6NYKDma6iMvpump</t>
        </is>
      </c>
      <c r="P195" s="21">
        <f>HYPERLINK("https://dexscreener.com/solana/EjTePVtuosSxn1bPbdk97WRZL7uVx6NYKDma6iMvpump", "View")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HYPERLINK("https://gmgn.ai/sol/address/D1QSf63deurkfuJKuwiR1BzGjuwpYW43iZEyFmef94dq", "GMGN")</f>
        <v/>
      </c>
    </row>
    <row r="2">
      <c r="A2" s="3" t="inlineStr">
        <is>
          <t>D1QSf63deurkfuJKuwiR1BzGjuwpYW43iZEyFmef94dq</t>
        </is>
      </c>
      <c r="B2" s="3" t="inlineStr">
        <is>
          <t>85.13 SOL</t>
        </is>
      </c>
      <c r="C2" s="3" t="inlineStr">
        <is>
          <t>52%</t>
        </is>
      </c>
      <c r="D2" s="3" t="inlineStr">
        <is>
          <t>74%</t>
        </is>
      </c>
      <c r="E2" s="3" t="inlineStr">
        <is>
          <t>46.26 SOL</t>
        </is>
      </c>
      <c r="F2" s="3" t="inlineStr">
        <is>
          <t>3 (12%)</t>
        </is>
      </c>
      <c r="G2" s="3" t="inlineStr">
        <is>
          <t>0 (0%)</t>
        </is>
      </c>
      <c r="H2" s="3" t="n">
        <v>25</v>
      </c>
      <c r="I2" s="3" t="n">
        <v>0</v>
      </c>
      <c r="J2" s="3" t="inlineStr">
        <is>
          <t>6 days</t>
        </is>
      </c>
      <c r="K2" s="3" t="inlineStr">
        <is>
          <t>7 min</t>
        </is>
      </c>
      <c r="L2" s="3" t="n">
        <v>16</v>
      </c>
      <c r="M2" s="3" t="n">
        <v>12</v>
      </c>
      <c r="N2" s="3">
        <f>HYPERLINK("https://solscan.io/account/D1QSf63deurkfuJKuwiR1BzGjuwpYW43iZEyFmef94dq", "Solscan")</f>
        <v/>
      </c>
    </row>
    <row r="3">
      <c r="A3" s="7" t="inlineStr">
        <is>
          <t>Median ROI</t>
        </is>
      </c>
      <c r="B3" s="4" t="inlineStr">
        <is>
          <t>0.95%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HYPERLINK("https://birdeye.so/profile/D1QSf63deurkfuJKuwiR1BzGjuwpYW43iZEyFmef94dq", "Birdeye")</f>
        <v/>
      </c>
    </row>
    <row r="4">
      <c r="A4" s="7" t="inlineStr">
        <is>
          <t>Rockets percent</t>
        </is>
      </c>
      <c r="B4" s="3" t="inlineStr">
        <is>
          <t>16%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7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1.8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3</v>
      </c>
      <c r="D10" s="7" t="n">
        <v>1</v>
      </c>
      <c r="E10" s="7" t="n">
        <v>8</v>
      </c>
      <c r="F10" s="7" t="n">
        <v>11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4.0%</t>
        </is>
      </c>
      <c r="C11" s="7" t="inlineStr">
        <is>
          <t>12.0%</t>
        </is>
      </c>
      <c r="D11" s="7" t="inlineStr">
        <is>
          <t>4.0%</t>
        </is>
      </c>
      <c r="E11" s="7" t="inlineStr">
        <is>
          <t>32.0%</t>
        </is>
      </c>
      <c r="F11" s="7" t="inlineStr">
        <is>
          <t>44.0%</t>
        </is>
      </c>
      <c r="G11" s="7" t="inlineStr">
        <is>
          <t>4.0%</t>
        </is>
      </c>
      <c r="H11" s="3" t="n"/>
      <c r="I11" s="3" t="inlineStr">
        <is>
          <t>5k-30k</t>
        </is>
      </c>
      <c r="J11" s="3" t="inlineStr">
        <is>
          <t>14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30.1 SOL</t>
        </is>
      </c>
      <c r="C12" s="7" t="inlineStr">
        <is>
          <t>14.3 SOL</t>
        </is>
      </c>
      <c r="D12" s="7" t="inlineStr">
        <is>
          <t>0.7 SOL</t>
        </is>
      </c>
      <c r="E12" s="7" t="inlineStr">
        <is>
          <t>6.1 SOL</t>
        </is>
      </c>
      <c r="F12" s="7" t="inlineStr">
        <is>
          <t>-3.6 SOL</t>
        </is>
      </c>
      <c r="G12" s="7" t="inlineStr">
        <is>
          <t>-1.4 SOL</t>
        </is>
      </c>
      <c r="H12" s="3" t="n"/>
      <c r="I12" s="3" t="inlineStr">
        <is>
          <t>30k-100k</t>
        </is>
      </c>
      <c r="J12" s="3" t="inlineStr">
        <is>
          <t>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5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25.0K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SIMON</t>
        </is>
      </c>
      <c r="B20" s="17" t="n">
        <v>10748656</v>
      </c>
      <c r="C20" s="17" t="n">
        <v>10748656</v>
      </c>
      <c r="D20" s="17" t="inlineStr">
        <is>
          <t>0.002010</t>
        </is>
      </c>
      <c r="E20" s="17" t="inlineStr">
        <is>
          <t>1.079 SOL</t>
        </is>
      </c>
      <c r="F20" s="17" t="inlineStr">
        <is>
          <t>3.588 SOL</t>
        </is>
      </c>
      <c r="G20" s="24" t="inlineStr">
        <is>
          <t>2.508 SOL</t>
        </is>
      </c>
      <c r="H20" s="24" t="inlineStr">
        <is>
          <t>232.07%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29.10.2024 17:16:47</t>
        </is>
      </c>
      <c r="M20" s="17" t="inlineStr">
        <is>
          <t>5 min</t>
        </is>
      </c>
      <c r="N20" s="17" t="inlineStr">
        <is>
          <t xml:space="preserve">         18K            58K             3K</t>
        </is>
      </c>
      <c r="O20" s="17" t="inlineStr">
        <is>
          <t>Dw5ztHRA55p51qmffB64jKgh8HMT7yEpkiKmbwL6N5ie</t>
        </is>
      </c>
      <c r="P20" s="17">
        <f>HYPERLINK("https://photon-sol.tinyastro.io/en/lp/Dw5ztHRA55p51qmffB64jKgh8HMT7yEpkiKmbwL6N5ie?handle=676050794bc1b1657a56b", "View")</f>
        <v/>
      </c>
    </row>
    <row r="21">
      <c r="A21" s="20" t="inlineStr">
        <is>
          <t>frosty</t>
        </is>
      </c>
      <c r="B21" s="21" t="n">
        <v>25683433</v>
      </c>
      <c r="C21" s="21" t="n">
        <v>25683433</v>
      </c>
      <c r="D21" s="21" t="inlineStr">
        <is>
          <t>0.003020</t>
        </is>
      </c>
      <c r="E21" s="21" t="inlineStr">
        <is>
          <t>1.532 SOL</t>
        </is>
      </c>
      <c r="F21" s="21" t="inlineStr">
        <is>
          <t>5.752 SOL</t>
        </is>
      </c>
      <c r="G21" s="24" t="inlineStr">
        <is>
          <t>4.217 SOL</t>
        </is>
      </c>
      <c r="H21" s="24" t="inlineStr">
        <is>
          <t>274.73%</t>
        </is>
      </c>
      <c r="I21" s="21" t="inlineStr">
        <is>
          <t>N/A</t>
        </is>
      </c>
      <c r="J21" s="21" t="n">
        <v>1</v>
      </c>
      <c r="K21" s="21" t="n">
        <v>2</v>
      </c>
      <c r="L21" s="21" t="inlineStr">
        <is>
          <t>25.10.2024 19:37:35</t>
        </is>
      </c>
      <c r="M21" s="21" t="inlineStr">
        <is>
          <t>15 min</t>
        </is>
      </c>
      <c r="N21" s="21" t="inlineStr">
        <is>
          <t xml:space="preserve">         11K            37K             5K</t>
        </is>
      </c>
      <c r="O21" s="21" t="inlineStr">
        <is>
          <t>5tF7tji18CnGksZyf9DoEioPidnEooy77qp4XrBnpump</t>
        </is>
      </c>
      <c r="P21" s="21">
        <f>HYPERLINK("https://photon-sol.tinyastro.io/en/lp/5tF7tji18CnGksZyf9DoEioPidnEooy77qp4XrBnpump?handle=676050794bc1b1657a56b", "View")</f>
        <v/>
      </c>
    </row>
    <row r="22">
      <c r="A22" s="16" t="inlineStr">
        <is>
          <t>Tchoupie</t>
        </is>
      </c>
      <c r="B22" s="17" t="n">
        <v>1955312</v>
      </c>
      <c r="C22" s="17" t="n">
        <v>1955312</v>
      </c>
      <c r="D22" s="17" t="inlineStr">
        <is>
          <t>0.002010</t>
        </is>
      </c>
      <c r="E22" s="17" t="inlineStr">
        <is>
          <t>1.000 SOL</t>
        </is>
      </c>
      <c r="F22" s="17" t="inlineStr">
        <is>
          <t>0.880 SOL</t>
        </is>
      </c>
      <c r="G22" s="25" t="inlineStr">
        <is>
          <t>-0.122 SOL</t>
        </is>
      </c>
      <c r="H22" s="25" t="inlineStr">
        <is>
          <t>-12.20%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25.10.2024 15:52:22</t>
        </is>
      </c>
      <c r="M22" s="17" t="inlineStr">
        <is>
          <t>1 min</t>
        </is>
      </c>
      <c r="N22" s="17" t="inlineStr">
        <is>
          <t xml:space="preserve">         90K            79K            11K</t>
        </is>
      </c>
      <c r="O22" s="17" t="inlineStr">
        <is>
          <t>74Yhhcbga2N1TTw87rNb8C3p8iHxyGEUKGhjFjkgpump</t>
        </is>
      </c>
      <c r="P22" s="17">
        <f>HYPERLINK("https://dexscreener.com/solana/74Yhhcbga2N1TTw87rNb8C3p8iHxyGEUKGhjFjkgpump", "View")</f>
        <v/>
      </c>
    </row>
    <row r="23">
      <c r="A23" s="20" t="inlineStr">
        <is>
          <t xml:space="preserve">Siku </t>
        </is>
      </c>
      <c r="B23" s="21" t="n">
        <v>21371927</v>
      </c>
      <c r="C23" s="21" t="n">
        <v>21371927</v>
      </c>
      <c r="D23" s="21" t="inlineStr">
        <is>
          <t>0.002010</t>
        </is>
      </c>
      <c r="E23" s="21" t="inlineStr">
        <is>
          <t>2.386 SOL</t>
        </is>
      </c>
      <c r="F23" s="21" t="inlineStr">
        <is>
          <t>2.269 SOL</t>
        </is>
      </c>
      <c r="G23" s="25" t="inlineStr">
        <is>
          <t>-0.119 SOL</t>
        </is>
      </c>
      <c r="H23" s="25" t="inlineStr">
        <is>
          <t>-5.00%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25.10.2024 15:50:31</t>
        </is>
      </c>
      <c r="M23" s="21" t="inlineStr">
        <is>
          <t>2 min</t>
        </is>
      </c>
      <c r="N23" s="21" t="inlineStr">
        <is>
          <t xml:space="preserve">         19K            19K             5K</t>
        </is>
      </c>
      <c r="O23" s="21" t="inlineStr">
        <is>
          <t>DdHhsfXQnxRyUVcE7iHC2vkZJ5dgKdM5tiNfS2Kspump</t>
        </is>
      </c>
      <c r="P23" s="21">
        <f>HYPERLINK("https://photon-sol.tinyastro.io/en/lp/DdHhsfXQnxRyUVcE7iHC2vkZJ5dgKdM5tiNfS2Kspump?handle=676050794bc1b1657a56b", "View")</f>
        <v/>
      </c>
    </row>
    <row r="24">
      <c r="A24" s="16" t="inlineStr">
        <is>
          <t>Kopon</t>
        </is>
      </c>
      <c r="B24" s="17" t="n">
        <v>2763305</v>
      </c>
      <c r="C24" s="17" t="n">
        <v>2763305</v>
      </c>
      <c r="D24" s="17" t="inlineStr">
        <is>
          <t>0.004020</t>
        </is>
      </c>
      <c r="E24" s="17" t="inlineStr">
        <is>
          <t>2.000 SOL</t>
        </is>
      </c>
      <c r="F24" s="17" t="inlineStr">
        <is>
          <t>2.023 SOL</t>
        </is>
      </c>
      <c r="G24" s="22" t="inlineStr">
        <is>
          <t>0.019 SOL</t>
        </is>
      </c>
      <c r="H24" s="22" t="inlineStr">
        <is>
          <t>0.95%</t>
        </is>
      </c>
      <c r="I24" s="17" t="inlineStr">
        <is>
          <t>N/A</t>
        </is>
      </c>
      <c r="J24" s="17" t="n">
        <v>2</v>
      </c>
      <c r="K24" s="17" t="n">
        <v>2</v>
      </c>
      <c r="L24" s="17" t="inlineStr">
        <is>
          <t>25.10.2024 15:27:52</t>
        </is>
      </c>
      <c r="M24" s="17" t="inlineStr">
        <is>
          <t>14 min</t>
        </is>
      </c>
      <c r="N24" s="17" t="inlineStr">
        <is>
          <t xml:space="preserve">        155K           165K            19K</t>
        </is>
      </c>
      <c r="O24" s="17" t="inlineStr">
        <is>
          <t>376kKRPZf5uvVyxdjPdZ56oQtgkfhWHi2sCs9t3Hpump</t>
        </is>
      </c>
      <c r="P24" s="17">
        <f>HYPERLINK("https://dexscreener.com/solana/376kKRPZf5uvVyxdjPdZ56oQtgkfhWHi2sCs9t3Hpump", "View")</f>
        <v/>
      </c>
    </row>
    <row r="25">
      <c r="A25" s="20" t="inlineStr">
        <is>
          <t>GOPON</t>
        </is>
      </c>
      <c r="B25" s="21" t="n">
        <v>15588220</v>
      </c>
      <c r="C25" s="21" t="n">
        <v>15588220</v>
      </c>
      <c r="D25" s="21" t="inlineStr">
        <is>
          <t>0.010050</t>
        </is>
      </c>
      <c r="E25" s="21" t="inlineStr">
        <is>
          <t>6.160 SOL</t>
        </is>
      </c>
      <c r="F25" s="21" t="inlineStr">
        <is>
          <t>8.288 SOL</t>
        </is>
      </c>
      <c r="G25" s="22" t="inlineStr">
        <is>
          <t>2.117 SOL</t>
        </is>
      </c>
      <c r="H25" s="22" t="inlineStr">
        <is>
          <t>34.32%</t>
        </is>
      </c>
      <c r="I25" s="21" t="inlineStr">
        <is>
          <t>N/A</t>
        </is>
      </c>
      <c r="J25" s="21" t="n">
        <v>5</v>
      </c>
      <c r="K25" s="21" t="n">
        <v>5</v>
      </c>
      <c r="L25" s="21" t="inlineStr">
        <is>
          <t>25.10.2024 15:13:40</t>
        </is>
      </c>
      <c r="M25" s="21" t="inlineStr">
        <is>
          <t>50 min</t>
        </is>
      </c>
      <c r="N25" s="21" t="inlineStr">
        <is>
          <t xml:space="preserve">         46K            88K             5K</t>
        </is>
      </c>
      <c r="O25" s="21" t="inlineStr">
        <is>
          <t>6PysD18BJ9q5usURbYH7oUEkR8V77rzFWeND86s1pump</t>
        </is>
      </c>
      <c r="P25" s="21">
        <f>HYPERLINK("https://photon-sol.tinyastro.io/en/lp/6PysD18BJ9q5usURbYH7oUEkR8V77rzFWeND86s1pump?handle=676050794bc1b1657a56b", "View")</f>
        <v/>
      </c>
    </row>
    <row r="26">
      <c r="A26" s="16" t="inlineStr">
        <is>
          <t>DIVING</t>
        </is>
      </c>
      <c r="B26" s="17" t="n">
        <v>16913643</v>
      </c>
      <c r="C26" s="17" t="n">
        <v>16913643</v>
      </c>
      <c r="D26" s="17" t="inlineStr">
        <is>
          <t>0.002010</t>
        </is>
      </c>
      <c r="E26" s="17" t="inlineStr">
        <is>
          <t>1.023 SOL</t>
        </is>
      </c>
      <c r="F26" s="17" t="inlineStr">
        <is>
          <t>1.699 SOL</t>
        </is>
      </c>
      <c r="G26" s="24" t="inlineStr">
        <is>
          <t>0.674 SOL</t>
        </is>
      </c>
      <c r="H26" s="24" t="inlineStr">
        <is>
          <t>65.75%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25.10.2024 14:21:08</t>
        </is>
      </c>
      <c r="M26" s="17" t="inlineStr">
        <is>
          <t>1 min</t>
        </is>
      </c>
      <c r="N26" s="17" t="inlineStr">
        <is>
          <t xml:space="preserve">         11K            18K             5K</t>
        </is>
      </c>
      <c r="O26" s="17" t="inlineStr">
        <is>
          <t>5kYWsRZh62DpMeukfqgNjsHw6CHutJwHM5DB8w3Lpump</t>
        </is>
      </c>
      <c r="P26" s="17">
        <f>HYPERLINK("https://photon-sol.tinyastro.io/en/lp/5kYWsRZh62DpMeukfqgNjsHw6CHutJwHM5DB8w3Lpump?handle=676050794bc1b1657a56b", "View")</f>
        <v/>
      </c>
    </row>
    <row r="27">
      <c r="A27" s="20" t="inlineStr">
        <is>
          <t>DARTMOUTH</t>
        </is>
      </c>
      <c r="B27" s="21" t="n">
        <v>4924984</v>
      </c>
      <c r="C27" s="21" t="n">
        <v>4924984</v>
      </c>
      <c r="D27" s="21" t="inlineStr">
        <is>
          <t>0.004020</t>
        </is>
      </c>
      <c r="E27" s="21" t="inlineStr">
        <is>
          <t>5.000 SOL</t>
        </is>
      </c>
      <c r="F27" s="21" t="inlineStr">
        <is>
          <t>5.994 SOL</t>
        </is>
      </c>
      <c r="G27" s="22" t="inlineStr">
        <is>
          <t>0.990 SOL</t>
        </is>
      </c>
      <c r="H27" s="22" t="inlineStr">
        <is>
          <t>19.79%</t>
        </is>
      </c>
      <c r="I27" s="21" t="inlineStr">
        <is>
          <t>N/A</t>
        </is>
      </c>
      <c r="J27" s="21" t="n">
        <v>2</v>
      </c>
      <c r="K27" s="21" t="n">
        <v>2</v>
      </c>
      <c r="L27" s="21" t="inlineStr">
        <is>
          <t>25.10.2024 03:21:18</t>
        </is>
      </c>
      <c r="M27" s="21" t="inlineStr">
        <is>
          <t>7 min</t>
        </is>
      </c>
      <c r="N27" s="21" t="inlineStr">
        <is>
          <t xml:space="preserve">        186K           249K           272K</t>
        </is>
      </c>
      <c r="O27" s="21" t="inlineStr">
        <is>
          <t>7FS4iUbG1KpTA7xzG4Er7H6Nj22PZgonY8N9ERZbpump</t>
        </is>
      </c>
      <c r="P27" s="21">
        <f>HYPERLINK("https://dexscreener.com/solana/7FS4iUbG1KpTA7xzG4Er7H6Nj22PZgonY8N9ERZbpump", "View")</f>
        <v/>
      </c>
    </row>
    <row r="28">
      <c r="A28" s="16" t="inlineStr">
        <is>
          <t>memex</t>
        </is>
      </c>
      <c r="B28" s="17" t="n">
        <v>13866988</v>
      </c>
      <c r="C28" s="17" t="n">
        <v>13866988</v>
      </c>
      <c r="D28" s="17" t="inlineStr">
        <is>
          <t>0.004020</t>
        </is>
      </c>
      <c r="E28" s="17" t="inlineStr">
        <is>
          <t>2.668 SOL</t>
        </is>
      </c>
      <c r="F28" s="17" t="inlineStr">
        <is>
          <t>1.307 SOL</t>
        </is>
      </c>
      <c r="G28" s="23" t="inlineStr">
        <is>
          <t>-1.366 SOL</t>
        </is>
      </c>
      <c r="H28" s="23" t="inlineStr">
        <is>
          <t>-51.10%</t>
        </is>
      </c>
      <c r="I28" s="17" t="inlineStr">
        <is>
          <t>N/A</t>
        </is>
      </c>
      <c r="J28" s="17" t="n">
        <v>2</v>
      </c>
      <c r="K28" s="17" t="n">
        <v>2</v>
      </c>
      <c r="L28" s="17" t="inlineStr">
        <is>
          <t>25.10.2024 03:09:50</t>
        </is>
      </c>
      <c r="M28" s="17" t="inlineStr">
        <is>
          <t>2 min</t>
        </is>
      </c>
      <c r="N28" s="17" t="inlineStr">
        <is>
          <t xml:space="preserve">         28K            16K             5K</t>
        </is>
      </c>
      <c r="O28" s="17" t="inlineStr">
        <is>
          <t>FT64dAkw8oY44zY16dya4RrZaCFPoTSb9KqxXVtSpump</t>
        </is>
      </c>
      <c r="P28" s="17">
        <f>HYPERLINK("https://photon-sol.tinyastro.io/en/lp/FT64dAkw8oY44zY16dya4RrZaCFPoTSb9KqxXVtSpump?handle=676050794bc1b1657a56b", "View")</f>
        <v/>
      </c>
    </row>
    <row r="29">
      <c r="A29" s="20" t="inlineStr">
        <is>
          <t xml:space="preserve">Kira </t>
        </is>
      </c>
      <c r="B29" s="21" t="n">
        <v>1244583</v>
      </c>
      <c r="C29" s="21" t="n">
        <v>1244583</v>
      </c>
      <c r="D29" s="21" t="inlineStr">
        <is>
          <t>0.005020</t>
        </is>
      </c>
      <c r="E29" s="21" t="inlineStr">
        <is>
          <t>2.000 SOL</t>
        </is>
      </c>
      <c r="F29" s="21" t="inlineStr">
        <is>
          <t>9.599 SOL</t>
        </is>
      </c>
      <c r="G29" s="24" t="inlineStr">
        <is>
          <t>7.594 SOL</t>
        </is>
      </c>
      <c r="H29" s="24" t="inlineStr">
        <is>
          <t>378.76%</t>
        </is>
      </c>
      <c r="I29" s="21" t="inlineStr">
        <is>
          <t>N/A</t>
        </is>
      </c>
      <c r="J29" s="21" t="n">
        <v>2</v>
      </c>
      <c r="K29" s="21" t="n">
        <v>3</v>
      </c>
      <c r="L29" s="21" t="inlineStr">
        <is>
          <t>25.10.2024 02:19:28</t>
        </is>
      </c>
      <c r="M29" s="21" t="inlineStr">
        <is>
          <t>30 min</t>
        </is>
      </c>
      <c r="N29" s="21" t="inlineStr">
        <is>
          <t xml:space="preserve">        153K           705K            12K</t>
        </is>
      </c>
      <c r="O29" s="21" t="inlineStr">
        <is>
          <t>wpU56BR9qLyA9bxxF2uLtULERVZFvtuLtcXdL9xpump</t>
        </is>
      </c>
      <c r="P29" s="21">
        <f>HYPERLINK("https://dexscreener.com/solana/wpU56BR9qLyA9bxxF2uLtULERVZFvtuLtcXdL9xpump", "View")</f>
        <v/>
      </c>
    </row>
    <row r="30">
      <c r="A30" s="16" t="inlineStr">
        <is>
          <t>sahil</t>
        </is>
      </c>
      <c r="B30" s="17" t="n">
        <v>17807250</v>
      </c>
      <c r="C30" s="17" t="n">
        <v>17807250</v>
      </c>
      <c r="D30" s="17" t="inlineStr">
        <is>
          <t>0.002010</t>
        </is>
      </c>
      <c r="E30" s="17" t="inlineStr">
        <is>
          <t>0.936 SOL</t>
        </is>
      </c>
      <c r="F30" s="17" t="inlineStr">
        <is>
          <t>0.777 SOL</t>
        </is>
      </c>
      <c r="G30" s="25" t="inlineStr">
        <is>
          <t>-0.161 SOL</t>
        </is>
      </c>
      <c r="H30" s="25" t="inlineStr">
        <is>
          <t>-17.16%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25.10.2024 01:14:36</t>
        </is>
      </c>
      <c r="M30" s="19" t="inlineStr">
        <is>
          <t>3 sec</t>
        </is>
      </c>
      <c r="N30" s="17" t="inlineStr">
        <is>
          <t xml:space="preserve">          9K             7K             5K</t>
        </is>
      </c>
      <c r="O30" s="17" t="inlineStr">
        <is>
          <t>7K1Dy82QXNFRqbDSd9mVzeL1CWJPzDPv9ud2xNn5pump</t>
        </is>
      </c>
      <c r="P30" s="17">
        <f>HYPERLINK("https://photon-sol.tinyastro.io/en/lp/7K1Dy82QXNFRqbDSd9mVzeL1CWJPzDPv9ud2xNn5pump?handle=676050794bc1b1657a56b", "View")</f>
        <v/>
      </c>
    </row>
    <row r="31">
      <c r="A31" s="20" t="inlineStr">
        <is>
          <t>P89-AMWAI</t>
        </is>
      </c>
      <c r="B31" s="21" t="n">
        <v>57042663</v>
      </c>
      <c r="C31" s="21" t="n">
        <v>57042663</v>
      </c>
      <c r="D31" s="21" t="inlineStr">
        <is>
          <t>0.004020</t>
        </is>
      </c>
      <c r="E31" s="21" t="inlineStr">
        <is>
          <t>3.254 SOL</t>
        </is>
      </c>
      <c r="F31" s="21" t="inlineStr">
        <is>
          <t>2.418 SOL</t>
        </is>
      </c>
      <c r="G31" s="25" t="inlineStr">
        <is>
          <t>-0.840 SOL</t>
        </is>
      </c>
      <c r="H31" s="25" t="inlineStr">
        <is>
          <t>-25.77%</t>
        </is>
      </c>
      <c r="I31" s="21" t="inlineStr">
        <is>
          <t>N/A</t>
        </is>
      </c>
      <c r="J31" s="21" t="n">
        <v>2</v>
      </c>
      <c r="K31" s="21" t="n">
        <v>2</v>
      </c>
      <c r="L31" s="21" t="inlineStr">
        <is>
          <t>25.10.2024 01:14:02</t>
        </is>
      </c>
      <c r="M31" s="21" t="inlineStr">
        <is>
          <t>11 min</t>
        </is>
      </c>
      <c r="N31" s="21" t="inlineStr">
        <is>
          <t xml:space="preserve">         12K             7K             5K</t>
        </is>
      </c>
      <c r="O31" s="21" t="inlineStr">
        <is>
          <t>J25ZEyuSo8voj5UYpQChFzXNdr4WQGjmkACxEVGupump</t>
        </is>
      </c>
      <c r="P31" s="21">
        <f>HYPERLINK("https://photon-sol.tinyastro.io/en/lp/J25ZEyuSo8voj5UYpQChFzXNdr4WQGjmkACxEVGupump?handle=676050794bc1b1657a56b", "View")</f>
        <v/>
      </c>
    </row>
    <row r="32">
      <c r="A32" s="16" t="inlineStr">
        <is>
          <t>crypical</t>
        </is>
      </c>
      <c r="B32" s="17" t="n">
        <v>8529503</v>
      </c>
      <c r="C32" s="17" t="n">
        <v>8529503</v>
      </c>
      <c r="D32" s="17" t="inlineStr">
        <is>
          <t>0.006030</t>
        </is>
      </c>
      <c r="E32" s="17" t="inlineStr">
        <is>
          <t>5.180 SOL</t>
        </is>
      </c>
      <c r="F32" s="17" t="inlineStr">
        <is>
          <t>5.915 SOL</t>
        </is>
      </c>
      <c r="G32" s="22" t="inlineStr">
        <is>
          <t>0.729 SOL</t>
        </is>
      </c>
      <c r="H32" s="22" t="inlineStr">
        <is>
          <t>14.05%</t>
        </is>
      </c>
      <c r="I32" s="17" t="inlineStr">
        <is>
          <t>N/A</t>
        </is>
      </c>
      <c r="J32" s="17" t="n">
        <v>3</v>
      </c>
      <c r="K32" s="17" t="n">
        <v>3</v>
      </c>
      <c r="L32" s="17" t="inlineStr">
        <is>
          <t>25.10.2024 00:47:24</t>
        </is>
      </c>
      <c r="M32" s="17" t="inlineStr">
        <is>
          <t>18 min</t>
        </is>
      </c>
      <c r="N32" s="17" t="inlineStr">
        <is>
          <t xml:space="preserve">         63K            72K             4K</t>
        </is>
      </c>
      <c r="O32" s="17" t="inlineStr">
        <is>
          <t>82QWeqVodzMVLktpqp4QXt6ELb9cDQN4nuYYhoRjpump</t>
        </is>
      </c>
      <c r="P32" s="17">
        <f>HYPERLINK("https://photon-sol.tinyastro.io/en/lp/82QWeqVodzMVLktpqp4QXt6ELb9cDQN4nuYYhoRjpump?handle=676050794bc1b1657a56b", "View")</f>
        <v/>
      </c>
    </row>
    <row r="33">
      <c r="A33" s="20" t="inlineStr">
        <is>
          <t>AIPOD</t>
        </is>
      </c>
      <c r="B33" s="21" t="n">
        <v>1290162</v>
      </c>
      <c r="C33" s="21" t="n">
        <v>1290162</v>
      </c>
      <c r="D33" s="21" t="inlineStr">
        <is>
          <t>0.002010</t>
        </is>
      </c>
      <c r="E33" s="21" t="inlineStr">
        <is>
          <t>1.000 SOL</t>
        </is>
      </c>
      <c r="F33" s="21" t="inlineStr">
        <is>
          <t>0.907 SOL</t>
        </is>
      </c>
      <c r="G33" s="25" t="inlineStr">
        <is>
          <t>-0.095 SOL</t>
        </is>
      </c>
      <c r="H33" s="25" t="inlineStr">
        <is>
          <t>-9.44%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25.10.2024 00:22:50</t>
        </is>
      </c>
      <c r="M33" s="19" t="inlineStr">
        <is>
          <t>14 sec</t>
        </is>
      </c>
      <c r="N33" s="21" t="inlineStr">
        <is>
          <t xml:space="preserve">        137K           123K             4K</t>
        </is>
      </c>
      <c r="O33" s="21" t="inlineStr">
        <is>
          <t>29SccALSuFKxeTgFodaWML74w2sMPKmiLBu69fjppump</t>
        </is>
      </c>
      <c r="P33" s="21">
        <f>HYPERLINK("https://dexscreener.com/solana/29SccALSuFKxeTgFodaWML74w2sMPKmiLBu69fjppump", "View")</f>
        <v/>
      </c>
    </row>
    <row r="34">
      <c r="A34" s="16" t="inlineStr">
        <is>
          <t>GUIdog</t>
        </is>
      </c>
      <c r="B34" s="17" t="n">
        <v>23068306</v>
      </c>
      <c r="C34" s="17" t="n">
        <v>23068306</v>
      </c>
      <c r="D34" s="17" t="inlineStr">
        <is>
          <t>0.002010</t>
        </is>
      </c>
      <c r="E34" s="17" t="inlineStr">
        <is>
          <t>1.532 SOL</t>
        </is>
      </c>
      <c r="F34" s="17" t="inlineStr">
        <is>
          <t>1.154 SOL</t>
        </is>
      </c>
      <c r="G34" s="25" t="inlineStr">
        <is>
          <t>-0.381 SOL</t>
        </is>
      </c>
      <c r="H34" s="25" t="inlineStr">
        <is>
          <t>-24.80%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25.10.2024 00:11:44</t>
        </is>
      </c>
      <c r="M34" s="17" t="inlineStr">
        <is>
          <t>9 min</t>
        </is>
      </c>
      <c r="N34" s="17" t="inlineStr">
        <is>
          <t xml:space="preserve">         12K             9K             5K</t>
        </is>
      </c>
      <c r="O34" s="17" t="inlineStr">
        <is>
          <t>6KYakmUV3Y6i21efMFA4QUi7HBbsGuLcr3xddswtpump</t>
        </is>
      </c>
      <c r="P34" s="17">
        <f>HYPERLINK("https://photon-sol.tinyastro.io/en/lp/6KYakmUV3Y6i21efMFA4QUi7HBbsGuLcr3xddswtpump?handle=676050794bc1b1657a56b", "View")</f>
        <v/>
      </c>
    </row>
    <row r="35">
      <c r="A35" s="20" t="inlineStr">
        <is>
          <t>OneirOS</t>
        </is>
      </c>
      <c r="B35" s="21" t="n">
        <v>4571511</v>
      </c>
      <c r="C35" s="21" t="n">
        <v>4571511</v>
      </c>
      <c r="D35" s="21" t="inlineStr">
        <is>
          <t>0.004020</t>
        </is>
      </c>
      <c r="E35" s="21" t="inlineStr">
        <is>
          <t>6.000 SOL</t>
        </is>
      </c>
      <c r="F35" s="21" t="inlineStr">
        <is>
          <t>6.765 SOL</t>
        </is>
      </c>
      <c r="G35" s="22" t="inlineStr">
        <is>
          <t>0.761 SOL</t>
        </is>
      </c>
      <c r="H35" s="22" t="inlineStr">
        <is>
          <t>12.68%</t>
        </is>
      </c>
      <c r="I35" s="21" t="inlineStr">
        <is>
          <t>N/A</t>
        </is>
      </c>
      <c r="J35" s="21" t="n">
        <v>3</v>
      </c>
      <c r="K35" s="21" t="n">
        <v>1</v>
      </c>
      <c r="L35" s="21" t="inlineStr">
        <is>
          <t>24.10.2024 19:37:13</t>
        </is>
      </c>
      <c r="M35" s="21" t="inlineStr">
        <is>
          <t>7 min</t>
        </is>
      </c>
      <c r="N35" s="21" t="inlineStr">
        <is>
          <t xml:space="preserve">        183K           239K            35K</t>
        </is>
      </c>
      <c r="O35" s="21" t="inlineStr">
        <is>
          <t>4FdqyFg3rYs9NRjC7shGmSH7YG4iQgAPSUyzDkWxpump</t>
        </is>
      </c>
      <c r="P35" s="21">
        <f>HYPERLINK("https://dexscreener.com/solana/4FdqyFg3rYs9NRjC7shGmSH7YG4iQgAPSUyzDkWxpump", "View")</f>
        <v/>
      </c>
    </row>
    <row r="36">
      <c r="A36" s="16" t="inlineStr">
        <is>
          <t>OLFACTORY</t>
        </is>
      </c>
      <c r="B36" s="17" t="n">
        <v>195864</v>
      </c>
      <c r="C36" s="17" t="n">
        <v>195864</v>
      </c>
      <c r="D36" s="17" t="inlineStr">
        <is>
          <t>0.002010</t>
        </is>
      </c>
      <c r="E36" s="17" t="inlineStr">
        <is>
          <t>1.000 SOL</t>
        </is>
      </c>
      <c r="F36" s="17" t="inlineStr">
        <is>
          <t>0.836 SOL</t>
        </is>
      </c>
      <c r="G36" s="25" t="inlineStr">
        <is>
          <t>-0.166 SOL</t>
        </is>
      </c>
      <c r="H36" s="25" t="inlineStr">
        <is>
          <t>-16.54%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24.10.2024 18:53:02</t>
        </is>
      </c>
      <c r="M36" s="17" t="inlineStr">
        <is>
          <t>11 min</t>
        </is>
      </c>
      <c r="N36" s="17" t="inlineStr">
        <is>
          <t xml:space="preserve">        897K           897K            19K</t>
        </is>
      </c>
      <c r="O36" s="17" t="inlineStr">
        <is>
          <t>75vq3ZhQZmkdvZZi1a4xS3Gs8muifwf9AXn3q62Xpump</t>
        </is>
      </c>
      <c r="P36" s="17">
        <f>HYPERLINK("https://dexscreener.com/solana/75vq3ZhQZmkdvZZi1a4xS3Gs8muifwf9AXn3q62Xpump", "View")</f>
        <v/>
      </c>
    </row>
    <row r="37">
      <c r="A37" s="20" t="inlineStr">
        <is>
          <t>$PAINT</t>
        </is>
      </c>
      <c r="B37" s="21" t="n">
        <v>7472728</v>
      </c>
      <c r="C37" s="21" t="n">
        <v>7472728</v>
      </c>
      <c r="D37" s="21" t="inlineStr">
        <is>
          <t>0.006030</t>
        </is>
      </c>
      <c r="E37" s="21" t="inlineStr">
        <is>
          <t>4.000 SOL</t>
        </is>
      </c>
      <c r="F37" s="21" t="inlineStr">
        <is>
          <t>2.977 SOL</t>
        </is>
      </c>
      <c r="G37" s="25" t="inlineStr">
        <is>
          <t>-1.029 SOL</t>
        </is>
      </c>
      <c r="H37" s="25" t="inlineStr">
        <is>
          <t>-25.69%</t>
        </is>
      </c>
      <c r="I37" s="21" t="inlineStr">
        <is>
          <t>N/A</t>
        </is>
      </c>
      <c r="J37" s="21" t="n">
        <v>4</v>
      </c>
      <c r="K37" s="21" t="n">
        <v>2</v>
      </c>
      <c r="L37" s="21" t="inlineStr">
        <is>
          <t>24.10.2024 18:40:39</t>
        </is>
      </c>
      <c r="M37" s="21" t="inlineStr">
        <is>
          <t>50 min</t>
        </is>
      </c>
      <c r="N37" s="21" t="inlineStr">
        <is>
          <t xml:space="preserve">         98K            72K             4K</t>
        </is>
      </c>
      <c r="O37" s="21" t="inlineStr">
        <is>
          <t>Gsi9EcnD5BhSBHAVhp4MhXTKJ8U1SKfvH259dKTqpump</t>
        </is>
      </c>
      <c r="P37" s="21">
        <f>HYPERLINK("https://dexscreener.com/solana/Gsi9EcnD5BhSBHAVhp4MhXTKJ8U1SKfvH259dKTqpump", "View")</f>
        <v/>
      </c>
    </row>
    <row r="38">
      <c r="A38" s="16" t="inlineStr">
        <is>
          <t>MEOWAI</t>
        </is>
      </c>
      <c r="B38" s="17" t="n">
        <v>17361236</v>
      </c>
      <c r="C38" s="17" t="n">
        <v>17361236</v>
      </c>
      <c r="D38" s="17" t="inlineStr">
        <is>
          <t>0.004020</t>
        </is>
      </c>
      <c r="E38" s="17" t="inlineStr">
        <is>
          <t>2.143 SOL</t>
        </is>
      </c>
      <c r="F38" s="17" t="inlineStr">
        <is>
          <t>1.716 SOL</t>
        </is>
      </c>
      <c r="G38" s="25" t="inlineStr">
        <is>
          <t>-0.431 SOL</t>
        </is>
      </c>
      <c r="H38" s="25" t="inlineStr">
        <is>
          <t>-20.06%</t>
        </is>
      </c>
      <c r="I38" s="17" t="inlineStr">
        <is>
          <t>N/A</t>
        </is>
      </c>
      <c r="J38" s="17" t="n">
        <v>2</v>
      </c>
      <c r="K38" s="17" t="n">
        <v>2</v>
      </c>
      <c r="L38" s="17" t="inlineStr">
        <is>
          <t>23.10.2024 03:14:17</t>
        </is>
      </c>
      <c r="M38" s="17" t="inlineStr">
        <is>
          <t>1 min</t>
        </is>
      </c>
      <c r="N38" s="17" t="inlineStr">
        <is>
          <t xml:space="preserve">         19K            21K             5K</t>
        </is>
      </c>
      <c r="O38" s="17" t="inlineStr">
        <is>
          <t>738eph46YacWfPBkZqeHBoBB2ifhYWCSvQ4E9L6Epump</t>
        </is>
      </c>
      <c r="P38" s="17">
        <f>HYPERLINK("https://photon-sol.tinyastro.io/en/lp/738eph46YacWfPBkZqeHBoBB2ifhYWCSvQ4E9L6Epump?handle=676050794bc1b1657a56b", "View")</f>
        <v/>
      </c>
    </row>
    <row r="39">
      <c r="A39" s="20" t="inlineStr">
        <is>
          <t>NEVERLOSE</t>
        </is>
      </c>
      <c r="B39" s="21" t="n">
        <v>8247854</v>
      </c>
      <c r="C39" s="21" t="n">
        <v>8247854</v>
      </c>
      <c r="D39" s="21" t="inlineStr">
        <is>
          <t>0.002010</t>
        </is>
      </c>
      <c r="E39" s="21" t="inlineStr">
        <is>
          <t>0.989 SOL</t>
        </is>
      </c>
      <c r="F39" s="21" t="inlineStr">
        <is>
          <t>0.854 SOL</t>
        </is>
      </c>
      <c r="G39" s="25" t="inlineStr">
        <is>
          <t>-0.137 SOL</t>
        </is>
      </c>
      <c r="H39" s="25" t="inlineStr">
        <is>
          <t>-13.86%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23.10.2024 03:03:40</t>
        </is>
      </c>
      <c r="M39" s="21" t="inlineStr">
        <is>
          <t>2 min</t>
        </is>
      </c>
      <c r="N39" s="21" t="inlineStr">
        <is>
          <t xml:space="preserve">         21K            18K             5K</t>
        </is>
      </c>
      <c r="O39" s="21" t="inlineStr">
        <is>
          <t>8pc4DnHQuomXvmJGCeySxigPWCo1Ki8n9aCu9A9Xpump</t>
        </is>
      </c>
      <c r="P39" s="21">
        <f>HYPERLINK("https://photon-sol.tinyastro.io/en/lp/8pc4DnHQuomXvmJGCeySxigPWCo1Ki8n9aCu9A9Xpump?handle=676050794bc1b1657a56b", "View")</f>
        <v/>
      </c>
    </row>
    <row r="40">
      <c r="A40" s="16" t="inlineStr">
        <is>
          <t>Livia</t>
        </is>
      </c>
      <c r="B40" s="17" t="n">
        <v>10427209</v>
      </c>
      <c r="C40" s="17" t="n">
        <v>10427209</v>
      </c>
      <c r="D40" s="17" t="inlineStr">
        <is>
          <t>0.004020</t>
        </is>
      </c>
      <c r="E40" s="17" t="inlineStr">
        <is>
          <t>2.044 SOL</t>
        </is>
      </c>
      <c r="F40" s="17" t="inlineStr">
        <is>
          <t>2.847 SOL</t>
        </is>
      </c>
      <c r="G40" s="22" t="inlineStr">
        <is>
          <t>0.799 SOL</t>
        </is>
      </c>
      <c r="H40" s="22" t="inlineStr">
        <is>
          <t>39.03%</t>
        </is>
      </c>
      <c r="I40" s="17" t="inlineStr">
        <is>
          <t>N/A</t>
        </is>
      </c>
      <c r="J40" s="17" t="n">
        <v>2</v>
      </c>
      <c r="K40" s="17" t="n">
        <v>2</v>
      </c>
      <c r="L40" s="17" t="inlineStr">
        <is>
          <t>23.10.2024 02:39:11</t>
        </is>
      </c>
      <c r="M40" s="17" t="inlineStr">
        <is>
          <t>11 min</t>
        </is>
      </c>
      <c r="N40" s="17" t="inlineStr">
        <is>
          <t xml:space="preserve">         25K           114K             4K</t>
        </is>
      </c>
      <c r="O40" s="17" t="inlineStr">
        <is>
          <t>6KzUWrE31FSZyzswENJ5yR4DXzAzkD15NKvwK7tdpump</t>
        </is>
      </c>
      <c r="P40" s="17">
        <f>HYPERLINK("https://photon-sol.tinyastro.io/en/lp/6KzUWrE31FSZyzswENJ5yR4DXzAzkD15NKvwK7tdpump?handle=676050794bc1b1657a56b", "View")</f>
        <v/>
      </c>
    </row>
    <row r="41">
      <c r="A41" s="20" t="inlineStr">
        <is>
          <t>FWBtweets</t>
        </is>
      </c>
      <c r="B41" s="21" t="n">
        <v>24485602</v>
      </c>
      <c r="C41" s="21" t="n">
        <v>24485602</v>
      </c>
      <c r="D41" s="21" t="inlineStr">
        <is>
          <t>0.002010</t>
        </is>
      </c>
      <c r="E41" s="21" t="inlineStr">
        <is>
          <t>1.023 SOL</t>
        </is>
      </c>
      <c r="F41" s="21" t="inlineStr">
        <is>
          <t>1.401 SOL</t>
        </is>
      </c>
      <c r="G41" s="22" t="inlineStr">
        <is>
          <t>0.376 SOL</t>
        </is>
      </c>
      <c r="H41" s="22" t="inlineStr">
        <is>
          <t>36.65%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23.10.2024 02:24:20</t>
        </is>
      </c>
      <c r="M41" s="21" t="inlineStr">
        <is>
          <t>2 min</t>
        </is>
      </c>
      <c r="N41" s="21" t="inlineStr">
        <is>
          <t xml:space="preserve">          7K            11K             5K</t>
        </is>
      </c>
      <c r="O41" s="21" t="inlineStr">
        <is>
          <t>rLoJ1L4cSBM3Lh5fxf6mXaTwLEMxkdyrMvuWvRWpump</t>
        </is>
      </c>
      <c r="P41" s="21">
        <f>HYPERLINK("https://photon-sol.tinyastro.io/en/lp/rLoJ1L4cSBM3Lh5fxf6mXaTwLEMxkdyrMvuWvRWpump?handle=676050794bc1b1657a56b", "View")</f>
        <v/>
      </c>
    </row>
    <row r="42">
      <c r="A42" s="16" t="inlineStr">
        <is>
          <t>TOL</t>
        </is>
      </c>
      <c r="B42" s="17" t="n">
        <v>7399918</v>
      </c>
      <c r="C42" s="17" t="n">
        <v>7399918</v>
      </c>
      <c r="D42" s="17" t="inlineStr">
        <is>
          <t>0.008040</t>
        </is>
      </c>
      <c r="E42" s="17" t="inlineStr">
        <is>
          <t>2.500 SOL</t>
        </is>
      </c>
      <c r="F42" s="17" t="inlineStr">
        <is>
          <t>32.658 SOL</t>
        </is>
      </c>
      <c r="G42" s="24" t="inlineStr">
        <is>
          <t>30.150 SOL</t>
        </is>
      </c>
      <c r="H42" s="24" t="inlineStr">
        <is>
          <t>1202.11%</t>
        </is>
      </c>
      <c r="I42" s="17" t="inlineStr">
        <is>
          <t>N/A</t>
        </is>
      </c>
      <c r="J42" s="17" t="n">
        <v>3</v>
      </c>
      <c r="K42" s="17" t="n">
        <v>5</v>
      </c>
      <c r="L42" s="17" t="inlineStr">
        <is>
          <t>23.10.2024 02:02:22</t>
        </is>
      </c>
      <c r="M42" s="17" t="inlineStr">
        <is>
          <t>49 min</t>
        </is>
      </c>
      <c r="N42" s="17" t="inlineStr">
        <is>
          <t xml:space="preserve">         23K             2M            18K</t>
        </is>
      </c>
      <c r="O42" s="17" t="inlineStr">
        <is>
          <t>8SJHvukeqYDyGi64zdv4AM4GrktUtaB7wPMgM3EHpump</t>
        </is>
      </c>
      <c r="P42" s="17">
        <f>HYPERLINK("https://dexscreener.com/solana/8SJHvukeqYDyGi64zdv4AM4GrktUtaB7wPMgM3EHpump", "View")</f>
        <v/>
      </c>
    </row>
    <row r="43">
      <c r="A43" s="20" t="inlineStr">
        <is>
          <t>TOP</t>
        </is>
      </c>
      <c r="B43" s="21" t="n">
        <v>12574318</v>
      </c>
      <c r="C43" s="21" t="n">
        <v>12574318</v>
      </c>
      <c r="D43" s="21" t="inlineStr">
        <is>
          <t>0.002010</t>
        </is>
      </c>
      <c r="E43" s="21" t="inlineStr">
        <is>
          <t>0.921 SOL</t>
        </is>
      </c>
      <c r="F43" s="21" t="inlineStr">
        <is>
          <t>0.781 SOL</t>
        </is>
      </c>
      <c r="G43" s="25" t="inlineStr">
        <is>
          <t>-0.143 SOL</t>
        </is>
      </c>
      <c r="H43" s="25" t="inlineStr">
        <is>
          <t>-15.46%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23.10.2024 01:07:08</t>
        </is>
      </c>
      <c r="M43" s="19" t="inlineStr">
        <is>
          <t>28 sec</t>
        </is>
      </c>
      <c r="N43" s="21" t="inlineStr">
        <is>
          <t xml:space="preserve">         12K            11K             5K</t>
        </is>
      </c>
      <c r="O43" s="21" t="inlineStr">
        <is>
          <t>6kS9QSCh5pkg1pPj6jd1K4x5ujU55wV6QL7y9t9Fpump</t>
        </is>
      </c>
      <c r="P43" s="21">
        <f>HYPERLINK("https://photon-sol.tinyastro.io/en/lp/6kS9QSCh5pkg1pPj6jd1K4x5ujU55wV6QL7y9t9Fpump?handle=676050794bc1b1657a56b", "View")</f>
        <v/>
      </c>
    </row>
    <row r="44">
      <c r="A44" s="16" t="inlineStr">
        <is>
          <t>CURTIS</t>
        </is>
      </c>
      <c r="B44" s="17" t="n">
        <v>25923710</v>
      </c>
      <c r="C44" s="17" t="n">
        <v>25923710</v>
      </c>
      <c r="D44" s="17" t="inlineStr">
        <is>
          <t>0.004020</t>
        </is>
      </c>
      <c r="E44" s="17" t="inlineStr">
        <is>
          <t>4.959 SOL</t>
        </is>
      </c>
      <c r="F44" s="17" t="inlineStr">
        <is>
          <t>5.280 SOL</t>
        </is>
      </c>
      <c r="G44" s="22" t="inlineStr">
        <is>
          <t>0.317 SOL</t>
        </is>
      </c>
      <c r="H44" s="22" t="inlineStr">
        <is>
          <t>6.38%</t>
        </is>
      </c>
      <c r="I44" s="17" t="inlineStr">
        <is>
          <t>N/A</t>
        </is>
      </c>
      <c r="J44" s="17" t="n">
        <v>2</v>
      </c>
      <c r="K44" s="17" t="n">
        <v>2</v>
      </c>
      <c r="L44" s="17" t="inlineStr">
        <is>
          <t>23.10.2024 01:02:06</t>
        </is>
      </c>
      <c r="M44" s="17" t="inlineStr">
        <is>
          <t>8 min</t>
        </is>
      </c>
      <c r="N44" s="17" t="inlineStr">
        <is>
          <t xml:space="preserve">         32K            35K             3K</t>
        </is>
      </c>
      <c r="O44" s="17" t="inlineStr">
        <is>
          <t>7GXVALHLS8YD7ajHUHru4TyXTukMqd7zDku1V23ypump</t>
        </is>
      </c>
      <c r="P44" s="17">
        <f>HYPERLINK("https://photon-sol.tinyastro.io/en/lp/7GXVALHLS8YD7ajHUHru4TyXTukMqd7zDku1V23ypump?handle=676050794bc1b1657a56b", "View")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HYPERLINK("https://gmgn.ai/sol/address/J8CFQP3Hdt4ZdYoqAoEfAeZRuA3oeEPbvy4tLysZKmN", "GMGN")</f>
        <v/>
      </c>
    </row>
    <row r="2">
      <c r="A2" s="3" t="inlineStr">
        <is>
          <t>J8CFQP3Hdt4ZdYoqAoEfAeZRuA3oeEPbvy4tLysZKmN</t>
        </is>
      </c>
      <c r="B2" s="3" t="inlineStr">
        <is>
          <t>4.06 SOL</t>
        </is>
      </c>
      <c r="C2" s="3" t="inlineStr">
        <is>
          <t>30%</t>
        </is>
      </c>
      <c r="D2" s="3" t="inlineStr">
        <is>
          <t>91%</t>
        </is>
      </c>
      <c r="E2" s="3" t="inlineStr">
        <is>
          <t>34.04 SOL</t>
        </is>
      </c>
      <c r="F2" s="3" t="inlineStr">
        <is>
          <t>8 (14%)</t>
        </is>
      </c>
      <c r="G2" s="3" t="inlineStr">
        <is>
          <t>0 (0%)</t>
        </is>
      </c>
      <c r="H2" s="3" t="n">
        <v>56</v>
      </c>
      <c r="I2" s="3" t="n">
        <v>1</v>
      </c>
      <c r="J2" s="3" t="inlineStr">
        <is>
          <t>6 days</t>
        </is>
      </c>
      <c r="K2" s="3" t="inlineStr">
        <is>
          <t>19 min</t>
        </is>
      </c>
      <c r="L2" s="3" t="n">
        <v>21</v>
      </c>
      <c r="M2" s="3" t="n">
        <v>75</v>
      </c>
      <c r="N2" s="3">
        <f>HYPERLINK("https://solscan.io/account/J8CFQP3Hdt4ZdYoqAoEfAeZRuA3oeEPbvy4tLysZKmN", "Solscan")</f>
        <v/>
      </c>
    </row>
    <row r="3">
      <c r="A3" s="7" t="inlineStr">
        <is>
          <t>Median ROI</t>
        </is>
      </c>
      <c r="B3" s="5" t="inlineStr">
        <is>
          <t>-23.92%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HYPERLINK("https://birdeye.so/profile/J8CFQP3Hdt4ZdYoqAoEfAeZRuA3oeEPbvy4tLysZKmN", "Birdeye")</f>
        <v/>
      </c>
    </row>
    <row r="4">
      <c r="A4" s="7" t="inlineStr">
        <is>
          <t>Rockets percent</t>
        </is>
      </c>
      <c r="B4" s="3" t="inlineStr">
        <is>
          <t>9%</t>
        </is>
      </c>
      <c r="C4" s="3" t="inlineStr"/>
      <c r="D4" s="3" t="inlineStr">
        <is>
          <t>10%</t>
        </is>
      </c>
      <c r="E4" s="3" t="inlineStr">
        <is>
          <t>3.81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6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1.5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2</v>
      </c>
      <c r="C10" s="7" t="n">
        <v>3</v>
      </c>
      <c r="D10" s="7" t="n">
        <v>7</v>
      </c>
      <c r="E10" s="7" t="n">
        <v>5</v>
      </c>
      <c r="F10" s="7" t="n">
        <v>18</v>
      </c>
      <c r="G10" s="7" t="n">
        <v>21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3.6%</t>
        </is>
      </c>
      <c r="C11" s="7" t="inlineStr">
        <is>
          <t>5.4%</t>
        </is>
      </c>
      <c r="D11" s="7" t="inlineStr">
        <is>
          <t>12.5%</t>
        </is>
      </c>
      <c r="E11" s="7" t="inlineStr">
        <is>
          <t>8.9%</t>
        </is>
      </c>
      <c r="F11" s="7" t="inlineStr">
        <is>
          <t>32.1%</t>
        </is>
      </c>
      <c r="G11" s="7" t="inlineStr">
        <is>
          <t>37.5%</t>
        </is>
      </c>
      <c r="H11" s="3" t="n"/>
      <c r="I11" s="3" t="inlineStr">
        <is>
          <t>5k-30k</t>
        </is>
      </c>
      <c r="J11" s="3" t="inlineStr">
        <is>
          <t>18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39.9 SOL</t>
        </is>
      </c>
      <c r="C12" s="7" t="inlineStr">
        <is>
          <t>3.8 SOL</t>
        </is>
      </c>
      <c r="D12" s="7" t="inlineStr">
        <is>
          <t>1.4 SOL</t>
        </is>
      </c>
      <c r="E12" s="7" t="inlineStr">
        <is>
          <t>0.2 SOL</t>
        </is>
      </c>
      <c r="F12" s="7" t="inlineStr">
        <is>
          <t>-6.5 SOL</t>
        </is>
      </c>
      <c r="G12" s="7" t="inlineStr">
        <is>
          <t>-4.8 SOL</t>
        </is>
      </c>
      <c r="H12" s="3" t="n"/>
      <c r="I12" s="3" t="inlineStr">
        <is>
          <t>30k-100k</t>
        </is>
      </c>
      <c r="J12" s="3" t="inlineStr">
        <is>
          <t>14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9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58.0K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orca</t>
        </is>
      </c>
      <c r="B20" s="17" t="n">
        <v>1283356</v>
      </c>
      <c r="C20" s="17" t="n">
        <v>1203147</v>
      </c>
      <c r="D20" s="17" t="inlineStr">
        <is>
          <t>0.008950</t>
        </is>
      </c>
      <c r="E20" s="17" t="inlineStr">
        <is>
          <t>0.445 SOL</t>
        </is>
      </c>
      <c r="F20" s="17" t="inlineStr">
        <is>
          <t>0.727 SOL</t>
        </is>
      </c>
      <c r="G20" s="24" t="inlineStr">
        <is>
          <t>0.273 SOL</t>
        </is>
      </c>
      <c r="H20" s="24" t="inlineStr">
        <is>
          <t>60.14%</t>
        </is>
      </c>
      <c r="I20" s="17" t="inlineStr">
        <is>
          <t>N/A</t>
        </is>
      </c>
      <c r="J20" s="17" t="n">
        <v>3</v>
      </c>
      <c r="K20" s="17" t="n">
        <v>3</v>
      </c>
      <c r="L20" s="17" t="inlineStr">
        <is>
          <t>30.10.2024 19:08:53</t>
        </is>
      </c>
      <c r="M20" s="17" t="inlineStr">
        <is>
          <t>4 hours</t>
        </is>
      </c>
      <c r="N20" s="17" t="inlineStr">
        <is>
          <t xml:space="preserve">         59K           124K           321K</t>
        </is>
      </c>
      <c r="O20" s="17" t="inlineStr">
        <is>
          <t>CaLyryATQhnVZaau425zAJ9fNf4uNWVa1GKD6JN94AX9</t>
        </is>
      </c>
      <c r="P20" s="17">
        <f>HYPERLINK("https://dexscreener.com/solana/CaLyryATQhnVZaau425zAJ9fNf4uNWVa1GKD6JN94AX9", "View")</f>
        <v/>
      </c>
    </row>
    <row r="21">
      <c r="A21" s="20" t="inlineStr">
        <is>
          <t>WAGER</t>
        </is>
      </c>
      <c r="B21" s="21" t="n">
        <v>12746</v>
      </c>
      <c r="C21" s="21" t="n">
        <v>0</v>
      </c>
      <c r="D21" s="21" t="inlineStr">
        <is>
          <t>0.001000</t>
        </is>
      </c>
      <c r="E21" s="21" t="inlineStr">
        <is>
          <t>0.200 SOL</t>
        </is>
      </c>
      <c r="F21" s="21" t="inlineStr">
        <is>
          <t>0.000 SOL</t>
        </is>
      </c>
      <c r="G21" s="18" t="inlineStr">
        <is>
          <t>-0.201 SOL</t>
        </is>
      </c>
      <c r="H21" s="18" t="inlineStr">
        <is>
          <t>0.00%</t>
        </is>
      </c>
      <c r="I21" s="21" t="inlineStr">
        <is>
          <t>12,746</t>
        </is>
      </c>
      <c r="J21" s="21" t="n">
        <v>1</v>
      </c>
      <c r="K21" s="21" t="n">
        <v>0</v>
      </c>
      <c r="L21" s="21" t="inlineStr">
        <is>
          <t>30.10.2024 18:37:54</t>
        </is>
      </c>
      <c r="M21" s="19" t="inlineStr">
        <is>
          <t>0 sec</t>
        </is>
      </c>
      <c r="N21" s="21" t="inlineStr">
        <is>
          <t xml:space="preserve">          2M             2M             3M</t>
        </is>
      </c>
      <c r="O21" s="21" t="inlineStr">
        <is>
          <t>5fJFaSEeSyMnth9uLFJTceLpgwNohqtxR7yhTSTZKAjH</t>
        </is>
      </c>
      <c r="P21" s="21">
        <f>HYPERLINK("https://dexscreener.com/solana/5fJFaSEeSyMnth9uLFJTceLpgwNohqtxR7yhTSTZKAjH", "View")</f>
        <v/>
      </c>
    </row>
    <row r="22">
      <c r="A22" s="16" t="inlineStr">
        <is>
          <t>AVB</t>
        </is>
      </c>
      <c r="B22" s="17" t="n">
        <v>18800</v>
      </c>
      <c r="C22" s="17" t="n">
        <v>9400</v>
      </c>
      <c r="D22" s="17" t="inlineStr">
        <is>
          <t>0.008610</t>
        </is>
      </c>
      <c r="E22" s="17" t="inlineStr">
        <is>
          <t>0.100 SOL</t>
        </is>
      </c>
      <c r="F22" s="17" t="inlineStr">
        <is>
          <t>0.163 SOL</t>
        </is>
      </c>
      <c r="G22" s="24" t="inlineStr">
        <is>
          <t>0.055 SOL</t>
        </is>
      </c>
      <c r="H22" s="24" t="inlineStr">
        <is>
          <t>50.44%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18:12:03</t>
        </is>
      </c>
      <c r="M22" s="17" t="inlineStr">
        <is>
          <t>1 days</t>
        </is>
      </c>
      <c r="N22" s="17" t="inlineStr">
        <is>
          <t xml:space="preserve">        934K           934K             6M</t>
        </is>
      </c>
      <c r="O22" s="17" t="inlineStr">
        <is>
          <t>6d5zHW5B8RkGKd51Lpb9RqFQSqDudr9GJgZ1SgQZpump</t>
        </is>
      </c>
      <c r="P22" s="17">
        <f>HYPERLINK("https://dexscreener.com/solana/6d5zHW5B8RkGKd51Lpb9RqFQSqDudr9GJgZ1SgQZpump", "View")</f>
        <v/>
      </c>
    </row>
    <row r="23">
      <c r="A23" s="20" t="inlineStr">
        <is>
          <t>Aspen</t>
        </is>
      </c>
      <c r="B23" s="21" t="n">
        <v>845473</v>
      </c>
      <c r="C23" s="21" t="n">
        <v>845473</v>
      </c>
      <c r="D23" s="21" t="inlineStr">
        <is>
          <t>0.015040</t>
        </is>
      </c>
      <c r="E23" s="21" t="inlineStr">
        <is>
          <t>0.276 SOL</t>
        </is>
      </c>
      <c r="F23" s="21" t="inlineStr">
        <is>
          <t>0.494 SOL</t>
        </is>
      </c>
      <c r="G23" s="24" t="inlineStr">
        <is>
          <t>0.203 SOL</t>
        </is>
      </c>
      <c r="H23" s="24" t="inlineStr">
        <is>
          <t>69.65%</t>
        </is>
      </c>
      <c r="I23" s="21" t="inlineStr">
        <is>
          <t>N/A</t>
        </is>
      </c>
      <c r="J23" s="21" t="n">
        <v>2</v>
      </c>
      <c r="K23" s="21" t="n">
        <v>3</v>
      </c>
      <c r="L23" s="21" t="inlineStr">
        <is>
          <t>30.10.2024 17:00:52</t>
        </is>
      </c>
      <c r="M23" s="21" t="inlineStr">
        <is>
          <t>14 min</t>
        </is>
      </c>
      <c r="N23" s="21" t="inlineStr">
        <is>
          <t xml:space="preserve">         51K            72K             4K</t>
        </is>
      </c>
      <c r="O23" s="21" t="inlineStr">
        <is>
          <t>B8V1VEFZp1GHTGM4D8zJTFWM8g6mofJRrK2JSUZepump</t>
        </is>
      </c>
      <c r="P23" s="21">
        <f>HYPERLINK("https://photon-sol.tinyastro.io/en/lp/B8V1VEFZp1GHTGM4D8zJTFWM8g6mofJRrK2JSUZepump?handle=676050794bc1b1657a56b", "View")</f>
        <v/>
      </c>
    </row>
    <row r="24">
      <c r="A24" s="16" t="inlineStr">
        <is>
          <t>OMBRA</t>
        </is>
      </c>
      <c r="B24" s="17" t="n">
        <v>544149</v>
      </c>
      <c r="C24" s="17" t="n">
        <v>0</v>
      </c>
      <c r="D24" s="17" t="inlineStr">
        <is>
          <t>0.000150</t>
        </is>
      </c>
      <c r="E24" s="17" t="inlineStr">
        <is>
          <t>0.150 SOL</t>
        </is>
      </c>
      <c r="F24" s="17" t="inlineStr">
        <is>
          <t>0.000 SOL</t>
        </is>
      </c>
      <c r="G24" s="18" t="inlineStr">
        <is>
          <t>-0.150 SOL</t>
        </is>
      </c>
      <c r="H24" s="18" t="inlineStr">
        <is>
          <t>0.00%</t>
        </is>
      </c>
      <c r="I24" s="17" t="inlineStr">
        <is>
          <t>544,149</t>
        </is>
      </c>
      <c r="J24" s="17" t="n">
        <v>1</v>
      </c>
      <c r="K24" s="17" t="n">
        <v>0</v>
      </c>
      <c r="L24" s="17" t="inlineStr">
        <is>
          <t>30.10.2024 15:42:23</t>
        </is>
      </c>
      <c r="M24" s="19" t="inlineStr">
        <is>
          <t>0 sec</t>
        </is>
      </c>
      <c r="N24" s="17" t="inlineStr">
        <is>
          <t xml:space="preserve">         49K            49K            19K</t>
        </is>
      </c>
      <c r="O24" s="17" t="inlineStr">
        <is>
          <t>ABGuyFsRx6coPxDqXnFwUmFNG3hsg5i24XSsHV1Apump</t>
        </is>
      </c>
      <c r="P24" s="17">
        <f>HYPERLINK("https://dexscreener.com/solana/ABGuyFsRx6coPxDqXnFwUmFNG3hsg5i24XSsHV1Apump", "View")</f>
        <v/>
      </c>
    </row>
    <row r="25">
      <c r="A25" s="20" t="inlineStr">
        <is>
          <t>chichi</t>
        </is>
      </c>
      <c r="B25" s="21" t="n">
        <v>86527</v>
      </c>
      <c r="C25" s="21" t="n">
        <v>0</v>
      </c>
      <c r="D25" s="21" t="inlineStr">
        <is>
          <t>0.001150</t>
        </is>
      </c>
      <c r="E25" s="21" t="inlineStr">
        <is>
          <t>0.100 SOL</t>
        </is>
      </c>
      <c r="F25" s="21" t="inlineStr">
        <is>
          <t>0.000 SOL</t>
        </is>
      </c>
      <c r="G25" s="18" t="inlineStr">
        <is>
          <t>-0.101 SOL</t>
        </is>
      </c>
      <c r="H25" s="18" t="inlineStr">
        <is>
          <t>0.00%</t>
        </is>
      </c>
      <c r="I25" s="21" t="inlineStr">
        <is>
          <t>86,527</t>
        </is>
      </c>
      <c r="J25" s="21" t="n">
        <v>1</v>
      </c>
      <c r="K25" s="21" t="n">
        <v>0</v>
      </c>
      <c r="L25" s="21" t="inlineStr">
        <is>
          <t>30.10.2024 15:01:00</t>
        </is>
      </c>
      <c r="M25" s="19" t="inlineStr">
        <is>
          <t>0 sec</t>
        </is>
      </c>
      <c r="N25" s="21" t="inlineStr">
        <is>
          <t xml:space="preserve">        204K           204K            16K</t>
        </is>
      </c>
      <c r="O25" s="21" t="inlineStr">
        <is>
          <t>BLXsCT43Q9pXHFpeTSq6bxddefNXBgqfe22RAAzXpyEY</t>
        </is>
      </c>
      <c r="P25" s="21">
        <f>HYPERLINK("https://dexscreener.com/solana/BLXsCT43Q9pXHFpeTSq6bxddefNXBgqfe22RAAzXpyEY", "View")</f>
        <v/>
      </c>
    </row>
    <row r="26">
      <c r="A26" s="16" t="inlineStr">
        <is>
          <t>CHILEAN</t>
        </is>
      </c>
      <c r="B26" s="17" t="n">
        <v>739567</v>
      </c>
      <c r="C26" s="17" t="n">
        <v>739567</v>
      </c>
      <c r="D26" s="17" t="inlineStr">
        <is>
          <t>0.007200</t>
        </is>
      </c>
      <c r="E26" s="17" t="inlineStr">
        <is>
          <t>0.200 SOL</t>
        </is>
      </c>
      <c r="F26" s="17" t="inlineStr">
        <is>
          <t>0.158 SOL</t>
        </is>
      </c>
      <c r="G26" s="25" t="inlineStr">
        <is>
          <t>-0.049 SOL</t>
        </is>
      </c>
      <c r="H26" s="25" t="inlineStr">
        <is>
          <t>-23.69%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07:16:26</t>
        </is>
      </c>
      <c r="M26" s="19" t="inlineStr">
        <is>
          <t>38 sec</t>
        </is>
      </c>
      <c r="N26" s="17" t="inlineStr">
        <is>
          <t xml:space="preserve">         47K            37K             7K</t>
        </is>
      </c>
      <c r="O26" s="17" t="inlineStr">
        <is>
          <t>F9rhG8StmrcKiDgaUMdfuBnG1hag1sysBCT1KufZpump</t>
        </is>
      </c>
      <c r="P26" s="17">
        <f>HYPERLINK("https://dexscreener.com/solana/F9rhG8StmrcKiDgaUMdfuBnG1hag1sysBCT1KufZpump", "View")</f>
        <v/>
      </c>
    </row>
    <row r="27">
      <c r="A27" s="20" t="inlineStr">
        <is>
          <t>Gunner</t>
        </is>
      </c>
      <c r="B27" s="21" t="n">
        <v>1995621</v>
      </c>
      <c r="C27" s="21" t="n">
        <v>1995621</v>
      </c>
      <c r="D27" s="21" t="inlineStr">
        <is>
          <t>0.007120</t>
        </is>
      </c>
      <c r="E27" s="21" t="inlineStr">
        <is>
          <t>0.357 SOL</t>
        </is>
      </c>
      <c r="F27" s="21" t="inlineStr">
        <is>
          <t>0.725 SOL</t>
        </is>
      </c>
      <c r="G27" s="24" t="inlineStr">
        <is>
          <t>0.362 SOL</t>
        </is>
      </c>
      <c r="H27" s="24" t="inlineStr">
        <is>
          <t>99.50%</t>
        </is>
      </c>
      <c r="I27" s="21" t="inlineStr">
        <is>
          <t>N/A</t>
        </is>
      </c>
      <c r="J27" s="21" t="n">
        <v>2</v>
      </c>
      <c r="K27" s="21" t="n">
        <v>2</v>
      </c>
      <c r="L27" s="21" t="inlineStr">
        <is>
          <t>30.10.2024 05:41:33</t>
        </is>
      </c>
      <c r="M27" s="21" t="inlineStr">
        <is>
          <t>9 min</t>
        </is>
      </c>
      <c r="N27" s="21" t="inlineStr">
        <is>
          <t xml:space="preserve">         30K            23K             4K</t>
        </is>
      </c>
      <c r="O27" s="21" t="inlineStr">
        <is>
          <t>2YdzsERTXgp5cPfTFRF4oey3eYEf77FzcS89KqmUpump</t>
        </is>
      </c>
      <c r="P27" s="21">
        <f>HYPERLINK("https://photon-sol.tinyastro.io/en/lp/2YdzsERTXgp5cPfTFRF4oey3eYEf77FzcS89KqmUpump?handle=676050794bc1b1657a56b", "View")</f>
        <v/>
      </c>
    </row>
    <row r="28">
      <c r="A28" s="16" t="inlineStr">
        <is>
          <t>Félicette</t>
        </is>
      </c>
      <c r="B28" s="17" t="n">
        <v>778434</v>
      </c>
      <c r="C28" s="17" t="n">
        <v>778434</v>
      </c>
      <c r="D28" s="17" t="inlineStr">
        <is>
          <t>0.011280</t>
        </is>
      </c>
      <c r="E28" s="17" t="inlineStr">
        <is>
          <t>0.599 SOL</t>
        </is>
      </c>
      <c r="F28" s="17" t="inlineStr">
        <is>
          <t>0.924 SOL</t>
        </is>
      </c>
      <c r="G28" s="24" t="inlineStr">
        <is>
          <t>0.313 SOL</t>
        </is>
      </c>
      <c r="H28" s="24" t="inlineStr">
        <is>
          <t>51.33%</t>
        </is>
      </c>
      <c r="I28" s="17" t="inlineStr">
        <is>
          <t>N/A</t>
        </is>
      </c>
      <c r="J28" s="17" t="n">
        <v>3</v>
      </c>
      <c r="K28" s="17" t="n">
        <v>4</v>
      </c>
      <c r="L28" s="17" t="inlineStr">
        <is>
          <t>30.10.2024 05:03:11</t>
        </is>
      </c>
      <c r="M28" s="17" t="inlineStr">
        <is>
          <t>21 min</t>
        </is>
      </c>
      <c r="N28" s="17" t="inlineStr">
        <is>
          <t xml:space="preserve">        149K           234K             5K</t>
        </is>
      </c>
      <c r="O28" s="17" t="inlineStr">
        <is>
          <t>omPwhhB8qZysrvP72VESvFwuqimcFSF6pkSNj94pump</t>
        </is>
      </c>
      <c r="P28" s="17">
        <f>HYPERLINK("https://dexscreener.com/solana/omPwhhB8qZysrvP72VESvFwuqimcFSF6pkSNj94pump", "View")</f>
        <v/>
      </c>
    </row>
    <row r="29">
      <c r="A29" s="20" t="inlineStr">
        <is>
          <t>GHOST</t>
        </is>
      </c>
      <c r="B29" s="21" t="n">
        <v>2043159</v>
      </c>
      <c r="C29" s="21" t="n">
        <v>2043159</v>
      </c>
      <c r="D29" s="21" t="inlineStr">
        <is>
          <t>0.001440</t>
        </is>
      </c>
      <c r="E29" s="21" t="inlineStr">
        <is>
          <t>0.106 SOL</t>
        </is>
      </c>
      <c r="F29" s="21" t="inlineStr">
        <is>
          <t>0.131 SOL</t>
        </is>
      </c>
      <c r="G29" s="22" t="inlineStr">
        <is>
          <t>0.024 SOL</t>
        </is>
      </c>
      <c r="H29" s="22" t="inlineStr">
        <is>
          <t>22.01%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30.10.2024 04:15:16</t>
        </is>
      </c>
      <c r="M29" s="21" t="inlineStr">
        <is>
          <t>5 hours</t>
        </is>
      </c>
      <c r="N29" s="21" t="inlineStr">
        <is>
          <t xml:space="preserve">          9K             9K             8K</t>
        </is>
      </c>
      <c r="O29" s="21" t="inlineStr">
        <is>
          <t>A9QBZAGehGNdaA2cBNA9ksnDoDdZJTqtnVjrK2w2pump</t>
        </is>
      </c>
      <c r="P29" s="21">
        <f>HYPERLINK("https://photon-sol.tinyastro.io/en/lp/A9QBZAGehGNdaA2cBNA9ksnDoDdZJTqtnVjrK2w2pump?handle=676050794bc1b1657a56b", "View")</f>
        <v/>
      </c>
    </row>
    <row r="30">
      <c r="A30" s="16" t="inlineStr">
        <is>
          <t>bbydev</t>
        </is>
      </c>
      <c r="B30" s="17" t="n">
        <v>646088</v>
      </c>
      <c r="C30" s="17" t="n">
        <v>646088</v>
      </c>
      <c r="D30" s="17" t="inlineStr">
        <is>
          <t>0.006310</t>
        </is>
      </c>
      <c r="E30" s="17" t="inlineStr">
        <is>
          <t>0.400 SOL</t>
        </is>
      </c>
      <c r="F30" s="17" t="inlineStr">
        <is>
          <t>0.377 SOL</t>
        </is>
      </c>
      <c r="G30" s="25" t="inlineStr">
        <is>
          <t>-0.030 SOL</t>
        </is>
      </c>
      <c r="H30" s="25" t="inlineStr">
        <is>
          <t>-7.27%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30.10.2024 04:14:31</t>
        </is>
      </c>
      <c r="M30" s="17" t="inlineStr">
        <is>
          <t>1 min</t>
        </is>
      </c>
      <c r="N30" s="17" t="inlineStr">
        <is>
          <t xml:space="preserve">        109K           102K           836K</t>
        </is>
      </c>
      <c r="O30" s="17" t="inlineStr">
        <is>
          <t>8YYrkf1hvL5aCacfLXDvhVfjWZ7ce5NdVt4iLPxYsmdh</t>
        </is>
      </c>
      <c r="P30" s="17">
        <f>HYPERLINK("https://dexscreener.com/solana/8YYrkf1hvL5aCacfLXDvhVfjWZ7ce5NdVt4iLPxYsmdh", "View")</f>
        <v/>
      </c>
    </row>
    <row r="31">
      <c r="A31" s="20" t="inlineStr">
        <is>
          <t>Dogenes</t>
        </is>
      </c>
      <c r="B31" s="21" t="n">
        <v>10461</v>
      </c>
      <c r="C31" s="21" t="n">
        <v>10461</v>
      </c>
      <c r="D31" s="21" t="inlineStr">
        <is>
          <t>0.010290</t>
        </is>
      </c>
      <c r="E31" s="21" t="inlineStr">
        <is>
          <t>0.200 SOL</t>
        </is>
      </c>
      <c r="F31" s="21" t="inlineStr">
        <is>
          <t>0.099 SOL</t>
        </is>
      </c>
      <c r="G31" s="23" t="inlineStr">
        <is>
          <t>-0.111 SOL</t>
        </is>
      </c>
      <c r="H31" s="23" t="inlineStr">
        <is>
          <t>-52.96%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30.10.2024 03:20:21</t>
        </is>
      </c>
      <c r="M31" s="21" t="inlineStr">
        <is>
          <t>32 min</t>
        </is>
      </c>
      <c r="N31" s="21" t="inlineStr">
        <is>
          <t xml:space="preserve">          3M             2M           195K</t>
        </is>
      </c>
      <c r="O31" s="21" t="inlineStr">
        <is>
          <t>E6N1aagrUTAqtAe6DnV4bctib37tCERbr2TPiHzrpump</t>
        </is>
      </c>
      <c r="P31" s="21">
        <f>HYPERLINK("https://dexscreener.com/solana/E6N1aagrUTAqtAe6DnV4bctib37tCERbr2TPiHzrpump", "View")</f>
        <v/>
      </c>
    </row>
    <row r="32">
      <c r="A32" s="16" t="inlineStr">
        <is>
          <t>BUIO</t>
        </is>
      </c>
      <c r="B32" s="17" t="n">
        <v>13880</v>
      </c>
      <c r="C32" s="17" t="n">
        <v>0</v>
      </c>
      <c r="D32" s="17" t="inlineStr">
        <is>
          <t>0.002330</t>
        </is>
      </c>
      <c r="E32" s="17" t="inlineStr">
        <is>
          <t>0.250 SOL</t>
        </is>
      </c>
      <c r="F32" s="17" t="inlineStr">
        <is>
          <t>0.000 SOL</t>
        </is>
      </c>
      <c r="G32" s="18" t="inlineStr">
        <is>
          <t>-0.252 SOL</t>
        </is>
      </c>
      <c r="H32" s="18" t="inlineStr">
        <is>
          <t>0.00%</t>
        </is>
      </c>
      <c r="I32" s="17" t="inlineStr">
        <is>
          <t>13,880</t>
        </is>
      </c>
      <c r="J32" s="17" t="n">
        <v>1</v>
      </c>
      <c r="K32" s="17" t="n">
        <v>0</v>
      </c>
      <c r="L32" s="17" t="inlineStr">
        <is>
          <t>30.10.2024 02:46:53</t>
        </is>
      </c>
      <c r="M32" s="19" t="inlineStr">
        <is>
          <t>0 sec</t>
        </is>
      </c>
      <c r="N32" s="17" t="inlineStr">
        <is>
          <t xml:space="preserve">          3M             3M           175K</t>
        </is>
      </c>
      <c r="O32" s="17" t="inlineStr">
        <is>
          <t>CaPS8EpC78RsnDdjNfZGd7Wjdg9156ijvC1aFcA1pump</t>
        </is>
      </c>
      <c r="P32" s="17">
        <f>HYPERLINK("https://dexscreener.com/solana/CaPS8EpC78RsnDdjNfZGd7Wjdg9156ijvC1aFcA1pump", "View")</f>
        <v/>
      </c>
    </row>
    <row r="33">
      <c r="A33" s="20" t="inlineStr">
        <is>
          <t>Hopium</t>
        </is>
      </c>
      <c r="B33" s="21" t="n">
        <v>1159851</v>
      </c>
      <c r="C33" s="21" t="n">
        <v>963202</v>
      </c>
      <c r="D33" s="21" t="inlineStr">
        <is>
          <t>0.026180</t>
        </is>
      </c>
      <c r="E33" s="21" t="inlineStr">
        <is>
          <t>0.700 SOL</t>
        </is>
      </c>
      <c r="F33" s="21" t="inlineStr">
        <is>
          <t>0.569 SOL</t>
        </is>
      </c>
      <c r="G33" s="25" t="inlineStr">
        <is>
          <t>-0.158 SOL</t>
        </is>
      </c>
      <c r="H33" s="25" t="inlineStr">
        <is>
          <t>-21.69%</t>
        </is>
      </c>
      <c r="I33" s="21" t="inlineStr">
        <is>
          <t>N/A</t>
        </is>
      </c>
      <c r="J33" s="21" t="n">
        <v>5</v>
      </c>
      <c r="K33" s="21" t="n">
        <v>2</v>
      </c>
      <c r="L33" s="21" t="inlineStr">
        <is>
          <t>30.10.2024 02:01:03</t>
        </is>
      </c>
      <c r="M33" s="21" t="inlineStr">
        <is>
          <t>35 min</t>
        </is>
      </c>
      <c r="N33" s="21" t="inlineStr">
        <is>
          <t xml:space="preserve">        N/A           N/A           N/A</t>
        </is>
      </c>
      <c r="O33" s="21" t="inlineStr">
        <is>
          <t>FER9TxkyodrtpkWRrQUaRsvMhHvzRWFT4eJiyHJSpump</t>
        </is>
      </c>
      <c r="P33" s="21">
        <f>HYPERLINK("https://dexscreener.com/solana/FER9TxkyodrtpkWRrQUaRsvMhHvzRWFT4eJiyHJSpump", "View")</f>
        <v/>
      </c>
    </row>
    <row r="34">
      <c r="A34" s="16" t="inlineStr">
        <is>
          <t>Rick</t>
        </is>
      </c>
      <c r="B34" s="17" t="n">
        <v>149513</v>
      </c>
      <c r="C34" s="17" t="n">
        <v>0</v>
      </c>
      <c r="D34" s="17" t="inlineStr">
        <is>
          <t>0.003010</t>
        </is>
      </c>
      <c r="E34" s="17" t="inlineStr">
        <is>
          <t>0.108 SOL</t>
        </is>
      </c>
      <c r="F34" s="17" t="inlineStr">
        <is>
          <t>0.000 SOL</t>
        </is>
      </c>
      <c r="G34" s="18" t="inlineStr">
        <is>
          <t>-0.111 SOL</t>
        </is>
      </c>
      <c r="H34" s="18" t="inlineStr">
        <is>
          <t>0.00%</t>
        </is>
      </c>
      <c r="I34" s="17" t="inlineStr">
        <is>
          <t>149,513</t>
        </is>
      </c>
      <c r="J34" s="17" t="n">
        <v>1</v>
      </c>
      <c r="K34" s="17" t="n">
        <v>0</v>
      </c>
      <c r="L34" s="17" t="inlineStr">
        <is>
          <t>30.10.2024 01:04:40</t>
        </is>
      </c>
      <c r="M34" s="19" t="inlineStr">
        <is>
          <t>0 sec</t>
        </is>
      </c>
      <c r="N34" s="17" t="inlineStr">
        <is>
          <t xml:space="preserve">        126K           126K             4K</t>
        </is>
      </c>
      <c r="O34" s="17" t="inlineStr">
        <is>
          <t>8WhaR9JZk3D6FAzStdpVuBfoWhgBvZFaRfYbourbpump</t>
        </is>
      </c>
      <c r="P34" s="17">
        <f>HYPERLINK("https://dexscreener.com/solana/8WhaR9JZk3D6FAzStdpVuBfoWhgBvZFaRfYbourbpump", "View")</f>
        <v/>
      </c>
    </row>
    <row r="35">
      <c r="A35" s="20" t="inlineStr">
        <is>
          <t>Eagle</t>
        </is>
      </c>
      <c r="B35" s="21" t="n">
        <v>300640</v>
      </c>
      <c r="C35" s="21" t="n">
        <v>150320</v>
      </c>
      <c r="D35" s="21" t="inlineStr">
        <is>
          <t>0.003020</t>
        </is>
      </c>
      <c r="E35" s="21" t="inlineStr">
        <is>
          <t>0.106 SOL</t>
        </is>
      </c>
      <c r="F35" s="21" t="inlineStr">
        <is>
          <t>0.108 SOL</t>
        </is>
      </c>
      <c r="G35" s="25" t="inlineStr">
        <is>
          <t>-0.001 SOL</t>
        </is>
      </c>
      <c r="H35" s="25" t="inlineStr">
        <is>
          <t>-0.94%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30.10.2024 01:03:12</t>
        </is>
      </c>
      <c r="M35" s="21" t="inlineStr">
        <is>
          <t>9 min</t>
        </is>
      </c>
      <c r="N35" s="21" t="inlineStr">
        <is>
          <t xml:space="preserve">         61K           126K             5K</t>
        </is>
      </c>
      <c r="O35" s="21" t="inlineStr">
        <is>
          <t>74T9WemB1nJEjseuKgfsRXPab3S3hgJQ1ZywDsYtpump</t>
        </is>
      </c>
      <c r="P35" s="21">
        <f>HYPERLINK("https://photon-sol.tinyastro.io/en/lp/74T9WemB1nJEjseuKgfsRXPab3S3hgJQ1ZywDsYtpump?handle=676050794bc1b1657a56b", "View")</f>
        <v/>
      </c>
    </row>
    <row r="36">
      <c r="A36" s="16" t="inlineStr">
        <is>
          <t>FRIDGE</t>
        </is>
      </c>
      <c r="B36" s="17" t="n">
        <v>5666</v>
      </c>
      <c r="C36" s="17" t="n">
        <v>0</v>
      </c>
      <c r="D36" s="17" t="inlineStr">
        <is>
          <t>0.001000</t>
        </is>
      </c>
      <c r="E36" s="17" t="inlineStr">
        <is>
          <t>0.100 SOL</t>
        </is>
      </c>
      <c r="F36" s="17" t="inlineStr">
        <is>
          <t>0.000 SOL</t>
        </is>
      </c>
      <c r="G36" s="18" t="inlineStr">
        <is>
          <t>-0.101 SOL</t>
        </is>
      </c>
      <c r="H36" s="18" t="inlineStr">
        <is>
          <t>0.00%</t>
        </is>
      </c>
      <c r="I36" s="17" t="inlineStr">
        <is>
          <t>5,666</t>
        </is>
      </c>
      <c r="J36" s="17" t="n">
        <v>1</v>
      </c>
      <c r="K36" s="17" t="n">
        <v>0</v>
      </c>
      <c r="L36" s="17" t="inlineStr">
        <is>
          <t>29.10.2024 11:59:15</t>
        </is>
      </c>
      <c r="M36" s="19" t="inlineStr">
        <is>
          <t>0 sec</t>
        </is>
      </c>
      <c r="N36" s="17" t="inlineStr">
        <is>
          <t xml:space="preserve">          3M             3M             2M</t>
        </is>
      </c>
      <c r="O36" s="17" t="inlineStr">
        <is>
          <t>EswvJvhPy8A8rWPdLJ5ATYW6cY5x483oS4QWWroZpump</t>
        </is>
      </c>
      <c r="P36" s="17">
        <f>HYPERLINK("https://dexscreener.com/solana/EswvJvhPy8A8rWPdLJ5ATYW6cY5x483oS4QWWroZpump", "View")</f>
        <v/>
      </c>
    </row>
    <row r="37">
      <c r="A37" s="20" t="inlineStr">
        <is>
          <t>Tao</t>
        </is>
      </c>
      <c r="B37" s="21" t="n">
        <v>12661625</v>
      </c>
      <c r="C37" s="21" t="n">
        <v>12661625</v>
      </c>
      <c r="D37" s="21" t="inlineStr">
        <is>
          <t>0.001610</t>
        </is>
      </c>
      <c r="E37" s="21" t="inlineStr">
        <is>
          <t>0.479 SOL</t>
        </is>
      </c>
      <c r="F37" s="21" t="inlineStr">
        <is>
          <t>2.677 SOL</t>
        </is>
      </c>
      <c r="G37" s="24" t="inlineStr">
        <is>
          <t>2.197 SOL</t>
        </is>
      </c>
      <c r="H37" s="24" t="inlineStr">
        <is>
          <t>457.59%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29.10.2024 04:56:42</t>
        </is>
      </c>
      <c r="M37" s="21" t="inlineStr">
        <is>
          <t>4 min</t>
        </is>
      </c>
      <c r="N37" s="21" t="inlineStr">
        <is>
          <t xml:space="preserve">          7K            37K             3K</t>
        </is>
      </c>
      <c r="O37" s="21" t="inlineStr">
        <is>
          <t>G5QWsZmyaMEh3GFp8FQ4Wk2W9pNoPCRYcphWLjfUpump</t>
        </is>
      </c>
      <c r="P37" s="21">
        <f>HYPERLINK("https://photon-sol.tinyastro.io/en/lp/G5QWsZmyaMEh3GFp8FQ4Wk2W9pNoPCRYcphWLjfUpump?handle=676050794bc1b1657a56b", "View")</f>
        <v/>
      </c>
    </row>
    <row r="38">
      <c r="A38" s="16" t="inlineStr">
        <is>
          <t>FERRIS</t>
        </is>
      </c>
      <c r="B38" s="17" t="n">
        <v>262132</v>
      </c>
      <c r="C38" s="17" t="n">
        <v>262132</v>
      </c>
      <c r="D38" s="17" t="inlineStr">
        <is>
          <t>0.001810</t>
        </is>
      </c>
      <c r="E38" s="17" t="inlineStr">
        <is>
          <t>0.200 SOL</t>
        </is>
      </c>
      <c r="F38" s="17" t="inlineStr">
        <is>
          <t>0.099 SOL</t>
        </is>
      </c>
      <c r="G38" s="23" t="inlineStr">
        <is>
          <t>-0.103 SOL</t>
        </is>
      </c>
      <c r="H38" s="23" t="inlineStr">
        <is>
          <t>-51.11%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29.10.2024 02:06:27</t>
        </is>
      </c>
      <c r="M38" s="17" t="inlineStr">
        <is>
          <t>1 min</t>
        </is>
      </c>
      <c r="N38" s="17" t="inlineStr">
        <is>
          <t xml:space="preserve">        133K            67K             4K</t>
        </is>
      </c>
      <c r="O38" s="17" t="inlineStr">
        <is>
          <t>7ZFmpe9zrBiNtjeU4C3U22hTTDTsndS9Lm1xu724pump</t>
        </is>
      </c>
      <c r="P38" s="17">
        <f>HYPERLINK("https://dexscreener.com/solana/7ZFmpe9zrBiNtjeU4C3U22hTTDTsndS9Lm1xu724pump", "View")</f>
        <v/>
      </c>
    </row>
    <row r="39">
      <c r="A39" s="20" t="inlineStr">
        <is>
          <t>HONEY</t>
        </is>
      </c>
      <c r="B39" s="21" t="n">
        <v>5487697</v>
      </c>
      <c r="C39" s="21" t="n">
        <v>5487697</v>
      </c>
      <c r="D39" s="21" t="inlineStr">
        <is>
          <t>0.004740</t>
        </is>
      </c>
      <c r="E39" s="21" t="inlineStr">
        <is>
          <t>0.600 SOL</t>
        </is>
      </c>
      <c r="F39" s="21" t="inlineStr">
        <is>
          <t>2.040 SOL</t>
        </is>
      </c>
      <c r="G39" s="24" t="inlineStr">
        <is>
          <t>1.435 SOL</t>
        </is>
      </c>
      <c r="H39" s="24" t="inlineStr">
        <is>
          <t>237.28%</t>
        </is>
      </c>
      <c r="I39" s="21" t="inlineStr">
        <is>
          <t>N/A</t>
        </is>
      </c>
      <c r="J39" s="21" t="n">
        <v>3</v>
      </c>
      <c r="K39" s="21" t="n">
        <v>4</v>
      </c>
      <c r="L39" s="21" t="inlineStr">
        <is>
          <t>29.10.2024 02:04:24</t>
        </is>
      </c>
      <c r="M39" s="21" t="inlineStr">
        <is>
          <t>23 min</t>
        </is>
      </c>
      <c r="N39" s="21" t="inlineStr">
        <is>
          <t xml:space="preserve">         14K            37K            10K</t>
        </is>
      </c>
      <c r="O39" s="21" t="inlineStr">
        <is>
          <t>265sKc6C7wRcEkuLqzPCWUziHCqsp2Q1gXJo2H9Bpump</t>
        </is>
      </c>
      <c r="P39" s="21">
        <f>HYPERLINK("https://dexscreener.com/solana/265sKc6C7wRcEkuLqzPCWUziHCqsp2Q1gXJo2H9Bpump", "View")</f>
        <v/>
      </c>
    </row>
    <row r="40">
      <c r="A40" s="16" t="inlineStr">
        <is>
          <t>gws</t>
        </is>
      </c>
      <c r="B40" s="17" t="n">
        <v>337961</v>
      </c>
      <c r="C40" s="17" t="n">
        <v>168980</v>
      </c>
      <c r="D40" s="17" t="inlineStr">
        <is>
          <t>0.001420</t>
        </is>
      </c>
      <c r="E40" s="17" t="inlineStr">
        <is>
          <t>0.106 SOL</t>
        </is>
      </c>
      <c r="F40" s="17" t="inlineStr">
        <is>
          <t>0.113 SOL</t>
        </is>
      </c>
      <c r="G40" s="22" t="inlineStr">
        <is>
          <t>0.006 SOL</t>
        </is>
      </c>
      <c r="H40" s="22" t="inlineStr">
        <is>
          <t>5.23%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29.10.2024 02:03:24</t>
        </is>
      </c>
      <c r="M40" s="17" t="inlineStr">
        <is>
          <t>2 days</t>
        </is>
      </c>
      <c r="N40" s="17" t="inlineStr">
        <is>
          <t xml:space="preserve">         54K            54K            10K</t>
        </is>
      </c>
      <c r="O40" s="17" t="inlineStr">
        <is>
          <t>HGyJdCggoistzH4Zr7pN8xkv6GCauWNSe4T1rTjQpump</t>
        </is>
      </c>
      <c r="P40" s="17">
        <f>HYPERLINK("https://photon-sol.tinyastro.io/en/lp/HGyJdCggoistzH4Zr7pN8xkv6GCauWNSe4T1rTjQpump?handle=676050794bc1b1657a56b", "View")</f>
        <v/>
      </c>
    </row>
    <row r="41">
      <c r="A41" s="20" t="inlineStr">
        <is>
          <t>OneirOS</t>
        </is>
      </c>
      <c r="B41" s="21" t="n">
        <v>26036524</v>
      </c>
      <c r="C41" s="21" t="n">
        <v>26036524</v>
      </c>
      <c r="D41" s="21" t="inlineStr">
        <is>
          <t>0.046870</t>
        </is>
      </c>
      <c r="E41" s="21" t="inlineStr">
        <is>
          <t>2.940 SOL</t>
        </is>
      </c>
      <c r="F41" s="21" t="inlineStr">
        <is>
          <t>37.679 SOL</t>
        </is>
      </c>
      <c r="G41" s="24" t="inlineStr">
        <is>
          <t>34.692 SOL</t>
        </is>
      </c>
      <c r="H41" s="24" t="inlineStr">
        <is>
          <t>1161.33%</t>
        </is>
      </c>
      <c r="I41" s="21" t="inlineStr">
        <is>
          <t>N/A</t>
        </is>
      </c>
      <c r="J41" s="21" t="n">
        <v>3</v>
      </c>
      <c r="K41" s="21" t="n">
        <v>19</v>
      </c>
      <c r="L41" s="21" t="inlineStr">
        <is>
          <t>29.10.2024 00:18:17</t>
        </is>
      </c>
      <c r="M41" s="21" t="inlineStr">
        <is>
          <t>4 days</t>
        </is>
      </c>
      <c r="N41" s="21" t="inlineStr">
        <is>
          <t xml:space="preserve">        527K           270K            35K</t>
        </is>
      </c>
      <c r="O41" s="21" t="inlineStr">
        <is>
          <t>4FdqyFg3rYs9NRjC7shGmSH7YG4iQgAPSUyzDkWxpump</t>
        </is>
      </c>
      <c r="P41" s="21">
        <f>HYPERLINK("https://photon-sol.tinyastro.io/en/lp/4FdqyFg3rYs9NRjC7shGmSH7YG4iQgAPSUyzDkWxpump?handle=676050794bc1b1657a56b", "View")</f>
        <v/>
      </c>
    </row>
    <row r="42">
      <c r="A42" s="16" t="inlineStr">
        <is>
          <t>LOOK</t>
        </is>
      </c>
      <c r="B42" s="17" t="n">
        <v>5332</v>
      </c>
      <c r="C42" s="17" t="n">
        <v>0</v>
      </c>
      <c r="D42" s="17" t="inlineStr">
        <is>
          <t>0.002320</t>
        </is>
      </c>
      <c r="E42" s="17" t="inlineStr">
        <is>
          <t>0.100 SOL</t>
        </is>
      </c>
      <c r="F42" s="17" t="inlineStr">
        <is>
          <t>0.000 SOL</t>
        </is>
      </c>
      <c r="G42" s="18" t="inlineStr">
        <is>
          <t>-0.102 SOL</t>
        </is>
      </c>
      <c r="H42" s="18" t="inlineStr">
        <is>
          <t>0.00%</t>
        </is>
      </c>
      <c r="I42" s="17" t="inlineStr">
        <is>
          <t>5,332</t>
        </is>
      </c>
      <c r="J42" s="17" t="n">
        <v>1</v>
      </c>
      <c r="K42" s="17" t="n">
        <v>0</v>
      </c>
      <c r="L42" s="17" t="inlineStr">
        <is>
          <t>28.10.2024 22:22:37</t>
        </is>
      </c>
      <c r="M42" s="19" t="inlineStr">
        <is>
          <t>0 sec</t>
        </is>
      </c>
      <c r="N42" s="17" t="inlineStr">
        <is>
          <t xml:space="preserve">          3M             3M             3M</t>
        </is>
      </c>
      <c r="O42" s="17" t="inlineStr">
        <is>
          <t>BSqMUYb6ePwKsby85zrXaDa4SNf6AgZ9YfA2c4mZpump</t>
        </is>
      </c>
      <c r="P42" s="17">
        <f>HYPERLINK("https://dexscreener.com/solana/BSqMUYb6ePwKsby85zrXaDa4SNf6AgZ9YfA2c4mZpump", "View")</f>
        <v/>
      </c>
    </row>
    <row r="43">
      <c r="A43" s="20" t="inlineStr">
        <is>
          <t>tokidoki</t>
        </is>
      </c>
      <c r="B43" s="21" t="n">
        <v>165065</v>
      </c>
      <c r="C43" s="21" t="n">
        <v>165065</v>
      </c>
      <c r="D43" s="21" t="inlineStr">
        <is>
          <t>0.003330</t>
        </is>
      </c>
      <c r="E43" s="21" t="inlineStr">
        <is>
          <t>0.250 SOL</t>
        </is>
      </c>
      <c r="F43" s="21" t="inlineStr">
        <is>
          <t>0.107 SOL</t>
        </is>
      </c>
      <c r="G43" s="23" t="inlineStr">
        <is>
          <t>-0.146 SOL</t>
        </is>
      </c>
      <c r="H43" s="23" t="inlineStr">
        <is>
          <t>-57.81%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28.10.2024 22:06:32</t>
        </is>
      </c>
      <c r="M43" s="21" t="inlineStr">
        <is>
          <t>17 min</t>
        </is>
      </c>
      <c r="N43" s="21" t="inlineStr">
        <is>
          <t xml:space="preserve">        265K           265K            42K</t>
        </is>
      </c>
      <c r="O43" s="21" t="inlineStr">
        <is>
          <t>AqpJ2uRYEFdmsL1gZuQoMkWof8YRuuBVMm8dkNK7pump</t>
        </is>
      </c>
      <c r="P43" s="21">
        <f>HYPERLINK("https://dexscreener.com/solana/AqpJ2uRYEFdmsL1gZuQoMkWof8YRuuBVMm8dkNK7pump", "View")</f>
        <v/>
      </c>
    </row>
    <row r="44">
      <c r="A44" s="16" t="inlineStr">
        <is>
          <t>BTC-Chan</t>
        </is>
      </c>
      <c r="B44" s="17" t="n">
        <v>275845</v>
      </c>
      <c r="C44" s="17" t="n">
        <v>201628</v>
      </c>
      <c r="D44" s="17" t="inlineStr">
        <is>
          <t>0.015030</t>
        </is>
      </c>
      <c r="E44" s="17" t="inlineStr">
        <is>
          <t>0.350 SOL</t>
        </is>
      </c>
      <c r="F44" s="17" t="inlineStr">
        <is>
          <t>0.350 SOL</t>
        </is>
      </c>
      <c r="G44" s="25" t="inlineStr">
        <is>
          <t>-0.015 SOL</t>
        </is>
      </c>
      <c r="H44" s="25" t="inlineStr">
        <is>
          <t>-4.08%</t>
        </is>
      </c>
      <c r="I44" s="17" t="inlineStr">
        <is>
          <t>N/A</t>
        </is>
      </c>
      <c r="J44" s="17" t="n">
        <v>2</v>
      </c>
      <c r="K44" s="17" t="n">
        <v>3</v>
      </c>
      <c r="L44" s="17" t="inlineStr">
        <is>
          <t>28.10.2024 21:45:31</t>
        </is>
      </c>
      <c r="M44" s="17" t="inlineStr">
        <is>
          <t>1 hours</t>
        </is>
      </c>
      <c r="N44" s="17" t="inlineStr">
        <is>
          <t xml:space="preserve">        255K           252K            64K</t>
        </is>
      </c>
      <c r="O44" s="17" t="inlineStr">
        <is>
          <t>GSxmz5QR42Btg691U8gpDiRRpFmpBrJ6xdCHLcJSpump</t>
        </is>
      </c>
      <c r="P44" s="17">
        <f>HYPERLINK("https://dexscreener.com/solana/GSxmz5QR42Btg691U8gpDiRRpFmpBrJ6xdCHLcJSpump", "View")</f>
        <v/>
      </c>
    </row>
    <row r="45">
      <c r="A45" s="20" t="inlineStr">
        <is>
          <t>retire</t>
        </is>
      </c>
      <c r="B45" s="21" t="n">
        <v>184229</v>
      </c>
      <c r="C45" s="21" t="n">
        <v>0</v>
      </c>
      <c r="D45" s="21" t="inlineStr">
        <is>
          <t>0.002020</t>
        </is>
      </c>
      <c r="E45" s="21" t="inlineStr">
        <is>
          <t>0.892 SOL</t>
        </is>
      </c>
      <c r="F45" s="21" t="inlineStr">
        <is>
          <t>0.000 SOL</t>
        </is>
      </c>
      <c r="G45" s="18" t="inlineStr">
        <is>
          <t>-0.894 SOL</t>
        </is>
      </c>
      <c r="H45" s="18" t="inlineStr">
        <is>
          <t>0.00%</t>
        </is>
      </c>
      <c r="I45" s="21" t="inlineStr">
        <is>
          <t>184,229</t>
        </is>
      </c>
      <c r="J45" s="21" t="n">
        <v>5</v>
      </c>
      <c r="K45" s="21" t="n">
        <v>0</v>
      </c>
      <c r="L45" s="21" t="inlineStr">
        <is>
          <t>28.10.2024 15:59:19</t>
        </is>
      </c>
      <c r="M45" s="21" t="inlineStr">
        <is>
          <t>11 hours</t>
        </is>
      </c>
      <c r="N45" s="21" t="inlineStr">
        <is>
          <t xml:space="preserve">          1M           659K             2M</t>
        </is>
      </c>
      <c r="O45" s="21" t="inlineStr">
        <is>
          <t>zGh48JtNHVBb5evgoZLXwgPD2Qu4MhkWdJLGDAupump</t>
        </is>
      </c>
      <c r="P45" s="21">
        <f>HYPERLINK("https://dexscreener.com/solana/zGh48JtNHVBb5evgoZLXwgPD2Qu4MhkWdJLGDAupump", "View")</f>
        <v/>
      </c>
    </row>
    <row r="46">
      <c r="A46" s="16" t="inlineStr">
        <is>
          <t>TAPY</t>
        </is>
      </c>
      <c r="B46" s="17" t="n">
        <v>3504573</v>
      </c>
      <c r="C46" s="17" t="n">
        <v>0</v>
      </c>
      <c r="D46" s="17" t="inlineStr">
        <is>
          <t>0.000220</t>
        </is>
      </c>
      <c r="E46" s="17" t="inlineStr">
        <is>
          <t>0.106 SOL</t>
        </is>
      </c>
      <c r="F46" s="17" t="inlineStr">
        <is>
          <t>0.000 SOL</t>
        </is>
      </c>
      <c r="G46" s="18" t="inlineStr">
        <is>
          <t>-0.106 SOL</t>
        </is>
      </c>
      <c r="H46" s="18" t="inlineStr">
        <is>
          <t>0.00%</t>
        </is>
      </c>
      <c r="I46" s="17" t="inlineStr">
        <is>
          <t>3,504,573</t>
        </is>
      </c>
      <c r="J46" s="17" t="n">
        <v>1</v>
      </c>
      <c r="K46" s="17" t="n">
        <v>0</v>
      </c>
      <c r="L46" s="17" t="inlineStr">
        <is>
          <t>28.10.2024 15:32:01</t>
        </is>
      </c>
      <c r="M46" s="19" t="inlineStr">
        <is>
          <t>0 sec</t>
        </is>
      </c>
      <c r="N46" s="17" t="inlineStr">
        <is>
          <t xml:space="preserve">          5K             5K             5K</t>
        </is>
      </c>
      <c r="O46" s="17" t="inlineStr">
        <is>
          <t>AGJZ7AWczniY8ycNfUZywsw37z7nDas2FVS6ScJKpump</t>
        </is>
      </c>
      <c r="P46" s="17">
        <f>HYPERLINK("https://photon-sol.tinyastro.io/en/lp/AGJZ7AWczniY8ycNfUZywsw37z7nDas2FVS6ScJKpump?handle=676050794bc1b1657a56b", "View")</f>
        <v/>
      </c>
    </row>
    <row r="47">
      <c r="A47" s="20" t="inlineStr">
        <is>
          <t>FOREST</t>
        </is>
      </c>
      <c r="B47" s="21" t="n">
        <v>3213473</v>
      </c>
      <c r="C47" s="21" t="n">
        <v>3213473</v>
      </c>
      <c r="D47" s="21" t="inlineStr">
        <is>
          <t>0.001020</t>
        </is>
      </c>
      <c r="E47" s="21" t="inlineStr">
        <is>
          <t>0.106 SOL</t>
        </is>
      </c>
      <c r="F47" s="21" t="inlineStr">
        <is>
          <t>0.081 SOL</t>
        </is>
      </c>
      <c r="G47" s="25" t="inlineStr">
        <is>
          <t>-0.026 SOL</t>
        </is>
      </c>
      <c r="H47" s="25" t="inlineStr">
        <is>
          <t>-24.16%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28.10.2024 02:53:50</t>
        </is>
      </c>
      <c r="M47" s="21" t="inlineStr">
        <is>
          <t>2 days</t>
        </is>
      </c>
      <c r="N47" s="21" t="inlineStr">
        <is>
          <t xml:space="preserve">        N/A           N/A           N/A</t>
        </is>
      </c>
      <c r="O47" s="21" t="inlineStr">
        <is>
          <t>GXSFovUZTr27SxkNYEG4mYMqdLPewj1u5PUQSicXpump</t>
        </is>
      </c>
      <c r="P47" s="21">
        <f>HYPERLINK("https://photon-sol.tinyastro.io/en/lp/GXSFovUZTr27SxkNYEG4mYMqdLPewj1u5PUQSicXpump?handle=676050794bc1b1657a56b", "View")</f>
        <v/>
      </c>
    </row>
    <row r="48">
      <c r="A48" s="16" t="inlineStr">
        <is>
          <t>x/acc</t>
        </is>
      </c>
      <c r="B48" s="17" t="n">
        <v>29132</v>
      </c>
      <c r="C48" s="17" t="n">
        <v>29132</v>
      </c>
      <c r="D48" s="17" t="inlineStr">
        <is>
          <t>0.003010</t>
        </is>
      </c>
      <c r="E48" s="17" t="inlineStr">
        <is>
          <t>0.200 SOL</t>
        </is>
      </c>
      <c r="F48" s="17" t="inlineStr">
        <is>
          <t>0.243 SOL</t>
        </is>
      </c>
      <c r="G48" s="22" t="inlineStr">
        <is>
          <t>0.040 SOL</t>
        </is>
      </c>
      <c r="H48" s="22" t="inlineStr">
        <is>
          <t>19.83%</t>
        </is>
      </c>
      <c r="I48" s="17" t="inlineStr">
        <is>
          <t>N/A</t>
        </is>
      </c>
      <c r="J48" s="17" t="n">
        <v>2</v>
      </c>
      <c r="K48" s="17" t="n">
        <v>1</v>
      </c>
      <c r="L48" s="17" t="inlineStr">
        <is>
          <t>27.10.2024 22:42:21</t>
        </is>
      </c>
      <c r="M48" s="17" t="inlineStr">
        <is>
          <t>20 hours</t>
        </is>
      </c>
      <c r="N48" s="17" t="inlineStr">
        <is>
          <t xml:space="preserve">          1M             1M           378K</t>
        </is>
      </c>
      <c r="O48" s="17" t="inlineStr">
        <is>
          <t>5vrNnSXf2PeF4YMdG4vHi1WzU3hf42JKzV8i7jtBmRww</t>
        </is>
      </c>
      <c r="P48" s="17">
        <f>HYPERLINK("https://dexscreener.com/solana/5vrNnSXf2PeF4YMdG4vHi1WzU3hf42JKzV8i7jtBmRww", "View")</f>
        <v/>
      </c>
    </row>
    <row r="49">
      <c r="A49" s="20" t="inlineStr">
        <is>
          <t>JNG</t>
        </is>
      </c>
      <c r="B49" s="21" t="n">
        <v>3526358</v>
      </c>
      <c r="C49" s="21" t="n">
        <v>3526358</v>
      </c>
      <c r="D49" s="21" t="inlineStr">
        <is>
          <t>0.002180</t>
        </is>
      </c>
      <c r="E49" s="21" t="inlineStr">
        <is>
          <t>0.115 SOL</t>
        </is>
      </c>
      <c r="F49" s="21" t="inlineStr">
        <is>
          <t>0.176 SOL</t>
        </is>
      </c>
      <c r="G49" s="24" t="inlineStr">
        <is>
          <t>0.059 SOL</t>
        </is>
      </c>
      <c r="H49" s="24" t="inlineStr">
        <is>
          <t>50.40%</t>
        </is>
      </c>
      <c r="I49" s="21" t="inlineStr">
        <is>
          <t>N/A</t>
        </is>
      </c>
      <c r="J49" s="21" t="n">
        <v>1</v>
      </c>
      <c r="K49" s="21" t="n">
        <v>2</v>
      </c>
      <c r="L49" s="21" t="inlineStr">
        <is>
          <t>27.10.2024 22:35:07</t>
        </is>
      </c>
      <c r="M49" s="21" t="inlineStr">
        <is>
          <t>1 days</t>
        </is>
      </c>
      <c r="N49" s="21" t="inlineStr">
        <is>
          <t xml:space="preserve">          5K             5K             5K</t>
        </is>
      </c>
      <c r="O49" s="21" t="inlineStr">
        <is>
          <t>BHkpntZHeouUnb74VqcaN9ni5Dk8u7weQnXjV3xmpump</t>
        </is>
      </c>
      <c r="P49" s="21">
        <f>HYPERLINK("https://photon-sol.tinyastro.io/en/lp/BHkpntZHeouUnb74VqcaN9ni5Dk8u7weQnXjV3xmpump?handle=676050794bc1b1657a56b", "View")</f>
        <v/>
      </c>
    </row>
    <row r="50">
      <c r="A50" s="16" t="inlineStr">
        <is>
          <t>@elon</t>
        </is>
      </c>
      <c r="B50" s="17" t="n">
        <v>9656356</v>
      </c>
      <c r="C50" s="17" t="n">
        <v>9656356</v>
      </c>
      <c r="D50" s="17" t="inlineStr">
        <is>
          <t>0.003730</t>
        </is>
      </c>
      <c r="E50" s="17" t="inlineStr">
        <is>
          <t>0.418 SOL</t>
        </is>
      </c>
      <c r="F50" s="17" t="inlineStr">
        <is>
          <t>0.345 SOL</t>
        </is>
      </c>
      <c r="G50" s="25" t="inlineStr">
        <is>
          <t>-0.076 SOL</t>
        </is>
      </c>
      <c r="H50" s="25" t="inlineStr">
        <is>
          <t>-18.11%</t>
        </is>
      </c>
      <c r="I50" s="17" t="inlineStr">
        <is>
          <t>N/A</t>
        </is>
      </c>
      <c r="J50" s="17" t="n">
        <v>1</v>
      </c>
      <c r="K50" s="17" t="n">
        <v>1</v>
      </c>
      <c r="L50" s="17" t="inlineStr">
        <is>
          <t>27.10.2024 22:31:58</t>
        </is>
      </c>
      <c r="M50" s="19" t="inlineStr">
        <is>
          <t>21 sec</t>
        </is>
      </c>
      <c r="N50" s="17" t="inlineStr">
        <is>
          <t xml:space="preserve">          7K             7K             5K</t>
        </is>
      </c>
      <c r="O50" s="17" t="inlineStr">
        <is>
          <t>3w9t7VmoUv9Ys91HjtUfm4PghuqkhtgaKSPkzSaipump</t>
        </is>
      </c>
      <c r="P50" s="17">
        <f>HYPERLINK("https://photon-sol.tinyastro.io/en/lp/3w9t7VmoUv9Ys91HjtUfm4PghuqkhtgaKSPkzSaipump?handle=676050794bc1b1657a56b", "View")</f>
        <v/>
      </c>
    </row>
    <row r="51">
      <c r="A51" s="20" t="inlineStr">
        <is>
          <t>ONYX</t>
        </is>
      </c>
      <c r="B51" s="21" t="n">
        <v>68244</v>
      </c>
      <c r="C51" s="21" t="n">
        <v>0</v>
      </c>
      <c r="D51" s="21" t="inlineStr">
        <is>
          <t>0.004940</t>
        </is>
      </c>
      <c r="E51" s="21" t="inlineStr">
        <is>
          <t>0.300 SOL</t>
        </is>
      </c>
      <c r="F51" s="21" t="inlineStr">
        <is>
          <t>0.000 SOL</t>
        </is>
      </c>
      <c r="G51" s="18" t="inlineStr">
        <is>
          <t>-0.305 SOL</t>
        </is>
      </c>
      <c r="H51" s="18" t="inlineStr">
        <is>
          <t>0.00%</t>
        </is>
      </c>
      <c r="I51" s="21" t="inlineStr">
        <is>
          <t>68,244</t>
        </is>
      </c>
      <c r="J51" s="21" t="n">
        <v>3</v>
      </c>
      <c r="K51" s="21" t="n">
        <v>0</v>
      </c>
      <c r="L51" s="21" t="inlineStr">
        <is>
          <t>26.10.2024 23:07:43</t>
        </is>
      </c>
      <c r="M51" s="21" t="inlineStr">
        <is>
          <t>48 min</t>
        </is>
      </c>
      <c r="N51" s="21" t="inlineStr">
        <is>
          <t xml:space="preserve">        706K           945K            45K</t>
        </is>
      </c>
      <c r="O51" s="21" t="inlineStr">
        <is>
          <t>71FqyeLTgw6xushf7nWRkRwkm3pqqAsD8CCjcjaapump</t>
        </is>
      </c>
      <c r="P51" s="21">
        <f>HYPERLINK("https://dexscreener.com/solana/71FqyeLTgw6xushf7nWRkRwkm3pqqAsD8CCjcjaapump", "View")</f>
        <v/>
      </c>
    </row>
    <row r="52">
      <c r="A52" s="16" t="inlineStr">
        <is>
          <t>Kopon</t>
        </is>
      </c>
      <c r="B52" s="17" t="n">
        <v>493460</v>
      </c>
      <c r="C52" s="17" t="n">
        <v>0</v>
      </c>
      <c r="D52" s="17" t="inlineStr">
        <is>
          <t>0.001030</t>
        </is>
      </c>
      <c r="E52" s="17" t="inlineStr">
        <is>
          <t>0.400 SOL</t>
        </is>
      </c>
      <c r="F52" s="17" t="inlineStr">
        <is>
          <t>0.000 SOL</t>
        </is>
      </c>
      <c r="G52" s="18" t="inlineStr">
        <is>
          <t>-0.401 SOL</t>
        </is>
      </c>
      <c r="H52" s="18" t="inlineStr">
        <is>
          <t>0.00%</t>
        </is>
      </c>
      <c r="I52" s="17" t="inlineStr">
        <is>
          <t>493,460</t>
        </is>
      </c>
      <c r="J52" s="17" t="n">
        <v>1</v>
      </c>
      <c r="K52" s="17" t="n">
        <v>0</v>
      </c>
      <c r="L52" s="17" t="inlineStr">
        <is>
          <t>26.10.2024 23:05:38</t>
        </is>
      </c>
      <c r="M52" s="19" t="inlineStr">
        <is>
          <t>0 sec</t>
        </is>
      </c>
      <c r="N52" s="17" t="inlineStr">
        <is>
          <t xml:space="preserve">        142K           142K            19K</t>
        </is>
      </c>
      <c r="O52" s="17" t="inlineStr">
        <is>
          <t>376kKRPZf5uvVyxdjPdZ56oQtgkfhWHi2sCs9t3Hpump</t>
        </is>
      </c>
      <c r="P52" s="17">
        <f>HYPERLINK("https://dexscreener.com/solana/376kKRPZf5uvVyxdjPdZ56oQtgkfhWHi2sCs9t3Hpump", "View")</f>
        <v/>
      </c>
    </row>
    <row r="53">
      <c r="A53" s="20" t="inlineStr">
        <is>
          <t>Gaia</t>
        </is>
      </c>
      <c r="B53" s="21" t="n">
        <v>344095</v>
      </c>
      <c r="C53" s="21" t="n">
        <v>0</v>
      </c>
      <c r="D53" s="21" t="inlineStr">
        <is>
          <t>0.003010</t>
        </is>
      </c>
      <c r="E53" s="21" t="inlineStr">
        <is>
          <t>0.250 SOL</t>
        </is>
      </c>
      <c r="F53" s="21" t="inlineStr">
        <is>
          <t>0.000 SOL</t>
        </is>
      </c>
      <c r="G53" s="18" t="inlineStr">
        <is>
          <t>-0.253 SOL</t>
        </is>
      </c>
      <c r="H53" s="18" t="inlineStr">
        <is>
          <t>0.00%</t>
        </is>
      </c>
      <c r="I53" s="21" t="inlineStr">
        <is>
          <t>344,095</t>
        </is>
      </c>
      <c r="J53" s="21" t="n">
        <v>1</v>
      </c>
      <c r="K53" s="21" t="n">
        <v>0</v>
      </c>
      <c r="L53" s="21" t="inlineStr">
        <is>
          <t>26.10.2024 22:32:23</t>
        </is>
      </c>
      <c r="M53" s="19" t="inlineStr">
        <is>
          <t>0 sec</t>
        </is>
      </c>
      <c r="N53" s="21" t="inlineStr">
        <is>
          <t xml:space="preserve">        128K           128K            54K</t>
        </is>
      </c>
      <c r="O53" s="21" t="inlineStr">
        <is>
          <t>mchXra9PGqbMPuJ5FW9YxkkoSVKWAhyu5xP5tk4pump</t>
        </is>
      </c>
      <c r="P53" s="21">
        <f>HYPERLINK("https://dexscreener.com/solana/mchXra9PGqbMPuJ5FW9YxkkoSVKWAhyu5xP5tk4pump", "View")</f>
        <v/>
      </c>
    </row>
    <row r="54">
      <c r="A54" s="16" t="inlineStr">
        <is>
          <t>Hippo</t>
        </is>
      </c>
      <c r="B54" s="17" t="n">
        <v>663393</v>
      </c>
      <c r="C54" s="17" t="n">
        <v>0</v>
      </c>
      <c r="D54" s="17" t="inlineStr">
        <is>
          <t>0.003010</t>
        </is>
      </c>
      <c r="E54" s="17" t="inlineStr">
        <is>
          <t>0.100 SOL</t>
        </is>
      </c>
      <c r="F54" s="17" t="inlineStr">
        <is>
          <t>0.000 SOL</t>
        </is>
      </c>
      <c r="G54" s="18" t="inlineStr">
        <is>
          <t>-0.103 SOL</t>
        </is>
      </c>
      <c r="H54" s="18" t="inlineStr">
        <is>
          <t>0.00%</t>
        </is>
      </c>
      <c r="I54" s="17" t="inlineStr">
        <is>
          <t>663,393</t>
        </is>
      </c>
      <c r="J54" s="17" t="n">
        <v>1</v>
      </c>
      <c r="K54" s="17" t="n">
        <v>0</v>
      </c>
      <c r="L54" s="17" t="inlineStr">
        <is>
          <t>26.10.2024 22:11:08</t>
        </is>
      </c>
      <c r="M54" s="19" t="inlineStr">
        <is>
          <t>0 sec</t>
        </is>
      </c>
      <c r="N54" s="17" t="inlineStr">
        <is>
          <t xml:space="preserve">         26K            26K             7K</t>
        </is>
      </c>
      <c r="O54" s="17" t="inlineStr">
        <is>
          <t>3KDsuwo3f8bAd2mS4EVJtqBb5jzr6VKq2729DoNspump</t>
        </is>
      </c>
      <c r="P54" s="17">
        <f>HYPERLINK("https://dexscreener.com/solana/3KDsuwo3f8bAd2mS4EVJtqBb5jzr6VKq2729DoNspump", "View")</f>
        <v/>
      </c>
    </row>
    <row r="55">
      <c r="A55" s="20" t="inlineStr">
        <is>
          <t>CFT</t>
        </is>
      </c>
      <c r="B55" s="21" t="n">
        <v>8778239</v>
      </c>
      <c r="C55" s="21" t="n">
        <v>0</v>
      </c>
      <c r="D55" s="21" t="inlineStr">
        <is>
          <t>0.002470</t>
        </is>
      </c>
      <c r="E55" s="21" t="inlineStr">
        <is>
          <t>0.250 SOL</t>
        </is>
      </c>
      <c r="F55" s="21" t="inlineStr">
        <is>
          <t>0.000 SOL</t>
        </is>
      </c>
      <c r="G55" s="18" t="inlineStr">
        <is>
          <t>-0.252 SOL</t>
        </is>
      </c>
      <c r="H55" s="18" t="inlineStr">
        <is>
          <t>0.00%</t>
        </is>
      </c>
      <c r="I55" s="21" t="inlineStr">
        <is>
          <t>8,778,239</t>
        </is>
      </c>
      <c r="J55" s="21" t="n">
        <v>1</v>
      </c>
      <c r="K55" s="21" t="n">
        <v>0</v>
      </c>
      <c r="L55" s="21" t="inlineStr">
        <is>
          <t>26.10.2024 19:05:12</t>
        </is>
      </c>
      <c r="M55" s="19" t="inlineStr">
        <is>
          <t>0 sec</t>
        </is>
      </c>
      <c r="N55" s="21" t="inlineStr">
        <is>
          <t xml:space="preserve">          5K             5K             4K</t>
        </is>
      </c>
      <c r="O55" s="21" t="inlineStr">
        <is>
          <t>oc43uSNgcQ93AEXsNQEMKcY9gGey4KmBNTKBbSNpump</t>
        </is>
      </c>
      <c r="P55" s="21">
        <f>HYPERLINK("https://dexscreener.com/solana/oc43uSNgcQ93AEXsNQEMKcY9gGey4KmBNTKBbSNpump", "View")</f>
        <v/>
      </c>
    </row>
    <row r="56">
      <c r="A56" s="16" t="inlineStr">
        <is>
          <t>STEVE</t>
        </is>
      </c>
      <c r="B56" s="17" t="n">
        <v>2988784</v>
      </c>
      <c r="C56" s="17" t="n">
        <v>3013295</v>
      </c>
      <c r="D56" s="17" t="inlineStr">
        <is>
          <t>0.014190</t>
        </is>
      </c>
      <c r="E56" s="17" t="inlineStr">
        <is>
          <t>1.000 SOL</t>
        </is>
      </c>
      <c r="F56" s="17" t="inlineStr">
        <is>
          <t>0.833 SOL</t>
        </is>
      </c>
      <c r="G56" s="25" t="inlineStr">
        <is>
          <t>-0.182 SOL</t>
        </is>
      </c>
      <c r="H56" s="25" t="inlineStr">
        <is>
          <t>-17.90%</t>
        </is>
      </c>
      <c r="I56" s="17" t="inlineStr">
        <is>
          <t>N/A</t>
        </is>
      </c>
      <c r="J56" s="17" t="n">
        <v>1</v>
      </c>
      <c r="K56" s="17" t="n">
        <v>2</v>
      </c>
      <c r="L56" s="17" t="inlineStr">
        <is>
          <t>26.10.2024 19:01:05</t>
        </is>
      </c>
      <c r="M56" s="17" t="inlineStr">
        <is>
          <t>5 hours</t>
        </is>
      </c>
      <c r="N56" s="17" t="inlineStr">
        <is>
          <t xml:space="preserve">         57K            43K            24K</t>
        </is>
      </c>
      <c r="O56" s="17" t="inlineStr">
        <is>
          <t>38nBDcor3onWbxC8mjNN53xHibgXGrJmPBiP27Zhpump</t>
        </is>
      </c>
      <c r="P56" s="17">
        <f>HYPERLINK("https://dexscreener.com/solana/38nBDcor3onWbxC8mjNN53xHibgXGrJmPBiP27Zhpump", "View")</f>
        <v/>
      </c>
    </row>
    <row r="57">
      <c r="A57" s="20" t="inlineStr">
        <is>
          <t>Shakey</t>
        </is>
      </c>
      <c r="B57" s="21" t="n">
        <v>3785640</v>
      </c>
      <c r="C57" s="21" t="n">
        <v>3785640</v>
      </c>
      <c r="D57" s="21" t="inlineStr">
        <is>
          <t>0.003410</t>
        </is>
      </c>
      <c r="E57" s="21" t="inlineStr">
        <is>
          <t>0.250 SOL</t>
        </is>
      </c>
      <c r="F57" s="21" t="inlineStr">
        <is>
          <t>0.150 SOL</t>
        </is>
      </c>
      <c r="G57" s="25" t="inlineStr">
        <is>
          <t>-0.103 SOL</t>
        </is>
      </c>
      <c r="H57" s="25" t="inlineStr">
        <is>
          <t>-40.73%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26.10.2024 17:53:10</t>
        </is>
      </c>
      <c r="M57" s="21" t="inlineStr">
        <is>
          <t>1 days</t>
        </is>
      </c>
      <c r="N57" s="21" t="inlineStr">
        <is>
          <t xml:space="preserve">         12K            12K             7K</t>
        </is>
      </c>
      <c r="O57" s="21" t="inlineStr">
        <is>
          <t>QMiqpzcH9vqSSWkJPEFiGQwhQDqznRFddWEdLzjpump</t>
        </is>
      </c>
      <c r="P57" s="21">
        <f>HYPERLINK("https://dexscreener.com/solana/QMiqpzcH9vqSSWkJPEFiGQwhQDqznRFddWEdLzjpump", "View")</f>
        <v/>
      </c>
    </row>
    <row r="58">
      <c r="A58" s="16" t="inlineStr">
        <is>
          <t>BRAINLET</t>
        </is>
      </c>
      <c r="B58" s="17" t="n">
        <v>788</v>
      </c>
      <c r="C58" s="17" t="n">
        <v>0</v>
      </c>
      <c r="D58" s="17" t="inlineStr">
        <is>
          <t>0.001000</t>
        </is>
      </c>
      <c r="E58" s="17" t="inlineStr">
        <is>
          <t>0.100 SOL</t>
        </is>
      </c>
      <c r="F58" s="17" t="inlineStr">
        <is>
          <t>0.000 SOL</t>
        </is>
      </c>
      <c r="G58" s="18" t="inlineStr">
        <is>
          <t>-0.101 SOL</t>
        </is>
      </c>
      <c r="H58" s="18" t="inlineStr">
        <is>
          <t>0.00%</t>
        </is>
      </c>
      <c r="I58" s="17" t="inlineStr">
        <is>
          <t>788</t>
        </is>
      </c>
      <c r="J58" s="17" t="n">
        <v>1</v>
      </c>
      <c r="K58" s="17" t="n">
        <v>0</v>
      </c>
      <c r="L58" s="17" t="inlineStr">
        <is>
          <t>26.10.2024 15:20:46</t>
        </is>
      </c>
      <c r="M58" s="19" t="inlineStr">
        <is>
          <t>0 sec</t>
        </is>
      </c>
      <c r="N58" s="17" t="inlineStr">
        <is>
          <t xml:space="preserve">         22M            22M            23M</t>
        </is>
      </c>
      <c r="O58" s="17" t="inlineStr">
        <is>
          <t>8NNXWrWVctNw1UFeaBypffimTdcLCcD8XJzHvYsmgwpF</t>
        </is>
      </c>
      <c r="P58" s="17">
        <f>HYPERLINK("https://dexscreener.com/solana/8NNXWrWVctNw1UFeaBypffimTdcLCcD8XJzHvYsmgwpF", "View")</f>
        <v/>
      </c>
    </row>
    <row r="59">
      <c r="A59" s="20" t="inlineStr">
        <is>
          <t>ENDER</t>
        </is>
      </c>
      <c r="B59" s="21" t="n">
        <v>4936011</v>
      </c>
      <c r="C59" s="21" t="n">
        <v>4936011</v>
      </c>
      <c r="D59" s="21" t="inlineStr">
        <is>
          <t>0.012010</t>
        </is>
      </c>
      <c r="E59" s="21" t="inlineStr">
        <is>
          <t>1.000 SOL</t>
        </is>
      </c>
      <c r="F59" s="21" t="inlineStr">
        <is>
          <t>0.872 SOL</t>
        </is>
      </c>
      <c r="G59" s="25" t="inlineStr">
        <is>
          <t>-0.140 SOL</t>
        </is>
      </c>
      <c r="H59" s="25" t="inlineStr">
        <is>
          <t>-13.86%</t>
        </is>
      </c>
      <c r="I59" s="21" t="inlineStr">
        <is>
          <t>N/A</t>
        </is>
      </c>
      <c r="J59" s="21" t="n">
        <v>1</v>
      </c>
      <c r="K59" s="21" t="n">
        <v>1</v>
      </c>
      <c r="L59" s="21" t="inlineStr">
        <is>
          <t>26.10.2024 15:09:32</t>
        </is>
      </c>
      <c r="M59" s="21" t="inlineStr">
        <is>
          <t>1 min</t>
        </is>
      </c>
      <c r="N59" s="21" t="inlineStr">
        <is>
          <t xml:space="preserve">         35K            31K             5K</t>
        </is>
      </c>
      <c r="O59" s="21" t="inlineStr">
        <is>
          <t>2vAqg5MPPtdXLMYzaDkjq91PWH3d33o9BsmuxsNkpump</t>
        </is>
      </c>
      <c r="P59" s="21">
        <f>HYPERLINK("https://dexscreener.com/solana/2vAqg5MPPtdXLMYzaDkjq91PWH3d33o9BsmuxsNkpump", "View")</f>
        <v/>
      </c>
    </row>
    <row r="60">
      <c r="A60" s="16" t="inlineStr">
        <is>
          <t>SLUSH</t>
        </is>
      </c>
      <c r="B60" s="17" t="n">
        <v>8840975</v>
      </c>
      <c r="C60" s="17" t="n">
        <v>8840975</v>
      </c>
      <c r="D60" s="17" t="inlineStr">
        <is>
          <t>0.000030</t>
        </is>
      </c>
      <c r="E60" s="17" t="inlineStr">
        <is>
          <t>0.258 SOL</t>
        </is>
      </c>
      <c r="F60" s="17" t="inlineStr">
        <is>
          <t>0.247 SOL</t>
        </is>
      </c>
      <c r="G60" s="25" t="inlineStr">
        <is>
          <t>-0.011 SOL</t>
        </is>
      </c>
      <c r="H60" s="25" t="inlineStr">
        <is>
          <t>-4.25%</t>
        </is>
      </c>
      <c r="I60" s="17" t="inlineStr">
        <is>
          <t>N/A</t>
        </is>
      </c>
      <c r="J60" s="17" t="n">
        <v>1</v>
      </c>
      <c r="K60" s="17" t="n">
        <v>1</v>
      </c>
      <c r="L60" s="17" t="inlineStr">
        <is>
          <t>25.10.2024 23:14:37</t>
        </is>
      </c>
      <c r="M60" s="19" t="inlineStr">
        <is>
          <t>34 sec</t>
        </is>
      </c>
      <c r="N60" s="17" t="inlineStr">
        <is>
          <t xml:space="preserve">          5K             5K             5K</t>
        </is>
      </c>
      <c r="O60" s="17" t="inlineStr">
        <is>
          <t>7ds8p4Jvd4P6EKbuKb3a3Egw1JxHYkbeVR38xugzw8PG</t>
        </is>
      </c>
      <c r="P60" s="17">
        <f>HYPERLINK("https://photon-sol.tinyastro.io/en/lp/7ds8p4Jvd4P6EKbuKb3a3Egw1JxHYkbeVR38xugzw8PG?handle=676050794bc1b1657a56b", "View")</f>
        <v/>
      </c>
    </row>
    <row r="61">
      <c r="A61" s="20" t="inlineStr">
        <is>
          <t>EPPO</t>
        </is>
      </c>
      <c r="B61" s="21" t="n">
        <v>489824</v>
      </c>
      <c r="C61" s="21" t="n">
        <v>489824</v>
      </c>
      <c r="D61" s="21" t="inlineStr">
        <is>
          <t>0.000030</t>
        </is>
      </c>
      <c r="E61" s="21" t="inlineStr">
        <is>
          <t>0.107 SOL</t>
        </is>
      </c>
      <c r="F61" s="21" t="inlineStr">
        <is>
          <t>0.118 SOL</t>
        </is>
      </c>
      <c r="G61" s="22" t="inlineStr">
        <is>
          <t>0.011 SOL</t>
        </is>
      </c>
      <c r="H61" s="22" t="inlineStr">
        <is>
          <t>10.10%</t>
        </is>
      </c>
      <c r="I61" s="21" t="inlineStr">
        <is>
          <t>N/A</t>
        </is>
      </c>
      <c r="J61" s="21" t="n">
        <v>1</v>
      </c>
      <c r="K61" s="21" t="n">
        <v>1</v>
      </c>
      <c r="L61" s="21" t="inlineStr">
        <is>
          <t>25.10.2024 23:09:37</t>
        </is>
      </c>
      <c r="M61" s="19" t="inlineStr">
        <is>
          <t>39 sec</t>
        </is>
      </c>
      <c r="N61" s="21" t="inlineStr">
        <is>
          <t xml:space="preserve">         39K            42K             5K</t>
        </is>
      </c>
      <c r="O61" s="21" t="inlineStr">
        <is>
          <t>2xy2Whbg45Vw4QLjebRjfhFMTamkCczrNLvd1urXrBmP</t>
        </is>
      </c>
      <c r="P61" s="21">
        <f>HYPERLINK("https://photon-sol.tinyastro.io/en/lp/2xy2Whbg45Vw4QLjebRjfhFMTamkCczrNLvd1urXrBmP?handle=676050794bc1b1657a56b", "View")</f>
        <v/>
      </c>
    </row>
    <row r="62">
      <c r="A62" s="16" t="inlineStr">
        <is>
          <t>GREG</t>
        </is>
      </c>
      <c r="B62" s="17" t="n">
        <v>1104191</v>
      </c>
      <c r="C62" s="17" t="n">
        <v>1104190</v>
      </c>
      <c r="D62" s="17" t="inlineStr">
        <is>
          <t>0.000030</t>
        </is>
      </c>
      <c r="E62" s="17" t="inlineStr">
        <is>
          <t>0.106 SOL</t>
        </is>
      </c>
      <c r="F62" s="17" t="inlineStr">
        <is>
          <t>0.070 SOL</t>
        </is>
      </c>
      <c r="G62" s="25" t="inlineStr">
        <is>
          <t>-0.036 SOL</t>
        </is>
      </c>
      <c r="H62" s="25" t="inlineStr">
        <is>
          <t>-33.86%</t>
        </is>
      </c>
      <c r="I62" s="17" t="inlineStr">
        <is>
          <t>N/A</t>
        </is>
      </c>
      <c r="J62" s="17" t="n">
        <v>1</v>
      </c>
      <c r="K62" s="17" t="n">
        <v>1</v>
      </c>
      <c r="L62" s="17" t="inlineStr">
        <is>
          <t>25.10.2024 23:02:34</t>
        </is>
      </c>
      <c r="M62" s="17" t="inlineStr">
        <is>
          <t>19 min</t>
        </is>
      </c>
      <c r="N62" s="17" t="inlineStr">
        <is>
          <t xml:space="preserve">         18K            11K             5K</t>
        </is>
      </c>
      <c r="O62" s="17" t="inlineStr">
        <is>
          <t>EsALFdSt6AMmGrHqvA2FM5ddjJtBCwH4EVo1H2eopump</t>
        </is>
      </c>
      <c r="P62" s="17">
        <f>HYPERLINK("https://photon-sol.tinyastro.io/en/lp/EsALFdSt6AMmGrHqvA2FM5ddjJtBCwH4EVo1H2eopump?handle=676050794bc1b1657a56b", "View")</f>
        <v/>
      </c>
    </row>
    <row r="63">
      <c r="A63" s="20" t="inlineStr">
        <is>
          <t>racistai</t>
        </is>
      </c>
      <c r="B63" s="21" t="n">
        <v>5609320</v>
      </c>
      <c r="C63" s="21" t="n">
        <v>5609319</v>
      </c>
      <c r="D63" s="21" t="inlineStr">
        <is>
          <t>0.000090</t>
        </is>
      </c>
      <c r="E63" s="21" t="inlineStr">
        <is>
          <t>0.884 SOL</t>
        </is>
      </c>
      <c r="F63" s="21" t="inlineStr">
        <is>
          <t>0.184 SOL</t>
        </is>
      </c>
      <c r="G63" s="23" t="inlineStr">
        <is>
          <t>-0.700 SOL</t>
        </is>
      </c>
      <c r="H63" s="23" t="inlineStr">
        <is>
          <t>-79.20%</t>
        </is>
      </c>
      <c r="I63" s="21" t="inlineStr">
        <is>
          <t>N/A</t>
        </is>
      </c>
      <c r="J63" s="21" t="n">
        <v>5</v>
      </c>
      <c r="K63" s="21" t="n">
        <v>1</v>
      </c>
      <c r="L63" s="21" t="inlineStr">
        <is>
          <t>25.10.2024 22:17:46</t>
        </is>
      </c>
      <c r="M63" s="21" t="inlineStr">
        <is>
          <t>1 hours</t>
        </is>
      </c>
      <c r="N63" s="21" t="inlineStr">
        <is>
          <t xml:space="preserve">         44K             5K             5K</t>
        </is>
      </c>
      <c r="O63" s="21" t="inlineStr">
        <is>
          <t>8jVD4FDUswC2dYscVxTruTEy8dGqvgE4f7x2kE1XfKP7</t>
        </is>
      </c>
      <c r="P63" s="21">
        <f>HYPERLINK("https://photon-sol.tinyastro.io/en/lp/8jVD4FDUswC2dYscVxTruTEy8dGqvgE4f7x2kE1XfKP7?handle=676050794bc1b1657a56b", "View")</f>
        <v/>
      </c>
    </row>
    <row r="64">
      <c r="A64" s="16" t="inlineStr">
        <is>
          <t>$GROK</t>
        </is>
      </c>
      <c r="B64" s="17" t="n">
        <v>1709566</v>
      </c>
      <c r="C64" s="17" t="n">
        <v>0</v>
      </c>
      <c r="D64" s="17" t="inlineStr">
        <is>
          <t>0.000020</t>
        </is>
      </c>
      <c r="E64" s="17" t="inlineStr">
        <is>
          <t>0.074 SOL</t>
        </is>
      </c>
      <c r="F64" s="17" t="inlineStr">
        <is>
          <t>0.000 SOL</t>
        </is>
      </c>
      <c r="G64" s="18" t="inlineStr">
        <is>
          <t>-0.074 SOL</t>
        </is>
      </c>
      <c r="H64" s="18" t="inlineStr">
        <is>
          <t>0.00%</t>
        </is>
      </c>
      <c r="I64" s="17" t="inlineStr">
        <is>
          <t>1,709,566</t>
        </is>
      </c>
      <c r="J64" s="17" t="n">
        <v>1</v>
      </c>
      <c r="K64" s="17" t="n">
        <v>0</v>
      </c>
      <c r="L64" s="17" t="inlineStr">
        <is>
          <t>25.10.2024 21:21:17</t>
        </is>
      </c>
      <c r="M64" s="19" t="inlineStr">
        <is>
          <t>0 sec</t>
        </is>
      </c>
      <c r="N64" s="17" t="inlineStr">
        <is>
          <t xml:space="preserve">          7K             7K             5K</t>
        </is>
      </c>
      <c r="O64" s="17" t="inlineStr">
        <is>
          <t>6hrAVAn8YL4uFKMfdMse4abCGCj66hgaak1CzgQHpump</t>
        </is>
      </c>
      <c r="P64" s="17">
        <f>HYPERLINK("https://photon-sol.tinyastro.io/en/lp/6hrAVAn8YL4uFKMfdMse4abCGCj66hgaak1CzgQHpump?handle=676050794bc1b1657a56b", "View")</f>
        <v/>
      </c>
    </row>
    <row r="65">
      <c r="A65" s="20" t="inlineStr">
        <is>
          <t>$SHONIC</t>
        </is>
      </c>
      <c r="B65" s="21" t="n">
        <v>246073</v>
      </c>
      <c r="C65" s="21" t="n">
        <v>246073</v>
      </c>
      <c r="D65" s="21" t="inlineStr">
        <is>
          <t>0.006030</t>
        </is>
      </c>
      <c r="E65" s="21" t="inlineStr">
        <is>
          <t>0.106 SOL</t>
        </is>
      </c>
      <c r="F65" s="21" t="inlineStr">
        <is>
          <t>0.234 SOL</t>
        </is>
      </c>
      <c r="G65" s="24" t="inlineStr">
        <is>
          <t>0.122 SOL</t>
        </is>
      </c>
      <c r="H65" s="24" t="inlineStr">
        <is>
          <t>108.73%</t>
        </is>
      </c>
      <c r="I65" s="21" t="inlineStr">
        <is>
          <t>N/A</t>
        </is>
      </c>
      <c r="J65" s="21" t="n">
        <v>1</v>
      </c>
      <c r="K65" s="21" t="n">
        <v>2</v>
      </c>
      <c r="L65" s="21" t="inlineStr">
        <is>
          <t>25.10.2024 21:05:39</t>
        </is>
      </c>
      <c r="M65" s="21" t="inlineStr">
        <is>
          <t>20 min</t>
        </is>
      </c>
      <c r="N65" s="21" t="inlineStr">
        <is>
          <t xml:space="preserve">         76K           179K             4K</t>
        </is>
      </c>
      <c r="O65" s="21" t="inlineStr">
        <is>
          <t>peJxGuFUB79mo4Bp4gBwGHAgWyP9GeZtkaPU5t4pump</t>
        </is>
      </c>
      <c r="P65" s="21">
        <f>HYPERLINK("https://photon-sol.tinyastro.io/en/lp/peJxGuFUB79mo4Bp4gBwGHAgWyP9GeZtkaPU5t4pump?handle=676050794bc1b1657a56b", "View")</f>
        <v/>
      </c>
    </row>
    <row r="66">
      <c r="A66" s="16" t="inlineStr">
        <is>
          <t>Rute</t>
        </is>
      </c>
      <c r="B66" s="17" t="n">
        <v>607438</v>
      </c>
      <c r="C66" s="17" t="n">
        <v>531508</v>
      </c>
      <c r="D66" s="17" t="inlineStr">
        <is>
          <t>0.009030</t>
        </is>
      </c>
      <c r="E66" s="17" t="inlineStr">
        <is>
          <t>0.207 SOL</t>
        </is>
      </c>
      <c r="F66" s="17" t="inlineStr">
        <is>
          <t>0.400 SOL</t>
        </is>
      </c>
      <c r="G66" s="24" t="inlineStr">
        <is>
          <t>0.184 SOL</t>
        </is>
      </c>
      <c r="H66" s="24" t="inlineStr">
        <is>
          <t>85.24%</t>
        </is>
      </c>
      <c r="I66" s="17" t="inlineStr">
        <is>
          <t>N/A</t>
        </is>
      </c>
      <c r="J66" s="17" t="n">
        <v>1</v>
      </c>
      <c r="K66" s="17" t="n">
        <v>3</v>
      </c>
      <c r="L66" s="17" t="inlineStr">
        <is>
          <t>25.10.2024 20:49:10</t>
        </is>
      </c>
      <c r="M66" s="17" t="inlineStr">
        <is>
          <t>21 min</t>
        </is>
      </c>
      <c r="N66" s="17" t="inlineStr">
        <is>
          <t xml:space="preserve">         60K           328K             5K</t>
        </is>
      </c>
      <c r="O66" s="17" t="inlineStr">
        <is>
          <t>ErUhvKtfeJ6M6ZepUQkzt4PPZXJZSf5aVim9LUp3pump</t>
        </is>
      </c>
      <c r="P66" s="17">
        <f>HYPERLINK("https://photon-sol.tinyastro.io/en/lp/ErUhvKtfeJ6M6ZepUQkzt4PPZXJZSf5aVim9LUp3pump?handle=676050794bc1b1657a56b", "View")</f>
        <v/>
      </c>
    </row>
    <row r="67">
      <c r="A67" s="20" t="inlineStr">
        <is>
          <t>CATGF</t>
        </is>
      </c>
      <c r="B67" s="21" t="n">
        <v>1801</v>
      </c>
      <c r="C67" s="21" t="n">
        <v>1801</v>
      </c>
      <c r="D67" s="21" t="inlineStr">
        <is>
          <t>0.001400</t>
        </is>
      </c>
      <c r="E67" s="21" t="inlineStr">
        <is>
          <t>0.100 SOL</t>
        </is>
      </c>
      <c r="F67" s="21" t="inlineStr">
        <is>
          <t>0.077 SOL</t>
        </is>
      </c>
      <c r="G67" s="25" t="inlineStr">
        <is>
          <t>-0.025 SOL</t>
        </is>
      </c>
      <c r="H67" s="25" t="inlineStr">
        <is>
          <t>-24.35%</t>
        </is>
      </c>
      <c r="I67" s="21" t="inlineStr">
        <is>
          <t>N/A</t>
        </is>
      </c>
      <c r="J67" s="21" t="n">
        <v>1</v>
      </c>
      <c r="K67" s="21" t="n">
        <v>1</v>
      </c>
      <c r="L67" s="21" t="inlineStr">
        <is>
          <t>25.10.2024 20:43:31</t>
        </is>
      </c>
      <c r="M67" s="21" t="inlineStr">
        <is>
          <t>10 hours</t>
        </is>
      </c>
      <c r="N67" s="21" t="inlineStr">
        <is>
          <t xml:space="preserve">         10M            10M             4M</t>
        </is>
      </c>
      <c r="O67" s="21" t="inlineStr">
        <is>
          <t>GVwpWU5PtJFHS1mH35sHmsRN1XWUwRV3Qo94h5Lepump</t>
        </is>
      </c>
      <c r="P67" s="21">
        <f>HYPERLINK("https://dexscreener.com/solana/GVwpWU5PtJFHS1mH35sHmsRN1XWUwRV3Qo94h5Lepump", "View")</f>
        <v/>
      </c>
    </row>
    <row r="68">
      <c r="A68" s="16" t="inlineStr">
        <is>
          <t>fun</t>
        </is>
      </c>
      <c r="B68" s="17" t="n">
        <v>33291</v>
      </c>
      <c r="C68" s="17" t="n">
        <v>33291</v>
      </c>
      <c r="D68" s="17" t="inlineStr">
        <is>
          <t>0.007910</t>
        </is>
      </c>
      <c r="E68" s="17" t="inlineStr">
        <is>
          <t>0.400 SOL</t>
        </is>
      </c>
      <c r="F68" s="17" t="inlineStr">
        <is>
          <t>0.503 SOL</t>
        </is>
      </c>
      <c r="G68" s="22" t="inlineStr">
        <is>
          <t>0.095 SOL</t>
        </is>
      </c>
      <c r="H68" s="22" t="inlineStr">
        <is>
          <t>23.21%</t>
        </is>
      </c>
      <c r="I68" s="17" t="inlineStr">
        <is>
          <t>N/A</t>
        </is>
      </c>
      <c r="J68" s="17" t="n">
        <v>1</v>
      </c>
      <c r="K68" s="17" t="n">
        <v>1</v>
      </c>
      <c r="L68" s="17" t="inlineStr">
        <is>
          <t>25.10.2024 20:23:58</t>
        </is>
      </c>
      <c r="M68" s="17" t="inlineStr">
        <is>
          <t>12 min</t>
        </is>
      </c>
      <c r="N68" s="17" t="inlineStr">
        <is>
          <t xml:space="preserve">          2M             3M           325K</t>
        </is>
      </c>
      <c r="O68" s="17" t="inlineStr">
        <is>
          <t>9MnKTgwFyXJgnZumHGT9NdHuzm98ACjkNwpLniLhpump</t>
        </is>
      </c>
      <c r="P68" s="17">
        <f>HYPERLINK("https://dexscreener.com/solana/9MnKTgwFyXJgnZumHGT9NdHuzm98ACjkNwpLniLhpump", "View")</f>
        <v/>
      </c>
    </row>
    <row r="69">
      <c r="A69" s="20" t="inlineStr">
        <is>
          <t>ILER</t>
        </is>
      </c>
      <c r="B69" s="21" t="n">
        <v>51230754</v>
      </c>
      <c r="C69" s="21" t="n">
        <v>51230754</v>
      </c>
      <c r="D69" s="21" t="inlineStr">
        <is>
          <t>0.000310</t>
        </is>
      </c>
      <c r="E69" s="21" t="inlineStr">
        <is>
          <t>2.557 SOL</t>
        </is>
      </c>
      <c r="F69" s="21" t="inlineStr">
        <is>
          <t>1.742 SOL</t>
        </is>
      </c>
      <c r="G69" s="25" t="inlineStr">
        <is>
          <t>-0.815 SOL</t>
        </is>
      </c>
      <c r="H69" s="25" t="inlineStr">
        <is>
          <t>-31.87%</t>
        </is>
      </c>
      <c r="I69" s="21" t="inlineStr">
        <is>
          <t>N/A</t>
        </is>
      </c>
      <c r="J69" s="21" t="n">
        <v>1</v>
      </c>
      <c r="K69" s="21" t="n">
        <v>1</v>
      </c>
      <c r="L69" s="21" t="inlineStr">
        <is>
          <t>25.10.2024 06:34:09</t>
        </is>
      </c>
      <c r="M69" s="19" t="inlineStr">
        <is>
          <t>7 sec</t>
        </is>
      </c>
      <c r="N69" s="21" t="inlineStr">
        <is>
          <t xml:space="preserve">          9K             5K             5K</t>
        </is>
      </c>
      <c r="O69" s="21" t="inlineStr">
        <is>
          <t>BFbY4FTWqWHR4YUJMdEMSRVw7GN2LaV6QHvjqkGypump</t>
        </is>
      </c>
      <c r="P69" s="21">
        <f>HYPERLINK("https://photon-sol.tinyastro.io/en/lp/BFbY4FTWqWHR4YUJMdEMSRVw7GN2LaV6QHvjqkGypump?handle=676050794bc1b1657a56b", "View")</f>
        <v/>
      </c>
    </row>
    <row r="70">
      <c r="A70" s="16" t="inlineStr">
        <is>
          <t>AITOX</t>
        </is>
      </c>
      <c r="B70" s="17" t="n">
        <v>102415920</v>
      </c>
      <c r="C70" s="17" t="n">
        <v>102415920</v>
      </c>
      <c r="D70" s="17" t="inlineStr">
        <is>
          <t>0.006610</t>
        </is>
      </c>
      <c r="E70" s="17" t="inlineStr">
        <is>
          <t>6.000 SOL</t>
        </is>
      </c>
      <c r="F70" s="17" t="inlineStr">
        <is>
          <t>4.969 SOL</t>
        </is>
      </c>
      <c r="G70" s="25" t="inlineStr">
        <is>
          <t>-1.038 SOL</t>
        </is>
      </c>
      <c r="H70" s="25" t="inlineStr">
        <is>
          <t>-17.28%</t>
        </is>
      </c>
      <c r="I70" s="17" t="inlineStr">
        <is>
          <t>N/A</t>
        </is>
      </c>
      <c r="J70" s="17" t="n">
        <v>2</v>
      </c>
      <c r="K70" s="17" t="n">
        <v>2</v>
      </c>
      <c r="L70" s="17" t="inlineStr">
        <is>
          <t>25.10.2024 04:00:29</t>
        </is>
      </c>
      <c r="M70" s="17" t="inlineStr">
        <is>
          <t>2 min</t>
        </is>
      </c>
      <c r="N70" s="17" t="inlineStr">
        <is>
          <t xml:space="preserve">         11K             8K             4K</t>
        </is>
      </c>
      <c r="O70" s="17" t="inlineStr">
        <is>
          <t>9XC5gobmKZfeYRmaStxo1BDeFhYPX1eyCpQUehHepump</t>
        </is>
      </c>
      <c r="P70" s="17">
        <f>HYPERLINK("https://dexscreener.com/solana/9XC5gobmKZfeYRmaStxo1BDeFhYPX1eyCpQUehHepump", "View")</f>
        <v/>
      </c>
    </row>
    <row r="71">
      <c r="A71" s="20" t="inlineStr">
        <is>
          <t>RAPE</t>
        </is>
      </c>
      <c r="B71" s="21" t="n">
        <v>23112580</v>
      </c>
      <c r="C71" s="21" t="n">
        <v>23112580</v>
      </c>
      <c r="D71" s="21" t="inlineStr">
        <is>
          <t>0.000310</t>
        </is>
      </c>
      <c r="E71" s="21" t="inlineStr">
        <is>
          <t>4.679 SOL</t>
        </is>
      </c>
      <c r="F71" s="21" t="inlineStr">
        <is>
          <t>2.882 SOL</t>
        </is>
      </c>
      <c r="G71" s="25" t="inlineStr">
        <is>
          <t>-1.798 SOL</t>
        </is>
      </c>
      <c r="H71" s="25" t="inlineStr">
        <is>
          <t>-38.42%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25.10.2024 04:00:10</t>
        </is>
      </c>
      <c r="M71" s="19" t="inlineStr">
        <is>
          <t>8 sec</t>
        </is>
      </c>
      <c r="N71" s="21" t="inlineStr">
        <is>
          <t xml:space="preserve">         35K            21K             6K</t>
        </is>
      </c>
      <c r="O71" s="21" t="inlineStr">
        <is>
          <t>CLo3jAkv69Y5BaFJ5q8qmnwohwwsQknasZgwbeBJpump</t>
        </is>
      </c>
      <c r="P71" s="21">
        <f>HYPERLINK("https://photon-sol.tinyastro.io/en/lp/CLo3jAkv69Y5BaFJ5q8qmnwohwwsQknasZgwbeBJpump?handle=676050794bc1b1657a56b", "View")</f>
        <v/>
      </c>
    </row>
    <row r="72">
      <c r="A72" s="16" t="inlineStr">
        <is>
          <t>LADAI</t>
        </is>
      </c>
      <c r="B72" s="17" t="n">
        <v>46257671</v>
      </c>
      <c r="C72" s="17" t="n">
        <v>46257671</v>
      </c>
      <c r="D72" s="17" t="inlineStr">
        <is>
          <t>0.006300</t>
        </is>
      </c>
      <c r="E72" s="17" t="inlineStr">
        <is>
          <t>3.000 SOL</t>
        </is>
      </c>
      <c r="F72" s="17" t="inlineStr">
        <is>
          <t>1.669 SOL</t>
        </is>
      </c>
      <c r="G72" s="25" t="inlineStr">
        <is>
          <t>-1.337 SOL</t>
        </is>
      </c>
      <c r="H72" s="25" t="inlineStr">
        <is>
          <t>-44.49%</t>
        </is>
      </c>
      <c r="I72" s="17" t="inlineStr">
        <is>
          <t>N/A</t>
        </is>
      </c>
      <c r="J72" s="17" t="n">
        <v>1</v>
      </c>
      <c r="K72" s="17" t="n">
        <v>1</v>
      </c>
      <c r="L72" s="17" t="inlineStr">
        <is>
          <t>25.10.2024 03:59:48</t>
        </is>
      </c>
      <c r="M72" s="19" t="inlineStr">
        <is>
          <t>7 sec</t>
        </is>
      </c>
      <c r="N72" s="17" t="inlineStr">
        <is>
          <t xml:space="preserve">         11K             7K             4K</t>
        </is>
      </c>
      <c r="O72" s="17" t="inlineStr">
        <is>
          <t>4aRjfD2rWQwfXf5hvf6GHEQRnLYBJtfVwQ4TBRcUpump</t>
        </is>
      </c>
      <c r="P72" s="17">
        <f>HYPERLINK("https://dexscreener.com/solana/4aRjfD2rWQwfXf5hvf6GHEQRnLYBJtfVwQ4TBRcUpump", "View")</f>
        <v/>
      </c>
    </row>
    <row r="73">
      <c r="A73" s="20" t="inlineStr">
        <is>
          <t>Flash</t>
        </is>
      </c>
      <c r="B73" s="21" t="n">
        <v>52775099</v>
      </c>
      <c r="C73" s="21" t="n">
        <v>52775099</v>
      </c>
      <c r="D73" s="21" t="inlineStr">
        <is>
          <t>0.006870</t>
        </is>
      </c>
      <c r="E73" s="21" t="inlineStr">
        <is>
          <t>3.000 SOL</t>
        </is>
      </c>
      <c r="F73" s="21" t="inlineStr">
        <is>
          <t>2.358 SOL</t>
        </is>
      </c>
      <c r="G73" s="25" t="inlineStr">
        <is>
          <t>-0.649 SOL</t>
        </is>
      </c>
      <c r="H73" s="25" t="inlineStr">
        <is>
          <t>-21.59%</t>
        </is>
      </c>
      <c r="I73" s="21" t="inlineStr">
        <is>
          <t>N/A</t>
        </is>
      </c>
      <c r="J73" s="21" t="n">
        <v>1</v>
      </c>
      <c r="K73" s="21" t="n">
        <v>1</v>
      </c>
      <c r="L73" s="21" t="inlineStr">
        <is>
          <t>25.10.2024 03:59:32</t>
        </is>
      </c>
      <c r="M73" s="19" t="inlineStr">
        <is>
          <t>10 sec</t>
        </is>
      </c>
      <c r="N73" s="21" t="inlineStr">
        <is>
          <t xml:space="preserve">         11K             7K             4K</t>
        </is>
      </c>
      <c r="O73" s="21" t="inlineStr">
        <is>
          <t>7WDhJakP1zN7fE4tQoktBQkQ7U6E2iUsUyXSbwB6pump</t>
        </is>
      </c>
      <c r="P73" s="21">
        <f>HYPERLINK("https://dexscreener.com/solana/7WDhJakP1zN7fE4tQoktBQkQ7U6E2iUsUyXSbwB6pump", "View")</f>
        <v/>
      </c>
    </row>
    <row r="74">
      <c r="A74" s="16" t="inlineStr">
        <is>
          <t>NODE</t>
        </is>
      </c>
      <c r="B74" s="17" t="n">
        <v>515672</v>
      </c>
      <c r="C74" s="17" t="n">
        <v>0</v>
      </c>
      <c r="D74" s="17" t="inlineStr">
        <is>
          <t>0.002730</t>
        </is>
      </c>
      <c r="E74" s="17" t="inlineStr">
        <is>
          <t>0.200 SOL</t>
        </is>
      </c>
      <c r="F74" s="17" t="inlineStr">
        <is>
          <t>0.000 SOL</t>
        </is>
      </c>
      <c r="G74" s="18" t="inlineStr">
        <is>
          <t>-0.203 SOL</t>
        </is>
      </c>
      <c r="H74" s="18" t="inlineStr">
        <is>
          <t>0.00%</t>
        </is>
      </c>
      <c r="I74" s="17" t="inlineStr">
        <is>
          <t>515,672</t>
        </is>
      </c>
      <c r="J74" s="17" t="n">
        <v>1</v>
      </c>
      <c r="K74" s="17" t="n">
        <v>0</v>
      </c>
      <c r="L74" s="17" t="inlineStr">
        <is>
          <t>24.10.2024 20:21:01</t>
        </is>
      </c>
      <c r="M74" s="19" t="inlineStr">
        <is>
          <t>0 sec</t>
        </is>
      </c>
      <c r="N74" s="17" t="inlineStr">
        <is>
          <t xml:space="preserve">         68K            68K             4K</t>
        </is>
      </c>
      <c r="O74" s="17" t="inlineStr">
        <is>
          <t>2UqpumQPfmx8MMBe64zUKfiuUhc8NKQtzbTTD428pump</t>
        </is>
      </c>
      <c r="P74" s="17">
        <f>HYPERLINK("https://dexscreener.com/solana/2UqpumQPfmx8MMBe64zUKfiuUhc8NKQtzbTTD428pump", "View")</f>
        <v/>
      </c>
    </row>
    <row r="75">
      <c r="A75" s="20" t="inlineStr">
        <is>
          <t>GOAT</t>
        </is>
      </c>
      <c r="B75" s="21" t="n">
        <v>6132208</v>
      </c>
      <c r="C75" s="21" t="n">
        <v>6132208</v>
      </c>
      <c r="D75" s="21" t="inlineStr">
        <is>
          <t>0.000240</t>
        </is>
      </c>
      <c r="E75" s="21" t="inlineStr">
        <is>
          <t>0.500 SOL</t>
        </is>
      </c>
      <c r="F75" s="21" t="inlineStr">
        <is>
          <t>5.739 SOL</t>
        </is>
      </c>
      <c r="G75" s="24" t="inlineStr">
        <is>
          <t>5.239 SOL</t>
        </is>
      </c>
      <c r="H75" s="24" t="inlineStr">
        <is>
          <t>1047.71%</t>
        </is>
      </c>
      <c r="I75" s="21" t="inlineStr">
        <is>
          <t>N/A</t>
        </is>
      </c>
      <c r="J75" s="21" t="n">
        <v>2</v>
      </c>
      <c r="K75" s="21" t="n">
        <v>1</v>
      </c>
      <c r="L75" s="21" t="inlineStr">
        <is>
          <t>24.10.2024 16:49:47</t>
        </is>
      </c>
      <c r="M75" s="21" t="inlineStr">
        <is>
          <t>8 min</t>
        </is>
      </c>
      <c r="N75" s="21" t="inlineStr">
        <is>
          <t xml:space="preserve">         11K           165K             5K</t>
        </is>
      </c>
      <c r="O75" s="21" t="inlineStr">
        <is>
          <t>B6fSL8sMoAGKJEafNbKsGsV9KuiKCmaFZrGLX26Zpump</t>
        </is>
      </c>
      <c r="P75" s="21">
        <f>HYPERLINK("https://photon-sol.tinyastro.io/en/lp/B6fSL8sMoAGKJEafNbKsGsV9KuiKCmaFZrGLX26Zpump?handle=676050794bc1b1657a56b", "View")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5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HYPERLINK("https://gmgn.ai/sol/address/7794TDb3fZJQKUs57TmFj2LcsWMu1AQX8zf2rSNFB6Gd", "GMGN")</f>
        <v/>
      </c>
    </row>
    <row r="2">
      <c r="A2" s="3" t="inlineStr">
        <is>
          <t>7794TDb3fZJQKUs57TmFj2LcsWMu1AQX8zf2rSNFB6Gd</t>
        </is>
      </c>
      <c r="B2" s="3" t="inlineStr">
        <is>
          <t>12.92 SOL</t>
        </is>
      </c>
      <c r="C2" s="3" t="inlineStr">
        <is>
          <t>56%</t>
        </is>
      </c>
      <c r="D2" s="3" t="inlineStr">
        <is>
          <t>121%</t>
        </is>
      </c>
      <c r="E2" s="3" t="inlineStr">
        <is>
          <t>54.62 SOL</t>
        </is>
      </c>
      <c r="F2" s="3" t="inlineStr">
        <is>
          <t>1 (3%)</t>
        </is>
      </c>
      <c r="G2" s="3" t="inlineStr">
        <is>
          <t>0 (0%)</t>
        </is>
      </c>
      <c r="H2" s="3" t="n">
        <v>32</v>
      </c>
      <c r="I2" s="3" t="n">
        <v>0</v>
      </c>
      <c r="J2" s="3" t="inlineStr">
        <is>
          <t>15 days</t>
        </is>
      </c>
      <c r="K2" s="3" t="inlineStr">
        <is>
          <t>5 min</t>
        </is>
      </c>
      <c r="L2" s="3" t="n">
        <v>8</v>
      </c>
      <c r="M2" s="3" t="n">
        <v>15</v>
      </c>
      <c r="N2" s="3">
        <f>HYPERLINK("https://solscan.io/account/7794TDb3fZJQKUs57TmFj2LcsWMu1AQX8zf2rSNFB6Gd", "Solscan")</f>
        <v/>
      </c>
    </row>
    <row r="3">
      <c r="A3" s="7" t="inlineStr">
        <is>
          <t>Median ROI</t>
        </is>
      </c>
      <c r="B3" s="4" t="inlineStr">
        <is>
          <t>7.09%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HYPERLINK("https://birdeye.so/profile/7794TDb3fZJQKUs57TmFj2LcsWMu1AQX8zf2rSNFB6Gd", "Birdeye")</f>
        <v/>
      </c>
    </row>
    <row r="4">
      <c r="A4" s="7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1%</t>
        </is>
      </c>
      <c r="E4" s="3" t="inlineStr">
        <is>
          <t>0.46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15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3</v>
      </c>
      <c r="D10" s="7" t="n">
        <v>6</v>
      </c>
      <c r="E10" s="7" t="n">
        <v>8</v>
      </c>
      <c r="F10" s="7" t="n">
        <v>12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3.1%</t>
        </is>
      </c>
      <c r="C11" s="7" t="inlineStr">
        <is>
          <t>9.4%</t>
        </is>
      </c>
      <c r="D11" s="7" t="inlineStr">
        <is>
          <t>18.8%</t>
        </is>
      </c>
      <c r="E11" s="7" t="inlineStr">
        <is>
          <t>25.0%</t>
        </is>
      </c>
      <c r="F11" s="7" t="inlineStr">
        <is>
          <t>37.5%</t>
        </is>
      </c>
      <c r="G11" s="7" t="inlineStr">
        <is>
          <t>6.2%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41.2 SOL</t>
        </is>
      </c>
      <c r="C12" s="7" t="inlineStr">
        <is>
          <t>18.0 SOL</t>
        </is>
      </c>
      <c r="D12" s="7" t="inlineStr">
        <is>
          <t>2.9 SOL</t>
        </is>
      </c>
      <c r="E12" s="7" t="inlineStr">
        <is>
          <t>0.9 SOL</t>
        </is>
      </c>
      <c r="F12" s="7" t="inlineStr">
        <is>
          <t>-2.9 SOL</t>
        </is>
      </c>
      <c r="G12" s="7" t="inlineStr">
        <is>
          <t>-5.6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9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14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230.0K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COZI</t>
        </is>
      </c>
      <c r="B20" s="17" t="n">
        <v>12676063</v>
      </c>
      <c r="C20" s="17" t="n">
        <v>0</v>
      </c>
      <c r="D20" s="17" t="inlineStr">
        <is>
          <t>0.010020</t>
        </is>
      </c>
      <c r="E20" s="17" t="inlineStr">
        <is>
          <t>0.495 SOL</t>
        </is>
      </c>
      <c r="F20" s="17" t="inlineStr">
        <is>
          <t>0.000 SOL</t>
        </is>
      </c>
      <c r="G20" s="18" t="inlineStr">
        <is>
          <t>-0.505 SOL</t>
        </is>
      </c>
      <c r="H20" s="18" t="inlineStr">
        <is>
          <t>0.00%</t>
        </is>
      </c>
      <c r="I20" s="17" t="inlineStr">
        <is>
          <t>12,676,063</t>
        </is>
      </c>
      <c r="J20" s="17" t="n">
        <v>2</v>
      </c>
      <c r="K20" s="17" t="n">
        <v>0</v>
      </c>
      <c r="L20" s="17" t="inlineStr">
        <is>
          <t>30.10.2024 20:59:40</t>
        </is>
      </c>
      <c r="M20" s="17" t="inlineStr">
        <is>
          <t>5 min</t>
        </is>
      </c>
      <c r="N20" s="17" t="inlineStr">
        <is>
          <t xml:space="preserve">          7K             5K             6K</t>
        </is>
      </c>
      <c r="O20" s="17" t="inlineStr">
        <is>
          <t>6hFjkjquUUbULbRV7uYNL9SDxWmPzuzebyicCP8ppump</t>
        </is>
      </c>
      <c r="P20" s="17">
        <f>HYPERLINK("https://dexscreener.com/solana/6hFjkjquUUbULbRV7uYNL9SDxWmPzuzebyicCP8ppump", "View")</f>
        <v/>
      </c>
    </row>
    <row r="21">
      <c r="A21" s="20" t="inlineStr">
        <is>
          <t>POTUS</t>
        </is>
      </c>
      <c r="B21" s="21" t="n">
        <v>271620</v>
      </c>
      <c r="C21" s="21" t="n">
        <v>271620</v>
      </c>
      <c r="D21" s="21" t="inlineStr">
        <is>
          <t>0.015030</t>
        </is>
      </c>
      <c r="E21" s="21" t="inlineStr">
        <is>
          <t>0.990 SOL</t>
        </is>
      </c>
      <c r="F21" s="21" t="inlineStr">
        <is>
          <t>1.362 SOL</t>
        </is>
      </c>
      <c r="G21" s="22" t="inlineStr">
        <is>
          <t>0.357 SOL</t>
        </is>
      </c>
      <c r="H21" s="22" t="inlineStr">
        <is>
          <t>35.52%</t>
        </is>
      </c>
      <c r="I21" s="21" t="inlineStr">
        <is>
          <t>N/A</t>
        </is>
      </c>
      <c r="J21" s="21" t="n">
        <v>2</v>
      </c>
      <c r="K21" s="21" t="n">
        <v>1</v>
      </c>
      <c r="L21" s="21" t="inlineStr">
        <is>
          <t>30.10.2024 17:16:36</t>
        </is>
      </c>
      <c r="M21" s="21" t="inlineStr">
        <is>
          <t>38 min</t>
        </is>
      </c>
      <c r="N21" s="21" t="inlineStr">
        <is>
          <t xml:space="preserve">        681K           604K            64K</t>
        </is>
      </c>
      <c r="O21" s="21" t="inlineStr">
        <is>
          <t>Fy4DC1btDJnDtqs7zaEoxTyeZWsGBNPcmnFANFgmpump</t>
        </is>
      </c>
      <c r="P21" s="21">
        <f>HYPERLINK("https://dexscreener.com/solana/Fy4DC1btDJnDtqs7zaEoxTyeZWsGBNPcmnFANFgmpump", "View")</f>
        <v/>
      </c>
    </row>
    <row r="22">
      <c r="A22" s="16" t="inlineStr">
        <is>
          <t>GOP</t>
        </is>
      </c>
      <c r="B22" s="17" t="n">
        <v>65765547</v>
      </c>
      <c r="C22" s="17" t="n">
        <v>65765547</v>
      </c>
      <c r="D22" s="17" t="inlineStr">
        <is>
          <t>0.028630</t>
        </is>
      </c>
      <c r="E22" s="17" t="inlineStr">
        <is>
          <t>4.583 SOL</t>
        </is>
      </c>
      <c r="F22" s="17" t="inlineStr">
        <is>
          <t>13.771 SOL</t>
        </is>
      </c>
      <c r="G22" s="24" t="inlineStr">
        <is>
          <t>9.160 SOL</t>
        </is>
      </c>
      <c r="H22" s="24" t="inlineStr">
        <is>
          <t>198.62%</t>
        </is>
      </c>
      <c r="I22" s="17" t="inlineStr">
        <is>
          <t>N/A</t>
        </is>
      </c>
      <c r="J22" s="17" t="n">
        <v>2</v>
      </c>
      <c r="K22" s="17" t="n">
        <v>4</v>
      </c>
      <c r="L22" s="17" t="inlineStr">
        <is>
          <t>29.10.2024 22:32:04</t>
        </is>
      </c>
      <c r="M22" s="17" t="inlineStr">
        <is>
          <t>34 min</t>
        </is>
      </c>
      <c r="N22" s="17" t="inlineStr">
        <is>
          <t xml:space="preserve">         11K            53K             5K</t>
        </is>
      </c>
      <c r="O22" s="17" t="inlineStr">
        <is>
          <t>m36WDe5v164ZSGz9s2bfBikiWGXzoT9ej8r9xrZpump</t>
        </is>
      </c>
      <c r="P22" s="17">
        <f>HYPERLINK("https://photon-sol.tinyastro.io/en/lp/m36WDe5v164ZSGz9s2bfBikiWGXzoT9ej8r9xrZpump?handle=676050794bc1b1657a56b", "View")</f>
        <v/>
      </c>
    </row>
    <row r="23">
      <c r="A23" s="20" t="inlineStr">
        <is>
          <t>CatDay</t>
        </is>
      </c>
      <c r="B23" s="21" t="n">
        <v>13943518</v>
      </c>
      <c r="C23" s="21" t="n">
        <v>13943517</v>
      </c>
      <c r="D23" s="21" t="inlineStr">
        <is>
          <t>0.000040</t>
        </is>
      </c>
      <c r="E23" s="21" t="inlineStr">
        <is>
          <t>0.510 SOL</t>
        </is>
      </c>
      <c r="F23" s="21" t="inlineStr">
        <is>
          <t>0.480 SOL</t>
        </is>
      </c>
      <c r="G23" s="25" t="inlineStr">
        <is>
          <t>-0.030 SOL</t>
        </is>
      </c>
      <c r="H23" s="25" t="inlineStr">
        <is>
          <t>-5.95%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22:15:14</t>
        </is>
      </c>
      <c r="M23" s="21" t="inlineStr">
        <is>
          <t>42 min</t>
        </is>
      </c>
      <c r="N23" s="21" t="inlineStr">
        <is>
          <t xml:space="preserve">          7K             5K             5K</t>
        </is>
      </c>
      <c r="O23" s="21" t="inlineStr">
        <is>
          <t>FmLppuARC7cAF1A8STg3doJxbvzUgCzCBULL4o1jpump</t>
        </is>
      </c>
      <c r="P23" s="21">
        <f>HYPERLINK("https://photon-sol.tinyastro.io/en/lp/FmLppuARC7cAF1A8STg3doJxbvzUgCzCBULL4o1jpump?handle=676050794bc1b1657a56b", "View")</f>
        <v/>
      </c>
    </row>
    <row r="24">
      <c r="A24" s="16" t="inlineStr">
        <is>
          <t>GWOT</t>
        </is>
      </c>
      <c r="B24" s="17" t="n">
        <v>533323</v>
      </c>
      <c r="C24" s="17" t="n">
        <v>533323</v>
      </c>
      <c r="D24" s="17" t="inlineStr">
        <is>
          <t>0.010020</t>
        </is>
      </c>
      <c r="E24" s="17" t="inlineStr">
        <is>
          <t>0.495 SOL</t>
        </is>
      </c>
      <c r="F24" s="17" t="inlineStr">
        <is>
          <t>0.460 SOL</t>
        </is>
      </c>
      <c r="G24" s="25" t="inlineStr">
        <is>
          <t>-0.045 SOL</t>
        </is>
      </c>
      <c r="H24" s="25" t="inlineStr">
        <is>
          <t>-8.99%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20:31:42</t>
        </is>
      </c>
      <c r="M24" s="17" t="inlineStr">
        <is>
          <t>1 min</t>
        </is>
      </c>
      <c r="N24" s="17" t="inlineStr">
        <is>
          <t xml:space="preserve">        144K           133K            14K</t>
        </is>
      </c>
      <c r="O24" s="17" t="inlineStr">
        <is>
          <t>75gTkoZ1gEJXcA2Qqpqm8bes6QZVTEwnzQ3Xvz5tpump</t>
        </is>
      </c>
      <c r="P24" s="17">
        <f>HYPERLINK("https://dexscreener.com/solana/75gTkoZ1gEJXcA2Qqpqm8bes6QZVTEwnzQ3Xvz5tpump", "View")</f>
        <v/>
      </c>
    </row>
    <row r="25">
      <c r="A25" s="20" t="inlineStr">
        <is>
          <t>SKİTO</t>
        </is>
      </c>
      <c r="B25" s="21" t="n">
        <v>55057</v>
      </c>
      <c r="C25" s="21" t="n">
        <v>55057</v>
      </c>
      <c r="D25" s="21" t="inlineStr">
        <is>
          <t>0.010020</t>
        </is>
      </c>
      <c r="E25" s="21" t="inlineStr">
        <is>
          <t>0.495 SOL</t>
        </is>
      </c>
      <c r="F25" s="21" t="inlineStr">
        <is>
          <t>0.442 SOL</t>
        </is>
      </c>
      <c r="G25" s="25" t="inlineStr">
        <is>
          <t>-0.063 SOL</t>
        </is>
      </c>
      <c r="H25" s="25" t="inlineStr">
        <is>
          <t>-12.39%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18:34:12</t>
        </is>
      </c>
      <c r="M25" s="21" t="inlineStr">
        <is>
          <t>1 min</t>
        </is>
      </c>
      <c r="N25" s="21" t="inlineStr">
        <is>
          <t xml:space="preserve">          2M             1M             7K</t>
        </is>
      </c>
      <c r="O25" s="21" t="inlineStr">
        <is>
          <t>rDGNQh7d1Fb4SHqVdpSiENyNsvdQEVdggnqy1HZpump</t>
        </is>
      </c>
      <c r="P25" s="21">
        <f>HYPERLINK("https://dexscreener.com/solana/rDGNQh7d1Fb4SHqVdpSiENyNsvdQEVdggnqy1HZpump", "View")</f>
        <v/>
      </c>
    </row>
    <row r="26">
      <c r="A26" s="16" t="inlineStr">
        <is>
          <t>HONEY</t>
        </is>
      </c>
      <c r="B26" s="17" t="n">
        <v>411796</v>
      </c>
      <c r="C26" s="17" t="n">
        <v>411796</v>
      </c>
      <c r="D26" s="17" t="inlineStr">
        <is>
          <t>0.010020</t>
        </is>
      </c>
      <c r="E26" s="17" t="inlineStr">
        <is>
          <t>0.495 SOL</t>
        </is>
      </c>
      <c r="F26" s="17" t="inlineStr">
        <is>
          <t>0.424 SOL</t>
        </is>
      </c>
      <c r="G26" s="25" t="inlineStr">
        <is>
          <t>-0.081 SOL</t>
        </is>
      </c>
      <c r="H26" s="25" t="inlineStr">
        <is>
          <t>-16.04%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01:54:01</t>
        </is>
      </c>
      <c r="M26" s="17" t="inlineStr">
        <is>
          <t>2 min</t>
        </is>
      </c>
      <c r="N26" s="17" t="inlineStr">
        <is>
          <t xml:space="preserve">        211K           181K            10K</t>
        </is>
      </c>
      <c r="O26" s="17" t="inlineStr">
        <is>
          <t>265sKc6C7wRcEkuLqzPCWUziHCqsp2Q1gXJo2H9Bpump</t>
        </is>
      </c>
      <c r="P26" s="17">
        <f>HYPERLINK("https://dexscreener.com/solana/265sKc6C7wRcEkuLqzPCWUziHCqsp2Q1gXJo2H9Bpump", "View")</f>
        <v/>
      </c>
    </row>
    <row r="27">
      <c r="A27" s="20" t="inlineStr">
        <is>
          <t>BTCWIZ</t>
        </is>
      </c>
      <c r="B27" s="21" t="n">
        <v>159393</v>
      </c>
      <c r="C27" s="21" t="n">
        <v>159393</v>
      </c>
      <c r="D27" s="21" t="inlineStr">
        <is>
          <t>0.010020</t>
        </is>
      </c>
      <c r="E27" s="21" t="inlineStr">
        <is>
          <t>0.495 SOL</t>
        </is>
      </c>
      <c r="F27" s="21" t="inlineStr">
        <is>
          <t>0.698 SOL</t>
        </is>
      </c>
      <c r="G27" s="22" t="inlineStr">
        <is>
          <t>0.193 SOL</t>
        </is>
      </c>
      <c r="H27" s="22" t="inlineStr">
        <is>
          <t>38.17%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01:51:09</t>
        </is>
      </c>
      <c r="M27" s="21" t="inlineStr">
        <is>
          <t>4 min</t>
        </is>
      </c>
      <c r="N27" s="21" t="inlineStr">
        <is>
          <t xml:space="preserve">        546K           769K           381K</t>
        </is>
      </c>
      <c r="O27" s="21" t="inlineStr">
        <is>
          <t>GiSC3EA7C2kZwESb53cJybcmeRRExM4gqzV5UTz9pump</t>
        </is>
      </c>
      <c r="P27" s="21">
        <f>HYPERLINK("https://dexscreener.com/solana/GiSC3EA7C2kZwESb53cJybcmeRRExM4gqzV5UTz9pump", "View")</f>
        <v/>
      </c>
    </row>
    <row r="28">
      <c r="A28" s="16" t="inlineStr">
        <is>
          <t>TRYME</t>
        </is>
      </c>
      <c r="B28" s="17" t="n">
        <v>387971</v>
      </c>
      <c r="C28" s="17" t="n">
        <v>387971</v>
      </c>
      <c r="D28" s="17" t="inlineStr">
        <is>
          <t>0.010020</t>
        </is>
      </c>
      <c r="E28" s="17" t="inlineStr">
        <is>
          <t>0.495 SOL</t>
        </is>
      </c>
      <c r="F28" s="17" t="inlineStr">
        <is>
          <t>0.882 SOL</t>
        </is>
      </c>
      <c r="G28" s="24" t="inlineStr">
        <is>
          <t>0.377 SOL</t>
        </is>
      </c>
      <c r="H28" s="24" t="inlineStr">
        <is>
          <t>74.57%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28.10.2024 20:58:08</t>
        </is>
      </c>
      <c r="M28" s="17" t="inlineStr">
        <is>
          <t>5 min</t>
        </is>
      </c>
      <c r="N28" s="17" t="inlineStr">
        <is>
          <t xml:space="preserve">        219K           388K             4K</t>
        </is>
      </c>
      <c r="O28" s="17" t="inlineStr">
        <is>
          <t>tryQjsPTaCLFHztMVmfrW11x5i5LzwHCDceriHVCxYw</t>
        </is>
      </c>
      <c r="P28" s="17">
        <f>HYPERLINK("https://dexscreener.com/solana/tryQjsPTaCLFHztMVmfrW11x5i5LzwHCDceriHVCxYw", "View")</f>
        <v/>
      </c>
    </row>
    <row r="29">
      <c r="A29" s="20" t="inlineStr">
        <is>
          <t>BTC-Chan</t>
        </is>
      </c>
      <c r="B29" s="21" t="n">
        <v>238479</v>
      </c>
      <c r="C29" s="21" t="n">
        <v>238479</v>
      </c>
      <c r="D29" s="21" t="inlineStr">
        <is>
          <t>0.010020</t>
        </is>
      </c>
      <c r="E29" s="21" t="inlineStr">
        <is>
          <t>0.495 SOL</t>
        </is>
      </c>
      <c r="F29" s="21" t="inlineStr">
        <is>
          <t>0.932 SOL</t>
        </is>
      </c>
      <c r="G29" s="24" t="inlineStr">
        <is>
          <t>0.427 SOL</t>
        </is>
      </c>
      <c r="H29" s="24" t="inlineStr">
        <is>
          <t>84.52%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28.10.2024 20:15:56</t>
        </is>
      </c>
      <c r="M29" s="21" t="inlineStr">
        <is>
          <t>3 min</t>
        </is>
      </c>
      <c r="N29" s="21" t="inlineStr">
        <is>
          <t xml:space="preserve">        361K           679K            64K</t>
        </is>
      </c>
      <c r="O29" s="21" t="inlineStr">
        <is>
          <t>GSxmz5QR42Btg691U8gpDiRRpFmpBrJ6xdCHLcJSpump</t>
        </is>
      </c>
      <c r="P29" s="21">
        <f>HYPERLINK("https://dexscreener.com/solana/GSxmz5QR42Btg691U8gpDiRRpFmpBrJ6xdCHLcJSpump", "View")</f>
        <v/>
      </c>
    </row>
    <row r="30">
      <c r="A30" s="16" t="inlineStr">
        <is>
          <t>POPGOAT</t>
        </is>
      </c>
      <c r="B30" s="17" t="n">
        <v>216634</v>
      </c>
      <c r="C30" s="17" t="n">
        <v>216634</v>
      </c>
      <c r="D30" s="17" t="inlineStr">
        <is>
          <t>0.010020</t>
        </is>
      </c>
      <c r="E30" s="17" t="inlineStr">
        <is>
          <t>0.495 SOL</t>
        </is>
      </c>
      <c r="F30" s="17" t="inlineStr">
        <is>
          <t>0.566 SOL</t>
        </is>
      </c>
      <c r="G30" s="22" t="inlineStr">
        <is>
          <t>0.060 SOL</t>
        </is>
      </c>
      <c r="H30" s="22" t="inlineStr">
        <is>
          <t>11.98%</t>
        </is>
      </c>
      <c r="I30" s="17" t="inlineStr">
        <is>
          <t>N/A</t>
        </is>
      </c>
      <c r="J30" s="17" t="n">
        <v>1</v>
      </c>
      <c r="K30" s="17" t="n">
        <v>1</v>
      </c>
      <c r="L30" s="17" t="inlineStr">
        <is>
          <t>27.10.2024 17:15:26</t>
        </is>
      </c>
      <c r="M30" s="17" t="inlineStr">
        <is>
          <t>10 min</t>
        </is>
      </c>
      <c r="N30" s="17" t="inlineStr">
        <is>
          <t xml:space="preserve">        400K           458K           449K</t>
        </is>
      </c>
      <c r="O30" s="17" t="inlineStr">
        <is>
          <t>DtWz93pDUZe5cYqBFmZjXq1wzZqZPygCeox5d3ajpump</t>
        </is>
      </c>
      <c r="P30" s="17">
        <f>HYPERLINK("https://dexscreener.com/solana/DtWz93pDUZe5cYqBFmZjXq1wzZqZPygCeox5d3ajpump", "View")</f>
        <v/>
      </c>
    </row>
    <row r="31">
      <c r="A31" s="20" t="inlineStr">
        <is>
          <t>REUBEN</t>
        </is>
      </c>
      <c r="B31" s="21" t="n">
        <v>2004318</v>
      </c>
      <c r="C31" s="21" t="n">
        <v>2004318</v>
      </c>
      <c r="D31" s="21" t="inlineStr">
        <is>
          <t>0.020040</t>
        </is>
      </c>
      <c r="E31" s="21" t="inlineStr">
        <is>
          <t>1.485 SOL</t>
        </is>
      </c>
      <c r="F31" s="21" t="inlineStr">
        <is>
          <t>1.167 SOL</t>
        </is>
      </c>
      <c r="G31" s="25" t="inlineStr">
        <is>
          <t>-0.338 SOL</t>
        </is>
      </c>
      <c r="H31" s="25" t="inlineStr">
        <is>
          <t>-22.48%</t>
        </is>
      </c>
      <c r="I31" s="21" t="inlineStr">
        <is>
          <t>N/A</t>
        </is>
      </c>
      <c r="J31" s="21" t="n">
        <v>2</v>
      </c>
      <c r="K31" s="21" t="n">
        <v>2</v>
      </c>
      <c r="L31" s="21" t="inlineStr">
        <is>
          <t>26.10.2024 20:00:07</t>
        </is>
      </c>
      <c r="M31" s="21" t="inlineStr">
        <is>
          <t>40 min</t>
        </is>
      </c>
      <c r="N31" s="21" t="inlineStr">
        <is>
          <t xml:space="preserve">        146K           115K             9K</t>
        </is>
      </c>
      <c r="O31" s="21" t="inlineStr">
        <is>
          <t>J3TdiHoqmf8YERR615BFaFDm6tPCLS47VdtPQEA2pump</t>
        </is>
      </c>
      <c r="P31" s="21">
        <f>HYPERLINK("https://dexscreener.com/solana/J3TdiHoqmf8YERR615BFaFDm6tPCLS47VdtPQEA2pump", "View")</f>
        <v/>
      </c>
    </row>
    <row r="32">
      <c r="A32" s="16" t="inlineStr">
        <is>
          <t>minecraft</t>
        </is>
      </c>
      <c r="B32" s="17" t="n">
        <v>360948</v>
      </c>
      <c r="C32" s="17" t="n">
        <v>360948</v>
      </c>
      <c r="D32" s="17" t="inlineStr">
        <is>
          <t>0.010020</t>
        </is>
      </c>
      <c r="E32" s="17" t="inlineStr">
        <is>
          <t>0.495 SOL</t>
        </is>
      </c>
      <c r="F32" s="17" t="inlineStr">
        <is>
          <t>0.573 SOL</t>
        </is>
      </c>
      <c r="G32" s="22" t="inlineStr">
        <is>
          <t>0.068 SOL</t>
        </is>
      </c>
      <c r="H32" s="22" t="inlineStr">
        <is>
          <t>13.47%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26.10.2024 19:21:28</t>
        </is>
      </c>
      <c r="M32" s="17" t="inlineStr">
        <is>
          <t>2 min</t>
        </is>
      </c>
      <c r="N32" s="17" t="inlineStr">
        <is>
          <t xml:space="preserve">        241K           279K            57K</t>
        </is>
      </c>
      <c r="O32" s="17" t="inlineStr">
        <is>
          <t>4KbbSacSGPBxs1JH7YH8dUERh1NQNJQytJUCnt5mxHyo</t>
        </is>
      </c>
      <c r="P32" s="17">
        <f>HYPERLINK("https://dexscreener.com/solana/4KbbSacSGPBxs1JH7YH8dUERh1NQNJQytJUCnt5mxHyo", "View")</f>
        <v/>
      </c>
    </row>
    <row r="33">
      <c r="A33" s="20" t="inlineStr">
        <is>
          <t>dream</t>
        </is>
      </c>
      <c r="B33" s="21" t="n">
        <v>2981368</v>
      </c>
      <c r="C33" s="21" t="n">
        <v>2981368</v>
      </c>
      <c r="D33" s="21" t="inlineStr">
        <is>
          <t>0.008590</t>
        </is>
      </c>
      <c r="E33" s="21" t="inlineStr">
        <is>
          <t>0.558 SOL</t>
        </is>
      </c>
      <c r="F33" s="21" t="inlineStr">
        <is>
          <t>0.422 SOL</t>
        </is>
      </c>
      <c r="G33" s="25" t="inlineStr">
        <is>
          <t>-0.144 SOL</t>
        </is>
      </c>
      <c r="H33" s="25" t="inlineStr">
        <is>
          <t>-25.51%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26.10.2024 18:47:43</t>
        </is>
      </c>
      <c r="M33" s="21" t="inlineStr">
        <is>
          <t>3 min</t>
        </is>
      </c>
      <c r="N33" s="21" t="inlineStr">
        <is>
          <t xml:space="preserve">         33K            33K             5K</t>
        </is>
      </c>
      <c r="O33" s="21" t="inlineStr">
        <is>
          <t>9VVzNh1ZBV92nnkoGdt7Er8j8689J8DWHkUjTR3Wpump</t>
        </is>
      </c>
      <c r="P33" s="21">
        <f>HYPERLINK("https://photon-sol.tinyastro.io/en/lp/9VVzNh1ZBV92nnkoGdt7Er8j8689J8DWHkUjTR3Wpump?handle=676050794bc1b1657a56b", "View")</f>
        <v/>
      </c>
    </row>
    <row r="34">
      <c r="A34" s="16" t="inlineStr">
        <is>
          <t>ETH</t>
        </is>
      </c>
      <c r="B34" s="17" t="n">
        <v>212892</v>
      </c>
      <c r="C34" s="17" t="n">
        <v>212892</v>
      </c>
      <c r="D34" s="17" t="inlineStr">
        <is>
          <t>0.010020</t>
        </is>
      </c>
      <c r="E34" s="17" t="inlineStr">
        <is>
          <t>0.495 SOL</t>
        </is>
      </c>
      <c r="F34" s="17" t="inlineStr">
        <is>
          <t>0.415 SOL</t>
        </is>
      </c>
      <c r="G34" s="25" t="inlineStr">
        <is>
          <t>-0.090 SOL</t>
        </is>
      </c>
      <c r="H34" s="25" t="inlineStr">
        <is>
          <t>-17.90%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26.10.2024 01:51:21</t>
        </is>
      </c>
      <c r="M34" s="17" t="inlineStr">
        <is>
          <t>4 min</t>
        </is>
      </c>
      <c r="N34" s="17" t="inlineStr">
        <is>
          <t xml:space="preserve">        409K           343K           823K</t>
        </is>
      </c>
      <c r="O34" s="17" t="inlineStr">
        <is>
          <t>2kaRSuDcz1V1kqq1sDmP23Wy98jutHQQgr5fGDWRpump</t>
        </is>
      </c>
      <c r="P34" s="17">
        <f>HYPERLINK("https://dexscreener.com/solana/2kaRSuDcz1V1kqq1sDmP23Wy98jutHQQgr5fGDWRpump", "View")</f>
        <v/>
      </c>
    </row>
    <row r="35">
      <c r="A35" s="20" t="inlineStr">
        <is>
          <t>pig</t>
        </is>
      </c>
      <c r="B35" s="21" t="n">
        <v>40722</v>
      </c>
      <c r="C35" s="21" t="n">
        <v>40722</v>
      </c>
      <c r="D35" s="21" t="inlineStr">
        <is>
          <t>0.010020</t>
        </is>
      </c>
      <c r="E35" s="21" t="inlineStr">
        <is>
          <t>0.198 SOL</t>
        </is>
      </c>
      <c r="F35" s="21" t="inlineStr">
        <is>
          <t>0.245 SOL</t>
        </is>
      </c>
      <c r="G35" s="22" t="inlineStr">
        <is>
          <t>0.037 SOL</t>
        </is>
      </c>
      <c r="H35" s="22" t="inlineStr">
        <is>
          <t>17.64%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26.10.2024 01:01:48</t>
        </is>
      </c>
      <c r="M35" s="21" t="inlineStr">
        <is>
          <t>2 min</t>
        </is>
      </c>
      <c r="N35" s="21" t="inlineStr">
        <is>
          <t xml:space="preserve">        817K             1M           332K</t>
        </is>
      </c>
      <c r="O35" s="21" t="inlineStr">
        <is>
          <t>CXfErCqD2ufoZZ7791sRetSiMkeFSH6oKAjW7ERdpump</t>
        </is>
      </c>
      <c r="P35" s="21">
        <f>HYPERLINK("https://dexscreener.com/solana/CXfErCqD2ufoZZ7791sRetSiMkeFSH6oKAjW7ERdpump", "View")</f>
        <v/>
      </c>
    </row>
    <row r="36">
      <c r="A36" s="16" t="inlineStr">
        <is>
          <t>YUMEKO</t>
        </is>
      </c>
      <c r="B36" s="17" t="n">
        <v>4642605</v>
      </c>
      <c r="C36" s="17" t="n">
        <v>4642605</v>
      </c>
      <c r="D36" s="17" t="inlineStr">
        <is>
          <t>0.015030</t>
        </is>
      </c>
      <c r="E36" s="17" t="inlineStr">
        <is>
          <t>3.960 SOL</t>
        </is>
      </c>
      <c r="F36" s="17" t="inlineStr">
        <is>
          <t>2.086 SOL</t>
        </is>
      </c>
      <c r="G36" s="25" t="inlineStr">
        <is>
          <t>-1.889 SOL</t>
        </is>
      </c>
      <c r="H36" s="25" t="inlineStr">
        <is>
          <t>-47.52%</t>
        </is>
      </c>
      <c r="I36" s="17" t="inlineStr">
        <is>
          <t>N/A</t>
        </is>
      </c>
      <c r="J36" s="17" t="n">
        <v>2</v>
      </c>
      <c r="K36" s="17" t="n">
        <v>1</v>
      </c>
      <c r="L36" s="17" t="inlineStr">
        <is>
          <t>25.10.2024 15:47:42</t>
        </is>
      </c>
      <c r="M36" s="17" t="inlineStr">
        <is>
          <t>30 min</t>
        </is>
      </c>
      <c r="N36" s="17" t="inlineStr">
        <is>
          <t xml:space="preserve">        147K            79K             4K</t>
        </is>
      </c>
      <c r="O36" s="17" t="inlineStr">
        <is>
          <t>3mZhaLTQH7iYEoKxKYkiHJQA2iQL74uyvkF5PSNEpump</t>
        </is>
      </c>
      <c r="P36" s="17">
        <f>HYPERLINK("https://dexscreener.com/solana/3mZhaLTQH7iYEoKxKYkiHJQA2iQL74uyvkF5PSNEpump", "View")</f>
        <v/>
      </c>
    </row>
    <row r="37">
      <c r="A37" s="20" t="inlineStr">
        <is>
          <t>GOAT</t>
        </is>
      </c>
      <c r="B37" s="21" t="n">
        <v>777225</v>
      </c>
      <c r="C37" s="21" t="n">
        <v>777225</v>
      </c>
      <c r="D37" s="21" t="inlineStr">
        <is>
          <t>0.015030</t>
        </is>
      </c>
      <c r="E37" s="21" t="inlineStr">
        <is>
          <t>0.990 SOL</t>
        </is>
      </c>
      <c r="F37" s="21" t="inlineStr">
        <is>
          <t>1.631 SOL</t>
        </is>
      </c>
      <c r="G37" s="24" t="inlineStr">
        <is>
          <t>0.626 SOL</t>
        </is>
      </c>
      <c r="H37" s="24" t="inlineStr">
        <is>
          <t>62.27%</t>
        </is>
      </c>
      <c r="I37" s="21" t="inlineStr">
        <is>
          <t>N/A</t>
        </is>
      </c>
      <c r="J37" s="21" t="n">
        <v>2</v>
      </c>
      <c r="K37" s="21" t="n">
        <v>1</v>
      </c>
      <c r="L37" s="21" t="inlineStr">
        <is>
          <t>24.10.2024 17:12:47</t>
        </is>
      </c>
      <c r="M37" s="21" t="inlineStr">
        <is>
          <t>15 min</t>
        </is>
      </c>
      <c r="N37" s="21" t="inlineStr">
        <is>
          <t xml:space="preserve">        256K           198K             5K</t>
        </is>
      </c>
      <c r="O37" s="21" t="inlineStr">
        <is>
          <t>B6fSL8sMoAGKJEafNbKsGsV9KuiKCmaFZrGLX26Zpump</t>
        </is>
      </c>
      <c r="P37" s="21">
        <f>HYPERLINK("https://dexscreener.com/solana/B6fSL8sMoAGKJEafNbKsGsV9KuiKCmaFZrGLX26Zpump", "View")</f>
        <v/>
      </c>
    </row>
    <row r="38">
      <c r="A38" s="16" t="inlineStr">
        <is>
          <t>meolloween</t>
        </is>
      </c>
      <c r="B38" s="17" t="n">
        <v>608344</v>
      </c>
      <c r="C38" s="17" t="n">
        <v>608344</v>
      </c>
      <c r="D38" s="17" t="inlineStr">
        <is>
          <t>0.015030</t>
        </is>
      </c>
      <c r="E38" s="17" t="inlineStr">
        <is>
          <t>0.990 SOL</t>
        </is>
      </c>
      <c r="F38" s="17" t="inlineStr">
        <is>
          <t>1.698 SOL</t>
        </is>
      </c>
      <c r="G38" s="24" t="inlineStr">
        <is>
          <t>0.693 SOL</t>
        </is>
      </c>
      <c r="H38" s="24" t="inlineStr">
        <is>
          <t>68.93%</t>
        </is>
      </c>
      <c r="I38" s="17" t="inlineStr">
        <is>
          <t>N/A</t>
        </is>
      </c>
      <c r="J38" s="17" t="n">
        <v>2</v>
      </c>
      <c r="K38" s="17" t="n">
        <v>1</v>
      </c>
      <c r="L38" s="17" t="inlineStr">
        <is>
          <t>24.10.2024 00:51:44</t>
        </is>
      </c>
      <c r="M38" s="17" t="inlineStr">
        <is>
          <t>9 min</t>
        </is>
      </c>
      <c r="N38" s="17" t="inlineStr">
        <is>
          <t xml:space="preserve">        316K           490K            23K</t>
        </is>
      </c>
      <c r="O38" s="17" t="inlineStr">
        <is>
          <t>GkCQFumKUjvj7Riyfispn2my8b86J4jEuatT9z7apump</t>
        </is>
      </c>
      <c r="P38" s="17">
        <f>HYPERLINK("https://dexscreener.com/solana/GkCQFumKUjvj7Riyfispn2my8b86J4jEuatT9z7apump", "View")</f>
        <v/>
      </c>
    </row>
    <row r="39">
      <c r="A39" s="20" t="inlineStr">
        <is>
          <t>exo</t>
        </is>
      </c>
      <c r="B39" s="21" t="n">
        <v>172768</v>
      </c>
      <c r="C39" s="21" t="n">
        <v>172768</v>
      </c>
      <c r="D39" s="21" t="inlineStr">
        <is>
          <t>0.010020</t>
        </is>
      </c>
      <c r="E39" s="21" t="inlineStr">
        <is>
          <t>0.495 SOL</t>
        </is>
      </c>
      <c r="F39" s="21" t="inlineStr">
        <is>
          <t>0.427 SOL</t>
        </is>
      </c>
      <c r="G39" s="25" t="inlineStr">
        <is>
          <t>-0.078 SOL</t>
        </is>
      </c>
      <c r="H39" s="25" t="inlineStr">
        <is>
          <t>-15.46%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23.10.2024 20:27:07</t>
        </is>
      </c>
      <c r="M39" s="19" t="inlineStr">
        <is>
          <t>39 sec</t>
        </is>
      </c>
      <c r="N39" s="21" t="inlineStr">
        <is>
          <t xml:space="preserve">        504K           434K            25K</t>
        </is>
      </c>
      <c r="O39" s="21" t="inlineStr">
        <is>
          <t>26LDHcthoC5jeQtYJFyRJ14yFVYqwsrMDznAUhWepump</t>
        </is>
      </c>
      <c r="P39" s="21">
        <f>HYPERLINK("https://dexscreener.com/solana/26LDHcthoC5jeQtYJFyRJ14yFVYqwsrMDznAUhWepump", "View")</f>
        <v/>
      </c>
    </row>
    <row r="40">
      <c r="A40" s="16" t="inlineStr">
        <is>
          <t>PSTAR</t>
        </is>
      </c>
      <c r="B40" s="17" t="n">
        <v>259080</v>
      </c>
      <c r="C40" s="17" t="n">
        <v>259080</v>
      </c>
      <c r="D40" s="17" t="inlineStr">
        <is>
          <t>0.020040</t>
        </is>
      </c>
      <c r="E40" s="17" t="inlineStr">
        <is>
          <t>9.900 SOL</t>
        </is>
      </c>
      <c r="F40" s="17" t="inlineStr">
        <is>
          <t>4.863 SOL</t>
        </is>
      </c>
      <c r="G40" s="23" t="inlineStr">
        <is>
          <t>-5.057 SOL</t>
        </is>
      </c>
      <c r="H40" s="23" t="inlineStr">
        <is>
          <t>-50.98%</t>
        </is>
      </c>
      <c r="I40" s="17" t="inlineStr">
        <is>
          <t>N/A</t>
        </is>
      </c>
      <c r="J40" s="17" t="n">
        <v>2</v>
      </c>
      <c r="K40" s="17" t="n">
        <v>2</v>
      </c>
      <c r="L40" s="17" t="inlineStr">
        <is>
          <t>23.10.2024 18:57:42</t>
        </is>
      </c>
      <c r="M40" s="17" t="inlineStr">
        <is>
          <t>1 hours</t>
        </is>
      </c>
      <c r="N40" s="17" t="inlineStr">
        <is>
          <t xml:space="preserve">          9M             5M            35K</t>
        </is>
      </c>
      <c r="O40" s="17" t="inlineStr">
        <is>
          <t>8Z2h8VsYqUoExZNwrtGQ1LQiHru6nnUsPSpvCwNapump</t>
        </is>
      </c>
      <c r="P40" s="17">
        <f>HYPERLINK("https://dexscreener.com/solana/8Z2h8VsYqUoExZNwrtGQ1LQiHru6nnUsPSpvCwNapump", "View")</f>
        <v/>
      </c>
    </row>
    <row r="41">
      <c r="A41" s="20" t="inlineStr">
        <is>
          <t>BARRY</t>
        </is>
      </c>
      <c r="B41" s="21" t="n">
        <v>5294508</v>
      </c>
      <c r="C41" s="21" t="n">
        <v>5294508</v>
      </c>
      <c r="D41" s="21" t="inlineStr">
        <is>
          <t>0.008590</t>
        </is>
      </c>
      <c r="E41" s="21" t="inlineStr">
        <is>
          <t>0.528 SOL</t>
        </is>
      </c>
      <c r="F41" s="21" t="inlineStr">
        <is>
          <t>0.538 SOL</t>
        </is>
      </c>
      <c r="G41" s="22" t="inlineStr">
        <is>
          <t>0.002 SOL</t>
        </is>
      </c>
      <c r="H41" s="22" t="inlineStr">
        <is>
          <t>0.37%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22.10.2024 22:52:13</t>
        </is>
      </c>
      <c r="M41" s="21" t="inlineStr">
        <is>
          <t>1 min</t>
        </is>
      </c>
      <c r="N41" s="21" t="inlineStr">
        <is>
          <t xml:space="preserve">         18K            18K             6K</t>
        </is>
      </c>
      <c r="O41" s="21" t="inlineStr">
        <is>
          <t>CPebkBHRy1GUuLVkVp5H2Nuy5o5Gkup5rauM6g1Bpump</t>
        </is>
      </c>
      <c r="P41" s="21">
        <f>HYPERLINK("https://photon-sol.tinyastro.io/en/lp/CPebkBHRy1GUuLVkVp5H2Nuy5o5Gkup5rauM6g1Bpump?handle=676050794bc1b1657a56b", "View")</f>
        <v/>
      </c>
    </row>
    <row r="42">
      <c r="A42" s="16" t="inlineStr">
        <is>
          <t>GOO</t>
        </is>
      </c>
      <c r="B42" s="17" t="n">
        <v>33401729</v>
      </c>
      <c r="C42" s="17" t="n">
        <v>33401729</v>
      </c>
      <c r="D42" s="17" t="inlineStr">
        <is>
          <t>0.033640</t>
        </is>
      </c>
      <c r="E42" s="17" t="inlineStr">
        <is>
          <t>5.618 SOL</t>
        </is>
      </c>
      <c r="F42" s="17" t="inlineStr">
        <is>
          <t>46.880 SOL</t>
        </is>
      </c>
      <c r="G42" s="24" t="inlineStr">
        <is>
          <t>41.228 SOL</t>
        </is>
      </c>
      <c r="H42" s="24" t="inlineStr">
        <is>
          <t>729.46%</t>
        </is>
      </c>
      <c r="I42" s="17" t="inlineStr">
        <is>
          <t>N/A</t>
        </is>
      </c>
      <c r="J42" s="17" t="n">
        <v>1</v>
      </c>
      <c r="K42" s="17" t="n">
        <v>6</v>
      </c>
      <c r="L42" s="17" t="inlineStr">
        <is>
          <t>22.10.2024 21:57:18</t>
        </is>
      </c>
      <c r="M42" s="17" t="inlineStr">
        <is>
          <t>33 min</t>
        </is>
      </c>
      <c r="N42" s="17" t="inlineStr">
        <is>
          <t xml:space="preserve">         30K           176K             5K</t>
        </is>
      </c>
      <c r="O42" s="17" t="inlineStr">
        <is>
          <t>39GvGUQpNGf9Hm9rJvAxTTJmLpr5FL2PK6o7fPX7pump</t>
        </is>
      </c>
      <c r="P42" s="17">
        <f>HYPERLINK("https://photon-sol.tinyastro.io/en/lp/39GvGUQpNGf9Hm9rJvAxTTJmLpr5FL2PK6o7fPX7pump?handle=676050794bc1b1657a56b", "View")</f>
        <v/>
      </c>
    </row>
    <row r="43">
      <c r="A43" s="20" t="inlineStr">
        <is>
          <t>MEIZHU</t>
        </is>
      </c>
      <c r="B43" s="21" t="n">
        <v>12757011</v>
      </c>
      <c r="C43" s="21" t="n">
        <v>12757011</v>
      </c>
      <c r="D43" s="21" t="inlineStr">
        <is>
          <t>0.005430</t>
        </is>
      </c>
      <c r="E43" s="21" t="inlineStr">
        <is>
          <t>0.510 SOL</t>
        </is>
      </c>
      <c r="F43" s="21" t="inlineStr">
        <is>
          <t>0.708 SOL</t>
        </is>
      </c>
      <c r="G43" s="22" t="inlineStr">
        <is>
          <t>0.192 SOL</t>
        </is>
      </c>
      <c r="H43" s="22" t="inlineStr">
        <is>
          <t>37.30%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22.10.2024 17:14:23</t>
        </is>
      </c>
      <c r="M43" s="21" t="inlineStr">
        <is>
          <t>5 min</t>
        </is>
      </c>
      <c r="N43" s="21" t="inlineStr">
        <is>
          <t xml:space="preserve">          7K            11K             6K</t>
        </is>
      </c>
      <c r="O43" s="21" t="inlineStr">
        <is>
          <t>2S5UySFN9VKZptYBx9PR9VkkhJybTJeDLM9TULzBpump</t>
        </is>
      </c>
      <c r="P43" s="21">
        <f>HYPERLINK("https://photon-sol.tinyastro.io/en/lp/2S5UySFN9VKZptYBx9PR9VkkhJybTJeDLM9TULzBpump?handle=676050794bc1b1657a56b", "View")</f>
        <v/>
      </c>
    </row>
    <row r="44">
      <c r="A44" s="16" t="inlineStr">
        <is>
          <t>MEMECORE</t>
        </is>
      </c>
      <c r="B44" s="17" t="n">
        <v>237127</v>
      </c>
      <c r="C44" s="17" t="n">
        <v>237127</v>
      </c>
      <c r="D44" s="17" t="inlineStr">
        <is>
          <t>0.010020</t>
        </is>
      </c>
      <c r="E44" s="17" t="inlineStr">
        <is>
          <t>0.495 SOL</t>
        </is>
      </c>
      <c r="F44" s="17" t="inlineStr">
        <is>
          <t>0.466 SOL</t>
        </is>
      </c>
      <c r="G44" s="25" t="inlineStr">
        <is>
          <t>-0.039 SOL</t>
        </is>
      </c>
      <c r="H44" s="25" t="inlineStr">
        <is>
          <t>-7.69%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22.10.2024 00:24:33</t>
        </is>
      </c>
      <c r="M44" s="17" t="inlineStr">
        <is>
          <t>5 min</t>
        </is>
      </c>
      <c r="N44" s="17" t="inlineStr">
        <is>
          <t xml:space="preserve">        367K           346K            30K</t>
        </is>
      </c>
      <c r="O44" s="17" t="inlineStr">
        <is>
          <t>GpLF6vGzZvn2ZPdVxP7m1LTuAndbiKrpAbnFNVSEpump</t>
        </is>
      </c>
      <c r="P44" s="17">
        <f>HYPERLINK("https://dexscreener.com/solana/GpLF6vGzZvn2ZPdVxP7m1LTuAndbiKrpAbnFNVSEpump", "View")</f>
        <v/>
      </c>
    </row>
    <row r="45">
      <c r="A45" s="20" t="inlineStr">
        <is>
          <t>DOGEY</t>
        </is>
      </c>
      <c r="B45" s="21" t="n">
        <v>207077</v>
      </c>
      <c r="C45" s="21" t="n">
        <v>207077</v>
      </c>
      <c r="D45" s="21" t="inlineStr">
        <is>
          <t>0.010020</t>
        </is>
      </c>
      <c r="E45" s="21" t="inlineStr">
        <is>
          <t>0.495 SOL</t>
        </is>
      </c>
      <c r="F45" s="21" t="inlineStr">
        <is>
          <t>0.452 SOL</t>
        </is>
      </c>
      <c r="G45" s="25" t="inlineStr">
        <is>
          <t>-0.053 SOL</t>
        </is>
      </c>
      <c r="H45" s="25" t="inlineStr">
        <is>
          <t>-10.50%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21.10.2024 23:39:30</t>
        </is>
      </c>
      <c r="M45" s="21" t="inlineStr">
        <is>
          <t>5 min</t>
        </is>
      </c>
      <c r="N45" s="21" t="inlineStr">
        <is>
          <t xml:space="preserve">        420K           383K             5K</t>
        </is>
      </c>
      <c r="O45" s="21" t="inlineStr">
        <is>
          <t>rRj71UGE6RDHpS3hiPij7yGgipzGtGj1XWVjkv9pump</t>
        </is>
      </c>
      <c r="P45" s="21">
        <f>HYPERLINK("https://dexscreener.com/solana/rRj71UGE6RDHpS3hiPij7yGgipzGtGj1XWVjkv9pump", "View")</f>
        <v/>
      </c>
    </row>
    <row r="46">
      <c r="A46" s="16" t="inlineStr">
        <is>
          <t>WMM</t>
        </is>
      </c>
      <c r="B46" s="17" t="n">
        <v>96426</v>
      </c>
      <c r="C46" s="17" t="n">
        <v>96426</v>
      </c>
      <c r="D46" s="17" t="inlineStr">
        <is>
          <t>0.010020</t>
        </is>
      </c>
      <c r="E46" s="17" t="inlineStr">
        <is>
          <t>0.495 SOL</t>
        </is>
      </c>
      <c r="F46" s="17" t="inlineStr">
        <is>
          <t>0.946 SOL</t>
        </is>
      </c>
      <c r="G46" s="24" t="inlineStr">
        <is>
          <t>0.441 SOL</t>
        </is>
      </c>
      <c r="H46" s="24" t="inlineStr">
        <is>
          <t>87.30%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21.10.2024 21:51:10</t>
        </is>
      </c>
      <c r="M46" s="17" t="inlineStr">
        <is>
          <t>21 min</t>
        </is>
      </c>
      <c r="N46" s="17" t="inlineStr">
        <is>
          <t xml:space="preserve">        901K             2M             4M</t>
        </is>
      </c>
      <c r="O46" s="17" t="inlineStr">
        <is>
          <t>9pWPUXoZKWNPWyaegPQeR3Kn8aFz9nrGtm5jeAFzpump</t>
        </is>
      </c>
      <c r="P46" s="17">
        <f>HYPERLINK("https://dexscreener.com/solana/9pWPUXoZKWNPWyaegPQeR3Kn8aFz9nrGtm5jeAFzpump", "View")</f>
        <v/>
      </c>
    </row>
    <row r="47">
      <c r="A47" s="20" t="inlineStr">
        <is>
          <t>STAN</t>
        </is>
      </c>
      <c r="B47" s="21" t="n">
        <v>499696</v>
      </c>
      <c r="C47" s="21" t="n">
        <v>499696</v>
      </c>
      <c r="D47" s="21" t="inlineStr">
        <is>
          <t>0.010020</t>
        </is>
      </c>
      <c r="E47" s="21" t="inlineStr">
        <is>
          <t>0.495 SOL</t>
        </is>
      </c>
      <c r="F47" s="21" t="inlineStr">
        <is>
          <t>0.853 SOL</t>
        </is>
      </c>
      <c r="G47" s="24" t="inlineStr">
        <is>
          <t>0.348 SOL</t>
        </is>
      </c>
      <c r="H47" s="24" t="inlineStr">
        <is>
          <t>69.00%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21.10.2024 15:39:32</t>
        </is>
      </c>
      <c r="M47" s="21" t="inlineStr">
        <is>
          <t>21 min</t>
        </is>
      </c>
      <c r="N47" s="21" t="inlineStr">
        <is>
          <t xml:space="preserve">        174K           300K             4K</t>
        </is>
      </c>
      <c r="O47" s="21" t="inlineStr">
        <is>
          <t>EsMJ78uXg6Aj4rBKgHN5L9Xcxah4FNyGjr3uLQb3pump</t>
        </is>
      </c>
      <c r="P47" s="21">
        <f>HYPERLINK("https://dexscreener.com/solana/EsMJ78uXg6Aj4rBKgHN5L9Xcxah4FNyGjr3uLQb3pump", "View")</f>
        <v/>
      </c>
    </row>
    <row r="48">
      <c r="A48" s="16" t="inlineStr">
        <is>
          <t>DOGBF</t>
        </is>
      </c>
      <c r="B48" s="17" t="n">
        <v>9277450</v>
      </c>
      <c r="C48" s="17" t="n">
        <v>9277450</v>
      </c>
      <c r="D48" s="17" t="inlineStr">
        <is>
          <t>0.013600</t>
        </is>
      </c>
      <c r="E48" s="17" t="inlineStr">
        <is>
          <t>0.314 SOL</t>
        </is>
      </c>
      <c r="F48" s="17" t="inlineStr">
        <is>
          <t>0.311 SOL</t>
        </is>
      </c>
      <c r="G48" s="25" t="inlineStr">
        <is>
          <t>-0.017 SOL</t>
        </is>
      </c>
      <c r="H48" s="25" t="inlineStr">
        <is>
          <t>-5.12%</t>
        </is>
      </c>
      <c r="I48" s="17" t="inlineStr">
        <is>
          <t>N/A</t>
        </is>
      </c>
      <c r="J48" s="17" t="n">
        <v>1</v>
      </c>
      <c r="K48" s="17" t="n">
        <v>2</v>
      </c>
      <c r="L48" s="17" t="inlineStr">
        <is>
          <t>20.10.2024 22:19:51</t>
        </is>
      </c>
      <c r="M48" s="17" t="inlineStr">
        <is>
          <t>8 hours</t>
        </is>
      </c>
      <c r="N48" s="17" t="inlineStr">
        <is>
          <t xml:space="preserve">          5K             9K             5K</t>
        </is>
      </c>
      <c r="O48" s="17" t="inlineStr">
        <is>
          <t>DotVA9HhgQD4vhuAG3hjDJdrnwuuaJFYMkEFzgZypump</t>
        </is>
      </c>
      <c r="P48" s="17">
        <f>HYPERLINK("https://photon-sol.tinyastro.io/en/lp/DotVA9HhgQD4vhuAG3hjDJdrnwuuaJFYMkEFzgZypump?handle=676050794bc1b1657a56b", "View")</f>
        <v/>
      </c>
    </row>
    <row r="49">
      <c r="A49" s="20" t="inlineStr">
        <is>
          <t>CORA</t>
        </is>
      </c>
      <c r="B49" s="21" t="n">
        <v>947369</v>
      </c>
      <c r="C49" s="21" t="n">
        <v>947369</v>
      </c>
      <c r="D49" s="21" t="inlineStr">
        <is>
          <t>0.010020</t>
        </is>
      </c>
      <c r="E49" s="21" t="inlineStr">
        <is>
          <t>0.495 SOL</t>
        </is>
      </c>
      <c r="F49" s="21" t="inlineStr">
        <is>
          <t>0.516 SOL</t>
        </is>
      </c>
      <c r="G49" s="22" t="inlineStr">
        <is>
          <t>0.011 SOL</t>
        </is>
      </c>
      <c r="H49" s="22" t="inlineStr">
        <is>
          <t>2.21%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17.10.2024 21:38:30</t>
        </is>
      </c>
      <c r="M49" s="21" t="inlineStr">
        <is>
          <t>20 min</t>
        </is>
      </c>
      <c r="N49" s="21" t="inlineStr">
        <is>
          <t xml:space="preserve">         91K            95K            12K</t>
        </is>
      </c>
      <c r="O49" s="21" t="inlineStr">
        <is>
          <t>D1kWoYYgLk9KLkGUh2MUfDFzpnTTyixRqBZX7a1i2MEz</t>
        </is>
      </c>
      <c r="P49" s="21">
        <f>HYPERLINK("https://dexscreener.com/solana/D1kWoYYgLk9KLkGUh2MUfDFzpnTTyixRqBZX7a1i2MEz", "View")</f>
        <v/>
      </c>
    </row>
    <row r="50">
      <c r="A50" s="16" t="inlineStr">
        <is>
          <t>SHEEP</t>
        </is>
      </c>
      <c r="B50" s="17" t="n">
        <v>8714018</v>
      </c>
      <c r="C50" s="17" t="n">
        <v>8714018</v>
      </c>
      <c r="D50" s="17" t="inlineStr">
        <is>
          <t>0.073730</t>
        </is>
      </c>
      <c r="E50" s="17" t="inlineStr">
        <is>
          <t>2.545 SOL</t>
        </is>
      </c>
      <c r="F50" s="17" t="inlineStr">
        <is>
          <t>7.836 SOL</t>
        </is>
      </c>
      <c r="G50" s="24" t="inlineStr">
        <is>
          <t>5.217 SOL</t>
        </is>
      </c>
      <c r="H50" s="24" t="inlineStr">
        <is>
          <t>199.19%</t>
        </is>
      </c>
      <c r="I50" s="17" t="inlineStr">
        <is>
          <t>N/A</t>
        </is>
      </c>
      <c r="J50" s="17" t="n">
        <v>5</v>
      </c>
      <c r="K50" s="17" t="n">
        <v>11</v>
      </c>
      <c r="L50" s="17" t="inlineStr">
        <is>
          <t>17.10.2024 21:27:00</t>
        </is>
      </c>
      <c r="M50" s="17" t="inlineStr">
        <is>
          <t>2 hours</t>
        </is>
      </c>
      <c r="N50" s="17" t="inlineStr">
        <is>
          <t xml:space="preserve">          1M           368K            13K</t>
        </is>
      </c>
      <c r="O50" s="17" t="inlineStr">
        <is>
          <t>vZz4CG7njSwnVHCh8neWPY6tSxXHXvAwL5U2J2Epump</t>
        </is>
      </c>
      <c r="P50" s="17">
        <f>HYPERLINK("https://photon-sol.tinyastro.io/en/lp/vZz4CG7njSwnVHCh8neWPY6tSxXHXvAwL5U2J2Epump?handle=676050794bc1b1657a56b", "View")</f>
        <v/>
      </c>
    </row>
    <row r="51">
      <c r="A51" s="20" t="inlineStr">
        <is>
          <t>JOHNSON</t>
        </is>
      </c>
      <c r="B51" s="21" t="n">
        <v>2754948</v>
      </c>
      <c r="C51" s="21" t="n">
        <v>2754948</v>
      </c>
      <c r="D51" s="21" t="inlineStr">
        <is>
          <t>0.010020</t>
        </is>
      </c>
      <c r="E51" s="21" t="inlineStr">
        <is>
          <t>3.267 SOL</t>
        </is>
      </c>
      <c r="F51" s="21" t="inlineStr">
        <is>
          <t>6.885 SOL</t>
        </is>
      </c>
      <c r="G51" s="24" t="inlineStr">
        <is>
          <t>3.608 SOL</t>
        </is>
      </c>
      <c r="H51" s="24" t="inlineStr">
        <is>
          <t>110.09%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15.10.2024 20:00:23</t>
        </is>
      </c>
      <c r="M51" s="21" t="inlineStr">
        <is>
          <t>1 min</t>
        </is>
      </c>
      <c r="N51" s="21" t="inlineStr">
        <is>
          <t xml:space="preserve">        209K           439K             5K</t>
        </is>
      </c>
      <c r="O51" s="21" t="inlineStr">
        <is>
          <t>GMm2tVqBF5w9DLFVPT2D8sNjJUdU96h1wsNJxn5upump</t>
        </is>
      </c>
      <c r="P51" s="21">
        <f>HYPERLINK("https://dexscreener.com/solana/GMm2tVqBF5w9DLFVPT2D8sNjJUdU96h1wsNJxn5upump", "View")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HYPERLINK("https://gmgn.ai/sol/address/BuaCKVPQXAhbG7n9NxZ9Kq76nhwyirZCy3pbk453E9sx", "GMGN")</f>
        <v/>
      </c>
    </row>
    <row r="2">
      <c r="A2" s="3" t="inlineStr">
        <is>
          <t>BuaCKVPQXAhbG7n9NxZ9Kq76nhwyirZCy3pbk453E9sx</t>
        </is>
      </c>
      <c r="B2" s="3" t="inlineStr">
        <is>
          <t>12.30 SOL</t>
        </is>
      </c>
      <c r="C2" s="3" t="inlineStr">
        <is>
          <t>75%</t>
        </is>
      </c>
      <c r="D2" s="3" t="inlineStr">
        <is>
          <t>125%</t>
        </is>
      </c>
      <c r="E2" s="3" t="inlineStr">
        <is>
          <t>10.56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3 days</t>
        </is>
      </c>
      <c r="K2" s="3" t="inlineStr">
        <is>
          <t>4 min</t>
        </is>
      </c>
      <c r="L2" s="3" t="n">
        <v>8</v>
      </c>
      <c r="M2" s="3" t="n">
        <v>7</v>
      </c>
      <c r="N2" s="3">
        <f>HYPERLINK("https://solscan.io/account/BuaCKVPQXAhbG7n9NxZ9Kq76nhwyirZCy3pbk453E9sx", "Solscan")</f>
        <v/>
      </c>
    </row>
    <row r="3">
      <c r="A3" s="7" t="inlineStr">
        <is>
          <t>Median ROI</t>
        </is>
      </c>
      <c r="B3" s="4" t="inlineStr">
        <is>
          <t>135.58%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HYPERLINK("https://birdeye.so/profile/BuaCKVPQXAhbG7n9NxZ9Kq76nhwyirZCy3pbk453E9sx", "Birdeye")</f>
        <v/>
      </c>
    </row>
    <row r="4">
      <c r="A4" s="7" t="inlineStr">
        <is>
          <t>Rockets percent</t>
        </is>
      </c>
      <c r="B4" s="4" t="inlineStr">
        <is>
          <t>50%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4</v>
      </c>
      <c r="D10" s="7" t="n">
        <v>2</v>
      </c>
      <c r="E10" s="7" t="n">
        <v>0</v>
      </c>
      <c r="F10" s="7" t="n">
        <v>0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50.0%</t>
        </is>
      </c>
      <c r="D11" s="7" t="inlineStr">
        <is>
          <t>25.0%</t>
        </is>
      </c>
      <c r="E11" s="7" t="inlineStr">
        <is>
          <t>0.0%</t>
        </is>
      </c>
      <c r="F11" s="7" t="inlineStr">
        <is>
          <t>0.0%</t>
        </is>
      </c>
      <c r="G11" s="7" t="inlineStr">
        <is>
          <t>25.0%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10.4 SOL</t>
        </is>
      </c>
      <c r="D12" s="7" t="inlineStr">
        <is>
          <t>1.5 SOL</t>
        </is>
      </c>
      <c r="E12" s="7" t="inlineStr">
        <is>
          <t>0.0 SOL</t>
        </is>
      </c>
      <c r="F12" s="7" t="inlineStr">
        <is>
          <t>0.0 SOL</t>
        </is>
      </c>
      <c r="G12" s="7" t="inlineStr">
        <is>
          <t>-1.3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16.0K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ZEN</t>
        </is>
      </c>
      <c r="B20" s="17" t="n">
        <v>9438978</v>
      </c>
      <c r="C20" s="17" t="n">
        <v>9438978</v>
      </c>
      <c r="D20" s="17" t="inlineStr">
        <is>
          <t>0.240010</t>
        </is>
      </c>
      <c r="E20" s="17" t="inlineStr">
        <is>
          <t>0.967 SOL</t>
        </is>
      </c>
      <c r="F20" s="17" t="inlineStr">
        <is>
          <t>2.073 SOL</t>
        </is>
      </c>
      <c r="G20" s="24" t="inlineStr">
        <is>
          <t>0.866 SOL</t>
        </is>
      </c>
      <c r="H20" s="24" t="inlineStr">
        <is>
          <t>71.72%</t>
        </is>
      </c>
      <c r="I20" s="17" t="inlineStr">
        <is>
          <t>N/A</t>
        </is>
      </c>
      <c r="J20" s="17" t="n">
        <v>1</v>
      </c>
      <c r="K20" s="17" t="n">
        <v>2</v>
      </c>
      <c r="L20" s="17" t="inlineStr">
        <is>
          <t>30.10.2024 16:41:49</t>
        </is>
      </c>
      <c r="M20" s="17" t="inlineStr">
        <is>
          <t>3 min</t>
        </is>
      </c>
      <c r="N20" s="17" t="inlineStr">
        <is>
          <t xml:space="preserve">        N/A           N/A           N/A</t>
        </is>
      </c>
      <c r="O20" s="17" t="inlineStr">
        <is>
          <t>4KdmmBF845nJknS1DpWWdL8CsjKExFoUmiEnzHrtpump</t>
        </is>
      </c>
      <c r="P20" s="17">
        <f>HYPERLINK("https://photon-sol.tinyastro.io/en/lp/4KdmmBF845nJknS1DpWWdL8CsjKExFoUmiEnzHrtpump?handle=676050794bc1b1657a56b", "View")</f>
        <v/>
      </c>
    </row>
    <row r="21">
      <c r="A21" s="20" t="inlineStr">
        <is>
          <t>SPARKY</t>
        </is>
      </c>
      <c r="B21" s="21" t="n">
        <v>4834750</v>
      </c>
      <c r="C21" s="21" t="n">
        <v>4834750</v>
      </c>
      <c r="D21" s="21" t="inlineStr">
        <is>
          <t>0.240010</t>
        </is>
      </c>
      <c r="E21" s="21" t="inlineStr">
        <is>
          <t>0.996 SOL</t>
        </is>
      </c>
      <c r="F21" s="21" t="inlineStr">
        <is>
          <t>0.406 SOL</t>
        </is>
      </c>
      <c r="G21" s="23" t="inlineStr">
        <is>
          <t>-0.831 SOL</t>
        </is>
      </c>
      <c r="H21" s="23" t="inlineStr">
        <is>
          <t>-67.19%</t>
        </is>
      </c>
      <c r="I21" s="21" t="inlineStr">
        <is>
          <t>N/A</t>
        </is>
      </c>
      <c r="J21" s="21" t="n">
        <v>1</v>
      </c>
      <c r="K21" s="21" t="n">
        <v>2</v>
      </c>
      <c r="L21" s="21" t="inlineStr">
        <is>
          <t>30.10.2024 13:29:33</t>
        </is>
      </c>
      <c r="M21" s="21" t="inlineStr">
        <is>
          <t>1 min</t>
        </is>
      </c>
      <c r="N21" s="21" t="inlineStr">
        <is>
          <t xml:space="preserve">         37K             7K             5K</t>
        </is>
      </c>
      <c r="O21" s="21" t="inlineStr">
        <is>
          <t>ChhFGDYQ5n6UkCcsX3NDXHfdgoFbjBMn1msye5HDpump</t>
        </is>
      </c>
      <c r="P21" s="21">
        <f>HYPERLINK("https://photon-sol.tinyastro.io/en/lp/ChhFGDYQ5n6UkCcsX3NDXHfdgoFbjBMn1msye5HDpump?handle=676050794bc1b1657a56b", "View")</f>
        <v/>
      </c>
    </row>
    <row r="22">
      <c r="A22" s="16" t="inlineStr">
        <is>
          <t>SOAR</t>
        </is>
      </c>
      <c r="B22" s="17" t="n">
        <v>8410960</v>
      </c>
      <c r="C22" s="17" t="n">
        <v>8410960</v>
      </c>
      <c r="D22" s="17" t="inlineStr">
        <is>
          <t>0.220010</t>
        </is>
      </c>
      <c r="E22" s="17" t="inlineStr">
        <is>
          <t>0.783 SOL</t>
        </is>
      </c>
      <c r="F22" s="17" t="inlineStr">
        <is>
          <t>3.247 SOL</t>
        </is>
      </c>
      <c r="G22" s="24" t="inlineStr">
        <is>
          <t>2.244 SOL</t>
        </is>
      </c>
      <c r="H22" s="24" t="inlineStr">
        <is>
          <t>223.66%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30.10.2024 12:47:54</t>
        </is>
      </c>
      <c r="M22" s="17" t="inlineStr">
        <is>
          <t>3 min</t>
        </is>
      </c>
      <c r="N22" s="17" t="inlineStr">
        <is>
          <t xml:space="preserve">         16K            16K             4K</t>
        </is>
      </c>
      <c r="O22" s="17" t="inlineStr">
        <is>
          <t>DSMBxacyzGiqNgmadjZPMMGY2EEjRriH4HMbFDbRpump</t>
        </is>
      </c>
      <c r="P22" s="17">
        <f>HYPERLINK("https://photon-sol.tinyastro.io/en/lp/DSMBxacyzGiqNgmadjZPMMGY2EEjRriH4HMbFDbRpump?handle=676050794bc1b1657a56b", "View")</f>
        <v/>
      </c>
    </row>
    <row r="23">
      <c r="A23" s="20" t="inlineStr">
        <is>
          <t>RAGE</t>
        </is>
      </c>
      <c r="B23" s="21" t="n">
        <v>8026445</v>
      </c>
      <c r="C23" s="21" t="n">
        <v>8026445</v>
      </c>
      <c r="D23" s="21" t="inlineStr">
        <is>
          <t>0.220010</t>
        </is>
      </c>
      <c r="E23" s="21" t="inlineStr">
        <is>
          <t>0.520 SOL</t>
        </is>
      </c>
      <c r="F23" s="21" t="inlineStr">
        <is>
          <t>0.276 SOL</t>
        </is>
      </c>
      <c r="G23" s="23" t="inlineStr">
        <is>
          <t>-0.464 SOL</t>
        </is>
      </c>
      <c r="H23" s="23" t="inlineStr">
        <is>
          <t>-62.66%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04:47:07</t>
        </is>
      </c>
      <c r="M23" s="21" t="inlineStr">
        <is>
          <t>4 min</t>
        </is>
      </c>
      <c r="N23" s="21" t="inlineStr">
        <is>
          <t xml:space="preserve">         11K             5K             5K</t>
        </is>
      </c>
      <c r="O23" s="21" t="inlineStr">
        <is>
          <t>H6WfFZ5EjUDmJoGvJpsChUZTiRuNGuMr3xoSRssEpump</t>
        </is>
      </c>
      <c r="P23" s="21">
        <f>HYPERLINK("https://photon-sol.tinyastro.io/en/lp/H6WfFZ5EjUDmJoGvJpsChUZTiRuNGuMr3xoSRssEpump?handle=676050794bc1b1657a56b", "View")</f>
        <v/>
      </c>
    </row>
    <row r="24">
      <c r="A24" s="16" t="inlineStr">
        <is>
          <t>MOLANG</t>
        </is>
      </c>
      <c r="B24" s="17" t="n">
        <v>9915954</v>
      </c>
      <c r="C24" s="17" t="n">
        <v>9915954</v>
      </c>
      <c r="D24" s="17" t="inlineStr">
        <is>
          <t>0.220010</t>
        </is>
      </c>
      <c r="E24" s="17" t="inlineStr">
        <is>
          <t>0.893 SOL</t>
        </is>
      </c>
      <c r="F24" s="17" t="inlineStr">
        <is>
          <t>1.721 SOL</t>
        </is>
      </c>
      <c r="G24" s="24" t="inlineStr">
        <is>
          <t>0.608 SOL</t>
        </is>
      </c>
      <c r="H24" s="24" t="inlineStr">
        <is>
          <t>54.65%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14:48:17</t>
        </is>
      </c>
      <c r="M24" s="17" t="inlineStr">
        <is>
          <t>11 min</t>
        </is>
      </c>
      <c r="N24" s="17" t="inlineStr">
        <is>
          <t xml:space="preserve">         16K            30K             4K</t>
        </is>
      </c>
      <c r="O24" s="17" t="inlineStr">
        <is>
          <t>BPFXTGBjoARa89gbSvbp7Dy6cQwgGc7efW1jE8nTpump</t>
        </is>
      </c>
      <c r="P24" s="17">
        <f>HYPERLINK("https://photon-sol.tinyastro.io/en/lp/BPFXTGBjoARa89gbSvbp7Dy6cQwgGc7efW1jE8nTpump?handle=676050794bc1b1657a56b", "View")</f>
        <v/>
      </c>
    </row>
    <row r="25">
      <c r="A25" s="20" t="inlineStr">
        <is>
          <t>SOLO</t>
        </is>
      </c>
      <c r="B25" s="21" t="n">
        <v>9598011</v>
      </c>
      <c r="C25" s="21" t="n">
        <v>9598011</v>
      </c>
      <c r="D25" s="21" t="inlineStr">
        <is>
          <t>0.260020</t>
        </is>
      </c>
      <c r="E25" s="21" t="inlineStr">
        <is>
          <t>0.666 SOL</t>
        </is>
      </c>
      <c r="F25" s="21" t="inlineStr">
        <is>
          <t>3.476 SOL</t>
        </is>
      </c>
      <c r="G25" s="24" t="inlineStr">
        <is>
          <t>2.551 SOL</t>
        </is>
      </c>
      <c r="H25" s="24" t="inlineStr">
        <is>
          <t>275.55%</t>
        </is>
      </c>
      <c r="I25" s="21" t="inlineStr">
        <is>
          <t>N/A</t>
        </is>
      </c>
      <c r="J25" s="21" t="n">
        <v>1</v>
      </c>
      <c r="K25" s="21" t="n">
        <v>3</v>
      </c>
      <c r="L25" s="21" t="inlineStr">
        <is>
          <t>29.10.2024 13:00:28</t>
        </is>
      </c>
      <c r="M25" s="21" t="inlineStr">
        <is>
          <t>4 min</t>
        </is>
      </c>
      <c r="N25" s="21" t="inlineStr">
        <is>
          <t xml:space="preserve">         11K            36K             4K</t>
        </is>
      </c>
      <c r="O25" s="21" t="inlineStr">
        <is>
          <t>GeHMGsBk1SfZSmRccWiUxoGd9ZpYHhTYYqMn95Hapump</t>
        </is>
      </c>
      <c r="P25" s="21">
        <f>HYPERLINK("https://photon-sol.tinyastro.io/en/lp/GeHMGsBk1SfZSmRccWiUxoGd9ZpYHhTYYqMn95Hapump?handle=676050794bc1b1657a56b", "View")</f>
        <v/>
      </c>
    </row>
    <row r="26">
      <c r="A26" s="16" t="inlineStr">
        <is>
          <t>LINK</t>
        </is>
      </c>
      <c r="B26" s="17" t="n">
        <v>6499962</v>
      </c>
      <c r="C26" s="17" t="n">
        <v>6499962</v>
      </c>
      <c r="D26" s="17" t="inlineStr">
        <is>
          <t>0.240010</t>
        </is>
      </c>
      <c r="E26" s="17" t="inlineStr">
        <is>
          <t>0.762 SOL</t>
        </is>
      </c>
      <c r="F26" s="17" t="inlineStr">
        <is>
          <t>4.105 SOL</t>
        </is>
      </c>
      <c r="G26" s="24" t="inlineStr">
        <is>
          <t>3.104 SOL</t>
        </is>
      </c>
      <c r="H26" s="24" t="inlineStr">
        <is>
          <t>309.89%</t>
        </is>
      </c>
      <c r="I26" s="17" t="inlineStr">
        <is>
          <t>N/A</t>
        </is>
      </c>
      <c r="J26" s="17" t="n">
        <v>1</v>
      </c>
      <c r="K26" s="17" t="n">
        <v>2</v>
      </c>
      <c r="L26" s="17" t="inlineStr">
        <is>
          <t>29.10.2024 04:29:16</t>
        </is>
      </c>
      <c r="M26" s="17" t="inlineStr">
        <is>
          <t>4 min</t>
        </is>
      </c>
      <c r="N26" s="17" t="inlineStr">
        <is>
          <t xml:space="preserve">         20K           116K             4K</t>
        </is>
      </c>
      <c r="O26" s="17" t="inlineStr">
        <is>
          <t>BxaRiJpUwPkiUfwUe7bXqMZV5EG8Xx5BZaY6QM3Jpump</t>
        </is>
      </c>
      <c r="P26" s="17">
        <f>HYPERLINK("https://photon-sol.tinyastro.io/en/lp/BxaRiJpUwPkiUfwUe7bXqMZV5EG8Xx5BZaY6QM3Jpump?handle=676050794bc1b1657a56b", "View")</f>
        <v/>
      </c>
    </row>
    <row r="27">
      <c r="A27" s="20" t="inlineStr">
        <is>
          <t>LIZZERD</t>
        </is>
      </c>
      <c r="B27" s="21" t="n">
        <v>5906762</v>
      </c>
      <c r="C27" s="21" t="n">
        <v>5906762</v>
      </c>
      <c r="D27" s="21" t="inlineStr">
        <is>
          <t>0.270040</t>
        </is>
      </c>
      <c r="E27" s="21" t="inlineStr">
        <is>
          <t>0.972 SOL</t>
        </is>
      </c>
      <c r="F27" s="21" t="inlineStr">
        <is>
          <t>3.720 SOL</t>
        </is>
      </c>
      <c r="G27" s="24" t="inlineStr">
        <is>
          <t>2.478 SOL</t>
        </is>
      </c>
      <c r="H27" s="24" t="inlineStr">
        <is>
          <t>199.45%</t>
        </is>
      </c>
      <c r="I27" s="21" t="inlineStr">
        <is>
          <t>N/A</t>
        </is>
      </c>
      <c r="J27" s="21" t="n">
        <v>1</v>
      </c>
      <c r="K27" s="21" t="n">
        <v>7</v>
      </c>
      <c r="L27" s="21" t="inlineStr">
        <is>
          <t>27.10.2024 14:25:55</t>
        </is>
      </c>
      <c r="M27" s="21" t="inlineStr">
        <is>
          <t>17 min</t>
        </is>
      </c>
      <c r="N27" s="21" t="inlineStr">
        <is>
          <t xml:space="preserve">         28K           133K             4K</t>
        </is>
      </c>
      <c r="O27" s="21" t="inlineStr">
        <is>
          <t>7FisD5QTeFBCd2vbAVs5PQ89vefLqz9Qhaqja6XRpump</t>
        </is>
      </c>
      <c r="P27" s="21">
        <f>HYPERLINK("https://photon-sol.tinyastro.io/en/lp/7FisD5QTeFBCd2vbAVs5PQ89vefLqz9Qhaqja6XRpump?handle=676050794bc1b1657a56b", "View")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HYPERLINK("https://gmgn.ai/sol/address/5mcVquZq8V6pHWxLRww8zv3YSmh2DqWTAURjtcDJmECd", "GMGN")</f>
        <v/>
      </c>
    </row>
    <row r="2">
      <c r="A2" s="3" t="inlineStr">
        <is>
          <t>5mcVquZq8V6pHWxLRww8zv3YSmh2DqWTAURjtcDJmECd</t>
        </is>
      </c>
      <c r="B2" s="3" t="inlineStr">
        <is>
          <t>81.32 SOL</t>
        </is>
      </c>
      <c r="C2" s="3" t="inlineStr">
        <is>
          <t>50%</t>
        </is>
      </c>
      <c r="D2" s="3" t="inlineStr">
        <is>
          <t>70%</t>
        </is>
      </c>
      <c r="E2" s="3" t="inlineStr">
        <is>
          <t>113.52 SOL</t>
        </is>
      </c>
      <c r="F2" s="3" t="inlineStr">
        <is>
          <t>1 (7%)</t>
        </is>
      </c>
      <c r="G2" s="3" t="inlineStr">
        <is>
          <t>0 (0%)</t>
        </is>
      </c>
      <c r="H2" s="3" t="n">
        <v>14</v>
      </c>
      <c r="I2" s="3" t="n">
        <v>0</v>
      </c>
      <c r="J2" s="3" t="inlineStr">
        <is>
          <t>14 days</t>
        </is>
      </c>
      <c r="K2" s="3" t="inlineStr">
        <is>
          <t>16 min</t>
        </is>
      </c>
      <c r="L2" s="3" t="n">
        <v>12</v>
      </c>
      <c r="M2" s="3" t="n">
        <v>20</v>
      </c>
      <c r="N2" s="3">
        <f>HYPERLINK("https://solscan.io/account/5mcVquZq8V6pHWxLRww8zv3YSmh2DqWTAURjtcDJmECd", "Solscan")</f>
        <v/>
      </c>
    </row>
    <row r="3">
      <c r="A3" s="7" t="inlineStr">
        <is>
          <t>Median ROI</t>
        </is>
      </c>
      <c r="B3" s="5" t="inlineStr">
        <is>
          <t>-13.48%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HYPERLINK("https://birdeye.so/profile/5mcVquZq8V6pHWxLRww8zv3YSmh2DqWTAURjtcDJmECd", "Birdeye")</f>
        <v/>
      </c>
    </row>
    <row r="4">
      <c r="A4" s="7" t="inlineStr">
        <is>
          <t>Rockets percent</t>
        </is>
      </c>
      <c r="B4" s="3" t="inlineStr">
        <is>
          <t>29%</t>
        </is>
      </c>
      <c r="C4" s="3" t="inlineStr"/>
      <c r="D4" s="3" t="inlineStr">
        <is>
          <t>28%</t>
        </is>
      </c>
      <c r="E4" s="3" t="inlineStr">
        <is>
          <t>44.79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228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3.9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3</v>
      </c>
      <c r="D10" s="7" t="n">
        <v>0</v>
      </c>
      <c r="E10" s="7" t="n">
        <v>3</v>
      </c>
      <c r="F10" s="7" t="n">
        <v>3</v>
      </c>
      <c r="G10" s="7" t="n">
        <v>4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7.1%</t>
        </is>
      </c>
      <c r="C11" s="7" t="inlineStr">
        <is>
          <t>21.4%</t>
        </is>
      </c>
      <c r="D11" s="7" t="inlineStr">
        <is>
          <t>0.0%</t>
        </is>
      </c>
      <c r="E11" s="7" t="inlineStr">
        <is>
          <t>21.4%</t>
        </is>
      </c>
      <c r="F11" s="7" t="inlineStr">
        <is>
          <t>21.4%</t>
        </is>
      </c>
      <c r="G11" s="7" t="inlineStr">
        <is>
          <t>28.6%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38.0 SOL</t>
        </is>
      </c>
      <c r="C12" s="7" t="inlineStr">
        <is>
          <t>71.5 SOL</t>
        </is>
      </c>
      <c r="D12" s="7" t="inlineStr">
        <is>
          <t>0.0 SOL</t>
        </is>
      </c>
      <c r="E12" s="7" t="inlineStr">
        <is>
          <t>16.5 SOL</t>
        </is>
      </c>
      <c r="F12" s="7" t="inlineStr">
        <is>
          <t>-6.5 SOL</t>
        </is>
      </c>
      <c r="G12" s="7" t="inlineStr">
        <is>
          <t>-5.9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REPUBLICAN</t>
        </is>
      </c>
      <c r="B20" s="17" t="n">
        <v>43830236</v>
      </c>
      <c r="C20" s="17" t="n">
        <v>27736594</v>
      </c>
      <c r="D20" s="17" t="inlineStr">
        <is>
          <t>0.000160</t>
        </is>
      </c>
      <c r="E20" s="17" t="inlineStr">
        <is>
          <t>57.553 SOL</t>
        </is>
      </c>
      <c r="F20" s="17" t="inlineStr">
        <is>
          <t>120.237 SOL</t>
        </is>
      </c>
      <c r="G20" s="24" t="inlineStr">
        <is>
          <t>62.684 SOL</t>
        </is>
      </c>
      <c r="H20" s="24" t="inlineStr">
        <is>
          <t>108.92%</t>
        </is>
      </c>
      <c r="I20" s="17" t="inlineStr">
        <is>
          <t>N/A</t>
        </is>
      </c>
      <c r="J20" s="17" t="n">
        <v>23</v>
      </c>
      <c r="K20" s="17" t="n">
        <v>8</v>
      </c>
      <c r="L20" s="17" t="inlineStr">
        <is>
          <t>30.10.2024 14:19:59</t>
        </is>
      </c>
      <c r="M20" s="17" t="inlineStr">
        <is>
          <t>1 days</t>
        </is>
      </c>
      <c r="N20" s="17" t="inlineStr">
        <is>
          <t xml:space="preserve">          1M            15K           437K</t>
        </is>
      </c>
      <c r="O20" s="17" t="inlineStr">
        <is>
          <t>12HXYh3MHmyuraHtd82fGEKSwuhdsbPo1utXQKvXpump</t>
        </is>
      </c>
      <c r="P20" s="17">
        <f>HYPERLINK("https://photon-sol.tinyastro.io/en/lp/12HXYh3MHmyuraHtd82fGEKSwuhdsbPo1utXQKvXpump?handle=676050794bc1b1657a56b", "View")</f>
        <v/>
      </c>
    </row>
    <row r="21">
      <c r="A21" s="20" t="inlineStr">
        <is>
          <t>POPCAT2</t>
        </is>
      </c>
      <c r="B21" s="21" t="n">
        <v>28105511</v>
      </c>
      <c r="C21" s="21" t="n">
        <v>28105511</v>
      </c>
      <c r="D21" s="21" t="inlineStr">
        <is>
          <t>0.000010</t>
        </is>
      </c>
      <c r="E21" s="21" t="inlineStr">
        <is>
          <t>2.008 SOL</t>
        </is>
      </c>
      <c r="F21" s="21" t="inlineStr">
        <is>
          <t>4.033 SOL</t>
        </is>
      </c>
      <c r="G21" s="24" t="inlineStr">
        <is>
          <t>2.025 SOL</t>
        </is>
      </c>
      <c r="H21" s="24" t="inlineStr">
        <is>
          <t>100.82%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00:40:16</t>
        </is>
      </c>
      <c r="M21" s="19" t="inlineStr">
        <is>
          <t>58 sec</t>
        </is>
      </c>
      <c r="N21" s="21" t="inlineStr">
        <is>
          <t xml:space="preserve">         12K            25K             5K</t>
        </is>
      </c>
      <c r="O21" s="21" t="inlineStr">
        <is>
          <t>6UTw3LkUu35WMaY1WyBK53qY9f6Nf3o8ax9T9njBpump</t>
        </is>
      </c>
      <c r="P21" s="21">
        <f>HYPERLINK("https://photon-sol.tinyastro.io/en/lp/6UTw3LkUu35WMaY1WyBK53qY9f6Nf3o8ax9T9njBpump?handle=676050794bc1b1657a56b", "View")</f>
        <v/>
      </c>
    </row>
    <row r="22">
      <c r="A22" s="16" t="inlineStr">
        <is>
          <t>ANDRO</t>
        </is>
      </c>
      <c r="B22" s="17" t="n">
        <v>1242640</v>
      </c>
      <c r="C22" s="17" t="n">
        <v>1242640</v>
      </c>
      <c r="D22" s="17" t="inlineStr">
        <is>
          <t>0.000020</t>
        </is>
      </c>
      <c r="E22" s="17" t="inlineStr">
        <is>
          <t>2.970 SOL</t>
        </is>
      </c>
      <c r="F22" s="17" t="inlineStr">
        <is>
          <t>0.960 SOL</t>
        </is>
      </c>
      <c r="G22" s="23" t="inlineStr">
        <is>
          <t>-2.010 SOL</t>
        </is>
      </c>
      <c r="H22" s="23" t="inlineStr">
        <is>
          <t>-67.67%</t>
        </is>
      </c>
      <c r="I22" s="17" t="inlineStr">
        <is>
          <t>N/A</t>
        </is>
      </c>
      <c r="J22" s="17" t="n">
        <v>2</v>
      </c>
      <c r="K22" s="17" t="n">
        <v>1</v>
      </c>
      <c r="L22" s="17" t="inlineStr">
        <is>
          <t>29.10.2024 23:17:20</t>
        </is>
      </c>
      <c r="M22" s="17" t="inlineStr">
        <is>
          <t>1 hours</t>
        </is>
      </c>
      <c r="N22" s="17" t="inlineStr">
        <is>
          <t xml:space="preserve">        676K           239K             8K</t>
        </is>
      </c>
      <c r="O22" s="17" t="inlineStr">
        <is>
          <t>WziqSdg6EGYooGBmoxeUWLe2Czwk7AsEH2J42cepump</t>
        </is>
      </c>
      <c r="P22" s="17">
        <f>HYPERLINK("https://dexscreener.com/solana/WziqSdg6EGYooGBmoxeUWLe2Czwk7AsEH2J42cepump", "View")</f>
        <v/>
      </c>
    </row>
    <row r="23">
      <c r="A23" s="20" t="inlineStr">
        <is>
          <t>DIVINE</t>
        </is>
      </c>
      <c r="B23" s="21" t="n">
        <v>51507151</v>
      </c>
      <c r="C23" s="21" t="n">
        <v>51507151</v>
      </c>
      <c r="D23" s="21" t="inlineStr">
        <is>
          <t>0.000020</t>
        </is>
      </c>
      <c r="E23" s="21" t="inlineStr">
        <is>
          <t>5.014 SOL</t>
        </is>
      </c>
      <c r="F23" s="21" t="inlineStr">
        <is>
          <t>3.386 SOL</t>
        </is>
      </c>
      <c r="G23" s="25" t="inlineStr">
        <is>
          <t>-1.628 SOL</t>
        </is>
      </c>
      <c r="H23" s="25" t="inlineStr">
        <is>
          <t>-32.47%</t>
        </is>
      </c>
      <c r="I23" s="21" t="inlineStr">
        <is>
          <t>N/A</t>
        </is>
      </c>
      <c r="J23" s="21" t="n">
        <v>2</v>
      </c>
      <c r="K23" s="21" t="n">
        <v>1</v>
      </c>
      <c r="L23" s="21" t="inlineStr">
        <is>
          <t>29.10.2024 12:35:39</t>
        </is>
      </c>
      <c r="M23" s="21" t="inlineStr">
        <is>
          <t>27 min</t>
        </is>
      </c>
      <c r="N23" s="21" t="inlineStr">
        <is>
          <t xml:space="preserve">         19K            12K             5K</t>
        </is>
      </c>
      <c r="O23" s="21" t="inlineStr">
        <is>
          <t>CcgeCnqfvqcMdBHGyYoDqcRe2NPPq347v7bDqxRApump</t>
        </is>
      </c>
      <c r="P23" s="21">
        <f>HYPERLINK("https://photon-sol.tinyastro.io/en/lp/CcgeCnqfvqcMdBHGyYoDqcRe2NPPq347v7bDqxRApump?handle=676050794bc1b1657a56b", "View")</f>
        <v/>
      </c>
    </row>
    <row r="24">
      <c r="A24" s="16" t="inlineStr">
        <is>
          <t>ELE</t>
        </is>
      </c>
      <c r="B24" s="17" t="n">
        <v>33524110</v>
      </c>
      <c r="C24" s="17" t="n">
        <v>33524110</v>
      </c>
      <c r="D24" s="17" t="inlineStr">
        <is>
          <t>0.000010</t>
        </is>
      </c>
      <c r="E24" s="17" t="inlineStr">
        <is>
          <t>2.008 SOL</t>
        </is>
      </c>
      <c r="F24" s="17" t="inlineStr">
        <is>
          <t>2.752 SOL</t>
        </is>
      </c>
      <c r="G24" s="22" t="inlineStr">
        <is>
          <t>0.744 SOL</t>
        </is>
      </c>
      <c r="H24" s="22" t="inlineStr">
        <is>
          <t>37.07%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11:57:02</t>
        </is>
      </c>
      <c r="M24" s="17" t="inlineStr">
        <is>
          <t>6 min</t>
        </is>
      </c>
      <c r="N24" s="17" t="inlineStr">
        <is>
          <t xml:space="preserve">         11K            14K             3K</t>
        </is>
      </c>
      <c r="O24" s="17" t="inlineStr">
        <is>
          <t>FgNJRhSsLa9RMvajHgdbv2oZYykGSUJ4bhfrKZaApump</t>
        </is>
      </c>
      <c r="P24" s="17">
        <f>HYPERLINK("https://photon-sol.tinyastro.io/en/lp/FgNJRhSsLa9RMvajHgdbv2oZYykGSUJ4bhfrKZaApump?handle=676050794bc1b1657a56b", "View")</f>
        <v/>
      </c>
    </row>
    <row r="25">
      <c r="A25" s="20" t="inlineStr">
        <is>
          <t>@truth</t>
        </is>
      </c>
      <c r="B25" s="21" t="n">
        <v>2576048</v>
      </c>
      <c r="C25" s="21" t="n">
        <v>2576048</v>
      </c>
      <c r="D25" s="21" t="inlineStr">
        <is>
          <t>0.000010</t>
        </is>
      </c>
      <c r="E25" s="21" t="inlineStr">
        <is>
          <t>1.008 SOL</t>
        </is>
      </c>
      <c r="F25" s="21" t="inlineStr">
        <is>
          <t>0.352 SOL</t>
        </is>
      </c>
      <c r="G25" s="23" t="inlineStr">
        <is>
          <t>-0.656 SOL</t>
        </is>
      </c>
      <c r="H25" s="23" t="inlineStr">
        <is>
          <t>-65.11%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02:04:21</t>
        </is>
      </c>
      <c r="M25" s="21" t="inlineStr">
        <is>
          <t>6 min</t>
        </is>
      </c>
      <c r="N25" s="21" t="inlineStr">
        <is>
          <t xml:space="preserve">         69K            25K             6K</t>
        </is>
      </c>
      <c r="O25" s="21" t="inlineStr">
        <is>
          <t>J83JGjNQDAKFHoXQc4oSNKHKm3X2x3AUi1YA8wdRpump</t>
        </is>
      </c>
      <c r="P25" s="21">
        <f>HYPERLINK("https://photon-sol.tinyastro.io/en/lp/J83JGjNQDAKFHoXQc4oSNKHKm3X2x3AUi1YA8wdRpump?handle=676050794bc1b1657a56b", "View")</f>
        <v/>
      </c>
    </row>
    <row r="26">
      <c r="A26" s="16" t="inlineStr">
        <is>
          <t>RETALIK</t>
        </is>
      </c>
      <c r="B26" s="17" t="n">
        <v>34454434</v>
      </c>
      <c r="C26" s="17" t="n">
        <v>34454434</v>
      </c>
      <c r="D26" s="17" t="inlineStr">
        <is>
          <t>0.000020</t>
        </is>
      </c>
      <c r="E26" s="17" t="inlineStr">
        <is>
          <t>4.020 SOL</t>
        </is>
      </c>
      <c r="F26" s="17" t="inlineStr">
        <is>
          <t>10.771 SOL</t>
        </is>
      </c>
      <c r="G26" s="24" t="inlineStr">
        <is>
          <t>6.751 SOL</t>
        </is>
      </c>
      <c r="H26" s="24" t="inlineStr">
        <is>
          <t>167.92%</t>
        </is>
      </c>
      <c r="I26" s="17" t="inlineStr">
        <is>
          <t>N/A</t>
        </is>
      </c>
      <c r="J26" s="17" t="n">
        <v>3</v>
      </c>
      <c r="K26" s="17" t="n">
        <v>1</v>
      </c>
      <c r="L26" s="17" t="inlineStr">
        <is>
          <t>29.10.2024 01:28:03</t>
        </is>
      </c>
      <c r="M26" s="17" t="inlineStr">
        <is>
          <t>10 min</t>
        </is>
      </c>
      <c r="N26" s="17" t="inlineStr">
        <is>
          <t xml:space="preserve">         14K            54K             5K</t>
        </is>
      </c>
      <c r="O26" s="17" t="inlineStr">
        <is>
          <t>wSqBecHDZYSUBgCeHhKBqUR73TYm4CZBoLN1pWspump</t>
        </is>
      </c>
      <c r="P26" s="17">
        <f>HYPERLINK("https://photon-sol.tinyastro.io/en/lp/wSqBecHDZYSUBgCeHhKBqUR73TYm4CZBoLN1pWspump?handle=676050794bc1b1657a56b", "View")</f>
        <v/>
      </c>
    </row>
    <row r="27">
      <c r="A27" s="20" t="inlineStr">
        <is>
          <t>BitMint</t>
        </is>
      </c>
      <c r="B27" s="21" t="n">
        <v>37380097</v>
      </c>
      <c r="C27" s="21" t="n">
        <v>37380097</v>
      </c>
      <c r="D27" s="21" t="inlineStr">
        <is>
          <t>0.000010</t>
        </is>
      </c>
      <c r="E27" s="21" t="inlineStr">
        <is>
          <t>2.008 SOL</t>
        </is>
      </c>
      <c r="F27" s="21" t="inlineStr">
        <is>
          <t>2.119 SOL</t>
        </is>
      </c>
      <c r="G27" s="22" t="inlineStr">
        <is>
          <t>0.111 SOL</t>
        </is>
      </c>
      <c r="H27" s="22" t="inlineStr">
        <is>
          <t>5.50%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23:13:25</t>
        </is>
      </c>
      <c r="M27" s="21" t="inlineStr">
        <is>
          <t>2 min</t>
        </is>
      </c>
      <c r="N27" s="21" t="inlineStr">
        <is>
          <t xml:space="preserve">          9K            11K             5K</t>
        </is>
      </c>
      <c r="O27" s="21" t="inlineStr">
        <is>
          <t>3UA1FKAxY9zkH8dbrxnRW7hyyStR6dw8i9hykpfcpump</t>
        </is>
      </c>
      <c r="P27" s="21">
        <f>HYPERLINK("https://photon-sol.tinyastro.io/en/lp/3UA1FKAxY9zkH8dbrxnRW7hyyStR6dw8i9hykpfcpump?handle=676050794bc1b1657a56b", "View")</f>
        <v/>
      </c>
    </row>
    <row r="28">
      <c r="A28" s="16" t="inlineStr">
        <is>
          <t>USDT</t>
        </is>
      </c>
      <c r="B28" s="17" t="n">
        <v>51344954</v>
      </c>
      <c r="C28" s="17" t="n">
        <v>51344954</v>
      </c>
      <c r="D28" s="17" t="inlineStr">
        <is>
          <t>0.000020</t>
        </is>
      </c>
      <c r="E28" s="17" t="inlineStr">
        <is>
          <t>4.020 SOL</t>
        </is>
      </c>
      <c r="F28" s="17" t="inlineStr">
        <is>
          <t>2.106 SOL</t>
        </is>
      </c>
      <c r="G28" s="25" t="inlineStr">
        <is>
          <t>-1.914 SOL</t>
        </is>
      </c>
      <c r="H28" s="25" t="inlineStr">
        <is>
          <t>-47.62%</t>
        </is>
      </c>
      <c r="I28" s="17" t="inlineStr">
        <is>
          <t>N/A</t>
        </is>
      </c>
      <c r="J28" s="17" t="n">
        <v>3</v>
      </c>
      <c r="K28" s="17" t="n">
        <v>1</v>
      </c>
      <c r="L28" s="17" t="inlineStr">
        <is>
          <t>28.10.2024 23:08:35</t>
        </is>
      </c>
      <c r="M28" s="17" t="inlineStr">
        <is>
          <t>7 min</t>
        </is>
      </c>
      <c r="N28" s="17" t="inlineStr">
        <is>
          <t xml:space="preserve">        N/A           N/A           N/A</t>
        </is>
      </c>
      <c r="O28" s="17" t="inlineStr">
        <is>
          <t>5YqaiPg9ihQtmuk9T2wDGWadsuzPLnmqLotvBEgrpump</t>
        </is>
      </c>
      <c r="P28" s="17">
        <f>HYPERLINK("https://photon-sol.tinyastro.io/en/lp/5YqaiPg9ihQtmuk9T2wDGWadsuzPLnmqLotvBEgrpump?handle=676050794bc1b1657a56b", "View")</f>
        <v/>
      </c>
    </row>
    <row r="29">
      <c r="A29" s="20" t="inlineStr">
        <is>
          <t>TRUMPET</t>
        </is>
      </c>
      <c r="B29" s="21" t="n">
        <v>80633578</v>
      </c>
      <c r="C29" s="21" t="n">
        <v>80633578</v>
      </c>
      <c r="D29" s="21" t="inlineStr">
        <is>
          <t>0.000020</t>
        </is>
      </c>
      <c r="E29" s="21" t="inlineStr">
        <is>
          <t>5.988 SOL</t>
        </is>
      </c>
      <c r="F29" s="21" t="inlineStr">
        <is>
          <t>3.020 SOL</t>
        </is>
      </c>
      <c r="G29" s="25" t="inlineStr">
        <is>
          <t>-2.969 SOL</t>
        </is>
      </c>
      <c r="H29" s="25" t="inlineStr">
        <is>
          <t>-49.58%</t>
        </is>
      </c>
      <c r="I29" s="21" t="inlineStr">
        <is>
          <t>N/A</t>
        </is>
      </c>
      <c r="J29" s="21" t="n">
        <v>3</v>
      </c>
      <c r="K29" s="21" t="n">
        <v>1</v>
      </c>
      <c r="L29" s="21" t="inlineStr">
        <is>
          <t>28.10.2024 01:22:05</t>
        </is>
      </c>
      <c r="M29" s="21" t="inlineStr">
        <is>
          <t>16 min</t>
        </is>
      </c>
      <c r="N29" s="21" t="inlineStr">
        <is>
          <t xml:space="preserve">         12K             7K             3K</t>
        </is>
      </c>
      <c r="O29" s="21" t="inlineStr">
        <is>
          <t>FGrzeF43gopcfZHDTswLEo29XjbBvFD8axJFho3spump</t>
        </is>
      </c>
      <c r="P29" s="21">
        <f>HYPERLINK("https://photon-sol.tinyastro.io/en/lp/FGrzeF43gopcfZHDTswLEo29XjbBvFD8axJFho3spump?handle=676050794bc1b1657a56b", "View")</f>
        <v/>
      </c>
    </row>
    <row r="30">
      <c r="A30" s="16" t="inlineStr">
        <is>
          <t>DOG</t>
        </is>
      </c>
      <c r="B30" s="17" t="n">
        <v>60057569</v>
      </c>
      <c r="C30" s="17" t="n">
        <v>28198581</v>
      </c>
      <c r="D30" s="17" t="inlineStr">
        <is>
          <t>0.015000</t>
        </is>
      </c>
      <c r="E30" s="17" t="inlineStr">
        <is>
          <t>66.380 SOL</t>
        </is>
      </c>
      <c r="F30" s="17" t="inlineStr">
        <is>
          <t>82.038 SOL</t>
        </is>
      </c>
      <c r="G30" s="22" t="inlineStr">
        <is>
          <t>15.642 SOL</t>
        </is>
      </c>
      <c r="H30" s="22" t="inlineStr">
        <is>
          <t>23.56%</t>
        </is>
      </c>
      <c r="I30" s="17" t="inlineStr">
        <is>
          <t>N/A</t>
        </is>
      </c>
      <c r="J30" s="17" t="n">
        <v>11</v>
      </c>
      <c r="K30" s="17" t="n">
        <v>4</v>
      </c>
      <c r="L30" s="17" t="inlineStr">
        <is>
          <t>24.10.2024 15:21:08</t>
        </is>
      </c>
      <c r="M30" s="17" t="inlineStr">
        <is>
          <t>3 hours</t>
        </is>
      </c>
      <c r="N30" s="17" t="inlineStr">
        <is>
          <t xml:space="preserve">        767K            92K             6K</t>
        </is>
      </c>
      <c r="O30" s="17" t="inlineStr">
        <is>
          <t>27vMFjJerzLd5iZX2tRWL4eHUTr5Lfh5YWdakU3Zpump</t>
        </is>
      </c>
      <c r="P30" s="17">
        <f>HYPERLINK("https://photon-sol.tinyastro.io/en/lp/27vMFjJerzLd5iZX2tRWL4eHUTr5Lfh5YWdakU3Zpump?handle=676050794bc1b1657a56b", "View")</f>
        <v/>
      </c>
    </row>
    <row r="31">
      <c r="A31" s="20" t="inlineStr">
        <is>
          <t>DOG</t>
        </is>
      </c>
      <c r="B31" s="21" t="n">
        <v>55399551</v>
      </c>
      <c r="C31" s="21" t="n">
        <v>0</v>
      </c>
      <c r="D31" s="21" t="inlineStr">
        <is>
          <t>0.001000</t>
        </is>
      </c>
      <c r="E31" s="21" t="inlineStr">
        <is>
          <t>3.003 SOL</t>
        </is>
      </c>
      <c r="F31" s="21" t="inlineStr">
        <is>
          <t>0.000 SOL</t>
        </is>
      </c>
      <c r="G31" s="18" t="inlineStr">
        <is>
          <t>-3.004 SOL</t>
        </is>
      </c>
      <c r="H31" s="18" t="inlineStr">
        <is>
          <t>0.00%</t>
        </is>
      </c>
      <c r="I31" s="21" t="inlineStr">
        <is>
          <t>55,399,551</t>
        </is>
      </c>
      <c r="J31" s="21" t="n">
        <v>1</v>
      </c>
      <c r="K31" s="21" t="n">
        <v>0</v>
      </c>
      <c r="L31" s="21" t="inlineStr">
        <is>
          <t>23.10.2024 21:10:59</t>
        </is>
      </c>
      <c r="M31" s="19" t="inlineStr">
        <is>
          <t>0 sec</t>
        </is>
      </c>
      <c r="N31" s="21" t="inlineStr">
        <is>
          <t xml:space="preserve">          9K             9K             4K</t>
        </is>
      </c>
      <c r="O31" s="21" t="inlineStr">
        <is>
          <t>BDzC29R4jPSK8zUnkTKvebuzxaw6L6NBkRiMe79upump</t>
        </is>
      </c>
      <c r="P31" s="21">
        <f>HYPERLINK("https://photon-sol.tinyastro.io/en/lp/BDzC29R4jPSK8zUnkTKvebuzxaw6L6NBkRiMe79upump?handle=676050794bc1b1657a56b", "View")</f>
        <v/>
      </c>
    </row>
    <row r="32">
      <c r="A32" s="16" t="inlineStr">
        <is>
          <t>AI</t>
        </is>
      </c>
      <c r="B32" s="17" t="n">
        <v>2484279</v>
      </c>
      <c r="C32" s="17" t="n">
        <v>2484279</v>
      </c>
      <c r="D32" s="17" t="inlineStr">
        <is>
          <t>0.002000</t>
        </is>
      </c>
      <c r="E32" s="17" t="inlineStr">
        <is>
          <t>0.495 SOL</t>
        </is>
      </c>
      <c r="F32" s="17" t="inlineStr">
        <is>
          <t>0.218 SOL</t>
        </is>
      </c>
      <c r="G32" s="23" t="inlineStr">
        <is>
          <t>-0.279 SOL</t>
        </is>
      </c>
      <c r="H32" s="23" t="inlineStr">
        <is>
          <t>-56.14%</t>
        </is>
      </c>
      <c r="I32" s="17" t="inlineStr">
        <is>
          <t>N/A</t>
        </is>
      </c>
      <c r="J32" s="17" t="n">
        <v>1</v>
      </c>
      <c r="K32" s="17" t="n">
        <v>1</v>
      </c>
      <c r="L32" s="17" t="inlineStr">
        <is>
          <t>23.10.2024 20:29:48</t>
        </is>
      </c>
      <c r="M32" s="17" t="inlineStr">
        <is>
          <t>23 hours</t>
        </is>
      </c>
      <c r="N32" s="17" t="inlineStr">
        <is>
          <t xml:space="preserve">         35K            16K             7K</t>
        </is>
      </c>
      <c r="O32" s="17" t="inlineStr">
        <is>
          <t>7dkTdfNjiGDd1QAvwhTJGTFoWZRsPGn23YSaiRK7pump</t>
        </is>
      </c>
      <c r="P32" s="17">
        <f>HYPERLINK("https://dexscreener.com/solana/7dkTdfNjiGDd1QAvwhTJGTFoWZRsPGn23YSaiRK7pump", "View")</f>
        <v/>
      </c>
    </row>
    <row r="33">
      <c r="A33" s="20" t="inlineStr">
        <is>
          <t>GRIMES</t>
        </is>
      </c>
      <c r="B33" s="21" t="n">
        <v>112942070</v>
      </c>
      <c r="C33" s="21" t="n">
        <v>112942070</v>
      </c>
      <c r="D33" s="21" t="inlineStr">
        <is>
          <t>0.002000</t>
        </is>
      </c>
      <c r="E33" s="21" t="inlineStr">
        <is>
          <t>5.003 SOL</t>
        </is>
      </c>
      <c r="F33" s="21" t="inlineStr">
        <is>
          <t>43.027 SOL</t>
        </is>
      </c>
      <c r="G33" s="24" t="inlineStr">
        <is>
          <t>38.022 SOL</t>
        </is>
      </c>
      <c r="H33" s="24" t="inlineStr">
        <is>
          <t>759.68%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16.10.2024 08:32:41</t>
        </is>
      </c>
      <c r="M33" s="21" t="inlineStr">
        <is>
          <t>31 min</t>
        </is>
      </c>
      <c r="N33" s="21" t="inlineStr">
        <is>
          <t xml:space="preserve">          6K            56K             6K</t>
        </is>
      </c>
      <c r="O33" s="21" t="inlineStr">
        <is>
          <t>9nLALZMiL8qkZxW4ZCHiGWxnoHorL7pJYa2TkNptpump</t>
        </is>
      </c>
      <c r="P33" s="21">
        <f>HYPERLINK("https://photon-sol.tinyastro.io/en/lp/9nLALZMiL8qkZxW4ZCHiGWxnoHorL7pJYa2TkNptpump?handle=676050794bc1b1657a56b", "View")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HYPERLINK("https://gmgn.ai/sol/address/6WPK59QrXbeVEjnu8Mt5b4itQ6vSTPm7326i3CcZbTsD", "GMGN")</f>
        <v/>
      </c>
    </row>
    <row r="2">
      <c r="A2" s="3" t="inlineStr">
        <is>
          <t>6WPK59QrXbeVEjnu8Mt5b4itQ6vSTPm7326i3CcZbTsD</t>
        </is>
      </c>
      <c r="B2" s="3" t="inlineStr">
        <is>
          <t>70.91 SOL</t>
        </is>
      </c>
      <c r="C2" s="3" t="inlineStr">
        <is>
          <t>67%</t>
        </is>
      </c>
      <c r="D2" s="3" t="inlineStr">
        <is>
          <t>86%</t>
        </is>
      </c>
      <c r="E2" s="3" t="inlineStr">
        <is>
          <t>72.32 SOL</t>
        </is>
      </c>
      <c r="F2" s="3" t="inlineStr">
        <is>
          <t>1 (3%)</t>
        </is>
      </c>
      <c r="G2" s="3" t="inlineStr">
        <is>
          <t>0 (0%)</t>
        </is>
      </c>
      <c r="H2" s="3" t="n">
        <v>30</v>
      </c>
      <c r="I2" s="3" t="n">
        <v>0</v>
      </c>
      <c r="J2" s="3" t="inlineStr">
        <is>
          <t>7 days</t>
        </is>
      </c>
      <c r="K2" s="3" t="inlineStr">
        <is>
          <t>4 min</t>
        </is>
      </c>
      <c r="L2" s="3" t="n">
        <v>30</v>
      </c>
      <c r="M2" s="3" t="n">
        <v>13</v>
      </c>
      <c r="N2" s="3">
        <f>HYPERLINK("https://solscan.io/account/6WPK59QrXbeVEjnu8Mt5b4itQ6vSTPm7326i3CcZbTsD", "Solscan")</f>
        <v/>
      </c>
    </row>
    <row r="3">
      <c r="A3" s="7" t="inlineStr">
        <is>
          <t>Median ROI</t>
        </is>
      </c>
      <c r="B3" s="4" t="inlineStr">
        <is>
          <t>28.40%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HYPERLINK("https://birdeye.so/profile/6WPK59QrXbeVEjnu8Mt5b4itQ6vSTPm7326i3CcZbTsD", "Birdeye")</f>
        <v/>
      </c>
    </row>
    <row r="4">
      <c r="A4" s="7" t="inlineStr">
        <is>
          <t>Rockets percent</t>
        </is>
      </c>
      <c r="B4" s="3" t="inlineStr">
        <is>
          <t>30%</t>
        </is>
      </c>
      <c r="C4" s="3" t="inlineStr"/>
      <c r="D4" s="3" t="inlineStr">
        <is>
          <t>0%</t>
        </is>
      </c>
      <c r="E4" s="3" t="inlineStr">
        <is>
          <t>0.03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118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1.8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9</v>
      </c>
      <c r="D10" s="7" t="n">
        <v>4</v>
      </c>
      <c r="E10" s="7" t="n">
        <v>7</v>
      </c>
      <c r="F10" s="7" t="n">
        <v>8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30.0%</t>
        </is>
      </c>
      <c r="D11" s="7" t="inlineStr">
        <is>
          <t>13.3%</t>
        </is>
      </c>
      <c r="E11" s="7" t="inlineStr">
        <is>
          <t>23.3%</t>
        </is>
      </c>
      <c r="F11" s="7" t="inlineStr">
        <is>
          <t>26.7%</t>
        </is>
      </c>
      <c r="G11" s="7" t="inlineStr">
        <is>
          <t>6.7%</t>
        </is>
      </c>
      <c r="H11" s="3" t="n"/>
      <c r="I11" s="3" t="inlineStr">
        <is>
          <t>5k-30k</t>
        </is>
      </c>
      <c r="J11" s="3" t="inlineStr">
        <is>
          <t>26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58.8 SOL</t>
        </is>
      </c>
      <c r="D12" s="7" t="inlineStr">
        <is>
          <t>11.8 SOL</t>
        </is>
      </c>
      <c r="E12" s="7" t="inlineStr">
        <is>
          <t>5.8 SOL</t>
        </is>
      </c>
      <c r="F12" s="7" t="inlineStr">
        <is>
          <t>-3.9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RPG</t>
        </is>
      </c>
      <c r="B20" s="17" t="n">
        <v>79579463</v>
      </c>
      <c r="C20" s="17" t="n">
        <v>79579463</v>
      </c>
      <c r="D20" s="17" t="inlineStr">
        <is>
          <t>0.023040</t>
        </is>
      </c>
      <c r="E20" s="17" t="inlineStr">
        <is>
          <t>4.332 SOL</t>
        </is>
      </c>
      <c r="F20" s="17" t="inlineStr">
        <is>
          <t>20.547 SOL</t>
        </is>
      </c>
      <c r="G20" s="24" t="inlineStr">
        <is>
          <t>16.192 SOL</t>
        </is>
      </c>
      <c r="H20" s="24" t="inlineStr">
        <is>
          <t>371.77%</t>
        </is>
      </c>
      <c r="I20" s="17" t="inlineStr">
        <is>
          <t>N/A</t>
        </is>
      </c>
      <c r="J20" s="17" t="n">
        <v>2</v>
      </c>
      <c r="K20" s="17" t="n">
        <v>7</v>
      </c>
      <c r="L20" s="17" t="inlineStr">
        <is>
          <t>30.10.2024 21:02:49</t>
        </is>
      </c>
      <c r="M20" s="17" t="inlineStr">
        <is>
          <t>1 hours</t>
        </is>
      </c>
      <c r="N20" s="17" t="inlineStr">
        <is>
          <t xml:space="preserve">          9K            19K             7K</t>
        </is>
      </c>
      <c r="O20" s="17" t="inlineStr">
        <is>
          <t>FP8KVrhyWKTAZwiKRPqZyUrErh96qyyeqxjgdyMUpump</t>
        </is>
      </c>
      <c r="P20" s="17">
        <f>HYPERLINK("https://photon-sol.tinyastro.io/en/lp/FP8KVrhyWKTAZwiKRPqZyUrErh96qyyeqxjgdyMUpump?handle=676050794bc1b1657a56b", "View")</f>
        <v/>
      </c>
    </row>
    <row r="21">
      <c r="A21" s="20" t="inlineStr">
        <is>
          <t>WEHOT</t>
        </is>
      </c>
      <c r="B21" s="21" t="n">
        <v>73530971</v>
      </c>
      <c r="C21" s="21" t="n">
        <v>73530971</v>
      </c>
      <c r="D21" s="21" t="inlineStr">
        <is>
          <t>0.014030</t>
        </is>
      </c>
      <c r="E21" s="21" t="inlineStr">
        <is>
          <t>3.507 SOL</t>
        </is>
      </c>
      <c r="F21" s="21" t="inlineStr">
        <is>
          <t>3.973 SOL</t>
        </is>
      </c>
      <c r="G21" s="22" t="inlineStr">
        <is>
          <t>0.451 SOL</t>
        </is>
      </c>
      <c r="H21" s="22" t="inlineStr">
        <is>
          <t>12.82%</t>
        </is>
      </c>
      <c r="I21" s="21" t="inlineStr">
        <is>
          <t>N/A</t>
        </is>
      </c>
      <c r="J21" s="21" t="n">
        <v>2</v>
      </c>
      <c r="K21" s="21" t="n">
        <v>4</v>
      </c>
      <c r="L21" s="21" t="inlineStr">
        <is>
          <t>29.10.2024 20:04:10</t>
        </is>
      </c>
      <c r="M21" s="21" t="inlineStr">
        <is>
          <t>4 min</t>
        </is>
      </c>
      <c r="N21" s="21" t="inlineStr">
        <is>
          <t xml:space="preserve">          9K             5K             5K</t>
        </is>
      </c>
      <c r="O21" s="21" t="inlineStr">
        <is>
          <t>GRXsMfL65XnSk5Ps4Zj8ToBvWg2gQrGW9KPXKy5mpump</t>
        </is>
      </c>
      <c r="P21" s="21">
        <f>HYPERLINK("https://photon-sol.tinyastro.io/en/lp/GRXsMfL65XnSk5Ps4Zj8ToBvWg2gQrGW9KPXKy5mpump?handle=676050794bc1b1657a56b", "View")</f>
        <v/>
      </c>
    </row>
    <row r="22">
      <c r="A22" s="16" t="inlineStr">
        <is>
          <t>DUCKHEAD</t>
        </is>
      </c>
      <c r="B22" s="17" t="n">
        <v>43939834</v>
      </c>
      <c r="C22" s="17" t="n">
        <v>43939834</v>
      </c>
      <c r="D22" s="17" t="inlineStr">
        <is>
          <t>0.026050</t>
        </is>
      </c>
      <c r="E22" s="17" t="inlineStr">
        <is>
          <t>7.692 SOL</t>
        </is>
      </c>
      <c r="F22" s="17" t="inlineStr">
        <is>
          <t>12.773 SOL</t>
        </is>
      </c>
      <c r="G22" s="24" t="inlineStr">
        <is>
          <t>5.055 SOL</t>
        </is>
      </c>
      <c r="H22" s="24" t="inlineStr">
        <is>
          <t>65.49%</t>
        </is>
      </c>
      <c r="I22" s="17" t="inlineStr">
        <is>
          <t>N/A</t>
        </is>
      </c>
      <c r="J22" s="17" t="n">
        <v>2</v>
      </c>
      <c r="K22" s="17" t="n">
        <v>8</v>
      </c>
      <c r="L22" s="17" t="inlineStr">
        <is>
          <t>29.10.2024 11:24:42</t>
        </is>
      </c>
      <c r="M22" s="17" t="inlineStr">
        <is>
          <t>17 hours</t>
        </is>
      </c>
      <c r="N22" s="17" t="inlineStr">
        <is>
          <t xml:space="preserve">         30K            23K             4K</t>
        </is>
      </c>
      <c r="O22" s="17" t="inlineStr">
        <is>
          <t>8udpTqbwD9JrFM9idC311xKPGtuFGzti65hZvXrmpump</t>
        </is>
      </c>
      <c r="P22" s="17">
        <f>HYPERLINK("https://photon-sol.tinyastro.io/en/lp/8udpTqbwD9JrFM9idC311xKPGtuFGzti65hZvXrmpump?handle=676050794bc1b1657a56b", "View")</f>
        <v/>
      </c>
    </row>
    <row r="23">
      <c r="A23" s="20" t="inlineStr">
        <is>
          <t>PECY</t>
        </is>
      </c>
      <c r="B23" s="21" t="n">
        <v>29911112</v>
      </c>
      <c r="C23" s="21" t="n">
        <v>29911112</v>
      </c>
      <c r="D23" s="21" t="inlineStr">
        <is>
          <t>0.004010</t>
        </is>
      </c>
      <c r="E23" s="21" t="inlineStr">
        <is>
          <t>1.525 SOL</t>
        </is>
      </c>
      <c r="F23" s="21" t="inlineStr">
        <is>
          <t>1.207 SOL</t>
        </is>
      </c>
      <c r="G23" s="25" t="inlineStr">
        <is>
          <t>-0.322 SOL</t>
        </is>
      </c>
      <c r="H23" s="25" t="inlineStr">
        <is>
          <t>-21.05%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10:18:08</t>
        </is>
      </c>
      <c r="M23" s="21" t="inlineStr">
        <is>
          <t>1 min</t>
        </is>
      </c>
      <c r="N23" s="21" t="inlineStr">
        <is>
          <t xml:space="preserve">          9K             7K             5K</t>
        </is>
      </c>
      <c r="O23" s="21" t="inlineStr">
        <is>
          <t>EG4YVeJSbYd9R6ZfLy23UGBiGQV3vWYcvGpUZkWRpump</t>
        </is>
      </c>
      <c r="P23" s="21">
        <f>HYPERLINK("https://photon-sol.tinyastro.io/en/lp/EG4YVeJSbYd9R6ZfLy23UGBiGQV3vWYcvGpUZkWRpump?handle=676050794bc1b1657a56b", "View")</f>
        <v/>
      </c>
    </row>
    <row r="24">
      <c r="A24" s="16" t="inlineStr">
        <is>
          <t>ECUL</t>
        </is>
      </c>
      <c r="B24" s="17" t="n">
        <v>151217258</v>
      </c>
      <c r="C24" s="17" t="n">
        <v>151217258</v>
      </c>
      <c r="D24" s="17" t="inlineStr">
        <is>
          <t>0.015030</t>
        </is>
      </c>
      <c r="E24" s="17" t="inlineStr">
        <is>
          <t>9.086 SOL</t>
        </is>
      </c>
      <c r="F24" s="17" t="inlineStr">
        <is>
          <t>10.561 SOL</t>
        </is>
      </c>
      <c r="G24" s="22" t="inlineStr">
        <is>
          <t>1.460 SOL</t>
        </is>
      </c>
      <c r="H24" s="22" t="inlineStr">
        <is>
          <t>16.04%</t>
        </is>
      </c>
      <c r="I24" s="17" t="inlineStr">
        <is>
          <t>N/A</t>
        </is>
      </c>
      <c r="J24" s="17" t="n">
        <v>3</v>
      </c>
      <c r="K24" s="17" t="n">
        <v>4</v>
      </c>
      <c r="L24" s="17" t="inlineStr">
        <is>
          <t>29.10.2024 09:56:24</t>
        </is>
      </c>
      <c r="M24" s="17" t="inlineStr">
        <is>
          <t>39 min</t>
        </is>
      </c>
      <c r="N24" s="17" t="inlineStr">
        <is>
          <t xml:space="preserve">          9K            11K             5K</t>
        </is>
      </c>
      <c r="O24" s="17" t="inlineStr">
        <is>
          <t>8db618UgRSoWUJVNY4n6DJNGqMXDcWsQyZsH9TUipump</t>
        </is>
      </c>
      <c r="P24" s="17">
        <f>HYPERLINK("https://photon-sol.tinyastro.io/en/lp/8db618UgRSoWUJVNY4n6DJNGqMXDcWsQyZsH9TUipump?handle=676050794bc1b1657a56b", "View")</f>
        <v/>
      </c>
    </row>
    <row r="25">
      <c r="A25" s="20" t="inlineStr">
        <is>
          <t>SOULS</t>
        </is>
      </c>
      <c r="B25" s="21" t="n">
        <v>96441475</v>
      </c>
      <c r="C25" s="21" t="n">
        <v>96441475</v>
      </c>
      <c r="D25" s="21" t="inlineStr">
        <is>
          <t>0.007010</t>
        </is>
      </c>
      <c r="E25" s="21" t="inlineStr">
        <is>
          <t>3.675 SOL</t>
        </is>
      </c>
      <c r="F25" s="21" t="inlineStr">
        <is>
          <t>10.116 SOL</t>
        </is>
      </c>
      <c r="G25" s="24" t="inlineStr">
        <is>
          <t>6.434 SOL</t>
        </is>
      </c>
      <c r="H25" s="24" t="inlineStr">
        <is>
          <t>174.75%</t>
        </is>
      </c>
      <c r="I25" s="21" t="inlineStr">
        <is>
          <t>N/A</t>
        </is>
      </c>
      <c r="J25" s="21" t="n">
        <v>1</v>
      </c>
      <c r="K25" s="21" t="n">
        <v>2</v>
      </c>
      <c r="L25" s="21" t="inlineStr">
        <is>
          <t>28.10.2024 19:46:56</t>
        </is>
      </c>
      <c r="M25" s="21" t="inlineStr">
        <is>
          <t>1 min</t>
        </is>
      </c>
      <c r="N25" s="21" t="inlineStr">
        <is>
          <t xml:space="preserve">          7K            19K             5K</t>
        </is>
      </c>
      <c r="O25" s="21" t="inlineStr">
        <is>
          <t>Cnv6aoMJBignHDpsXrjdtiNAD7QAwfVgrke6RVXVpump</t>
        </is>
      </c>
      <c r="P25" s="21">
        <f>HYPERLINK("https://photon-sol.tinyastro.io/en/lp/Cnv6aoMJBignHDpsXrjdtiNAD7QAwfVgrke6RVXVpump?handle=676050794bc1b1657a56b", "View")</f>
        <v/>
      </c>
    </row>
    <row r="26">
      <c r="A26" s="16" t="inlineStr">
        <is>
          <t>DTRIP</t>
        </is>
      </c>
      <c r="B26" s="17" t="n">
        <v>15456174</v>
      </c>
      <c r="C26" s="17" t="n">
        <v>15456174</v>
      </c>
      <c r="D26" s="17" t="inlineStr">
        <is>
          <t>0.013030</t>
        </is>
      </c>
      <c r="E26" s="17" t="inlineStr">
        <is>
          <t>2.251 SOL</t>
        </is>
      </c>
      <c r="F26" s="17" t="inlineStr">
        <is>
          <t>3.181 SOL</t>
        </is>
      </c>
      <c r="G26" s="22" t="inlineStr">
        <is>
          <t>0.916 SOL</t>
        </is>
      </c>
      <c r="H26" s="22" t="inlineStr">
        <is>
          <t>40.48%</t>
        </is>
      </c>
      <c r="I26" s="17" t="inlineStr">
        <is>
          <t>N/A</t>
        </is>
      </c>
      <c r="J26" s="17" t="n">
        <v>1</v>
      </c>
      <c r="K26" s="17" t="n">
        <v>4</v>
      </c>
      <c r="L26" s="17" t="inlineStr">
        <is>
          <t>28.10.2024 18:53:52</t>
        </is>
      </c>
      <c r="M26" s="17" t="inlineStr">
        <is>
          <t>5 min</t>
        </is>
      </c>
      <c r="N26" s="17" t="inlineStr">
        <is>
          <t xml:space="preserve">         26K            18K             5K</t>
        </is>
      </c>
      <c r="O26" s="17" t="inlineStr">
        <is>
          <t>HXjDCr5ZCmVCTTgsA55tuNC5Nyq73AsiUWcgNJRzpump</t>
        </is>
      </c>
      <c r="P26" s="17">
        <f>HYPERLINK("https://photon-sol.tinyastro.io/en/lp/HXjDCr5ZCmVCTTgsA55tuNC5Nyq73AsiUWcgNJRzpump?handle=676050794bc1b1657a56b", "View")</f>
        <v/>
      </c>
    </row>
    <row r="27">
      <c r="A27" s="20" t="inlineStr">
        <is>
          <t>Gypsies</t>
        </is>
      </c>
      <c r="B27" s="21" t="n">
        <v>463835</v>
      </c>
      <c r="C27" s="21" t="n">
        <v>463835</v>
      </c>
      <c r="D27" s="21" t="inlineStr">
        <is>
          <t>0.013010</t>
        </is>
      </c>
      <c r="E27" s="21" t="inlineStr">
        <is>
          <t>0.034 SOL</t>
        </is>
      </c>
      <c r="F27" s="21" t="inlineStr">
        <is>
          <t>0.015 SOL</t>
        </is>
      </c>
      <c r="G27" s="23" t="inlineStr">
        <is>
          <t>-0.032 SOL</t>
        </is>
      </c>
      <c r="H27" s="23" t="inlineStr">
        <is>
          <t>-67.95%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28.10.2024 17:07:20</t>
        </is>
      </c>
      <c r="M27" s="21" t="inlineStr">
        <is>
          <t>4 days</t>
        </is>
      </c>
      <c r="N27" s="21" t="inlineStr">
        <is>
          <t xml:space="preserve">         12K            12K             6K</t>
        </is>
      </c>
      <c r="O27" s="21" t="inlineStr">
        <is>
          <t>5TAY8Nqf7R2qaVEJxQ8d6RcyCnB4D6vb4B8zwxhWpump</t>
        </is>
      </c>
      <c r="P27" s="21">
        <f>HYPERLINK("https://photon-sol.tinyastro.io/en/lp/5TAY8Nqf7R2qaVEJxQ8d6RcyCnB4D6vb4B8zwxhWpump?handle=676050794bc1b1657a56b", "View")</f>
        <v/>
      </c>
    </row>
    <row r="28">
      <c r="A28" s="16" t="inlineStr">
        <is>
          <t>pepemask</t>
        </is>
      </c>
      <c r="B28" s="17" t="n">
        <v>38845670</v>
      </c>
      <c r="C28" s="17" t="n">
        <v>38845670</v>
      </c>
      <c r="D28" s="17" t="inlineStr">
        <is>
          <t>0.010020</t>
        </is>
      </c>
      <c r="E28" s="17" t="inlineStr">
        <is>
          <t>3.520 SOL</t>
        </is>
      </c>
      <c r="F28" s="17" t="inlineStr">
        <is>
          <t>7.550 SOL</t>
        </is>
      </c>
      <c r="G28" s="24" t="inlineStr">
        <is>
          <t>4.020 SOL</t>
        </is>
      </c>
      <c r="H28" s="24" t="inlineStr">
        <is>
          <t>113.86%</t>
        </is>
      </c>
      <c r="I28" s="17" t="inlineStr">
        <is>
          <t>N/A</t>
        </is>
      </c>
      <c r="J28" s="17" t="n">
        <v>1</v>
      </c>
      <c r="K28" s="17" t="n">
        <v>3</v>
      </c>
      <c r="L28" s="17" t="inlineStr">
        <is>
          <t>28.10.2024 15:47:35</t>
        </is>
      </c>
      <c r="M28" s="17" t="inlineStr">
        <is>
          <t>2 min</t>
        </is>
      </c>
      <c r="N28" s="17" t="inlineStr">
        <is>
          <t xml:space="preserve">         16K            26K             6K</t>
        </is>
      </c>
      <c r="O28" s="17" t="inlineStr">
        <is>
          <t>L2zhY3yhdw4CQAP6iT3xZy1eH598AHkSEQtmSQVpump</t>
        </is>
      </c>
      <c r="P28" s="17">
        <f>HYPERLINK("https://photon-sol.tinyastro.io/en/lp/L2zhY3yhdw4CQAP6iT3xZy1eH598AHkSEQtmSQVpump?handle=676050794bc1b1657a56b", "View")</f>
        <v/>
      </c>
    </row>
    <row r="29">
      <c r="A29" s="20" t="inlineStr">
        <is>
          <t>smokeymo</t>
        </is>
      </c>
      <c r="B29" s="21" t="n">
        <v>15870701</v>
      </c>
      <c r="C29" s="21" t="n">
        <v>15870701</v>
      </c>
      <c r="D29" s="21" t="inlineStr">
        <is>
          <t>0.012030</t>
        </is>
      </c>
      <c r="E29" s="21" t="inlineStr">
        <is>
          <t>1.674 SOL</t>
        </is>
      </c>
      <c r="F29" s="21" t="inlineStr">
        <is>
          <t>2.696 SOL</t>
        </is>
      </c>
      <c r="G29" s="24" t="inlineStr">
        <is>
          <t>1.010 SOL</t>
        </is>
      </c>
      <c r="H29" s="24" t="inlineStr">
        <is>
          <t>59.88%</t>
        </is>
      </c>
      <c r="I29" s="21" t="inlineStr">
        <is>
          <t>N/A</t>
        </is>
      </c>
      <c r="J29" s="21" t="n">
        <v>3</v>
      </c>
      <c r="K29" s="21" t="n">
        <v>3</v>
      </c>
      <c r="L29" s="21" t="inlineStr">
        <is>
          <t>28.10.2024 12:23:58</t>
        </is>
      </c>
      <c r="M29" s="21" t="inlineStr">
        <is>
          <t>27 min</t>
        </is>
      </c>
      <c r="N29" s="21" t="inlineStr">
        <is>
          <t xml:space="preserve">         17K            21K             5K</t>
        </is>
      </c>
      <c r="O29" s="21" t="inlineStr">
        <is>
          <t>2QEjZVKEj2MhDr2JFUNZ6gmaufqYYt2aPeL31nFVpump</t>
        </is>
      </c>
      <c r="P29" s="21">
        <f>HYPERLINK("https://photon-sol.tinyastro.io/en/lp/2QEjZVKEj2MhDr2JFUNZ6gmaufqYYt2aPeL31nFVpump?handle=676050794bc1b1657a56b", "View")</f>
        <v/>
      </c>
    </row>
    <row r="30">
      <c r="A30" s="16" t="inlineStr">
        <is>
          <t>PIMPLE</t>
        </is>
      </c>
      <c r="B30" s="17" t="n">
        <v>66655149</v>
      </c>
      <c r="C30" s="17" t="n">
        <v>66655149</v>
      </c>
      <c r="D30" s="17" t="inlineStr">
        <is>
          <t>0.008020</t>
        </is>
      </c>
      <c r="E30" s="17" t="inlineStr">
        <is>
          <t>6.146 SOL</t>
        </is>
      </c>
      <c r="F30" s="17" t="inlineStr">
        <is>
          <t>7.808 SOL</t>
        </is>
      </c>
      <c r="G30" s="22" t="inlineStr">
        <is>
          <t>1.655 SOL</t>
        </is>
      </c>
      <c r="H30" s="22" t="inlineStr">
        <is>
          <t>26.89%</t>
        </is>
      </c>
      <c r="I30" s="17" t="inlineStr">
        <is>
          <t>N/A</t>
        </is>
      </c>
      <c r="J30" s="17" t="n">
        <v>2</v>
      </c>
      <c r="K30" s="17" t="n">
        <v>2</v>
      </c>
      <c r="L30" s="17" t="inlineStr">
        <is>
          <t>28.10.2024 07:19:15</t>
        </is>
      </c>
      <c r="M30" s="17" t="inlineStr">
        <is>
          <t>1 min</t>
        </is>
      </c>
      <c r="N30" s="17" t="inlineStr">
        <is>
          <t xml:space="preserve">         16K            16K             5K</t>
        </is>
      </c>
      <c r="O30" s="17" t="inlineStr">
        <is>
          <t>5huXvAYpEsuoMfWFr6AER4yAmXQCteRioKkVwKkHpump</t>
        </is>
      </c>
      <c r="P30" s="17">
        <f>HYPERLINK("https://photon-sol.tinyastro.io/en/lp/5huXvAYpEsuoMfWFr6AER4yAmXQCteRioKkVwKkHpump?handle=676050794bc1b1657a56b", "View")</f>
        <v/>
      </c>
    </row>
    <row r="31">
      <c r="A31" s="20" t="inlineStr">
        <is>
          <t>KEDRA</t>
        </is>
      </c>
      <c r="B31" s="21" t="n">
        <v>36516823</v>
      </c>
      <c r="C31" s="21" t="n">
        <v>36516823</v>
      </c>
      <c r="D31" s="21" t="inlineStr">
        <is>
          <t>0.004010</t>
        </is>
      </c>
      <c r="E31" s="21" t="inlineStr">
        <is>
          <t>4.568 SOL</t>
        </is>
      </c>
      <c r="F31" s="21" t="inlineStr">
        <is>
          <t>15.143 SOL</t>
        </is>
      </c>
      <c r="G31" s="24" t="inlineStr">
        <is>
          <t>10.571 SOL</t>
        </is>
      </c>
      <c r="H31" s="24" t="inlineStr">
        <is>
          <t>231.20%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27.10.2024 16:18:44</t>
        </is>
      </c>
      <c r="M31" s="21" t="inlineStr">
        <is>
          <t>3 min</t>
        </is>
      </c>
      <c r="N31" s="21" t="inlineStr">
        <is>
          <t xml:space="preserve">         23K            72K             4K</t>
        </is>
      </c>
      <c r="O31" s="21" t="inlineStr">
        <is>
          <t>E2keFx7gBh1L51XRrQ9AefJQpvffvk4KCJUxvPL3pump</t>
        </is>
      </c>
      <c r="P31" s="21">
        <f>HYPERLINK("https://photon-sol.tinyastro.io/en/lp/E2keFx7gBh1L51XRrQ9AefJQpvffvk4KCJUxvPL3pump?handle=676050794bc1b1657a56b", "View")</f>
        <v/>
      </c>
    </row>
    <row r="32">
      <c r="A32" s="16" t="inlineStr">
        <is>
          <t>░</t>
        </is>
      </c>
      <c r="B32" s="17" t="n">
        <v>36126342</v>
      </c>
      <c r="C32" s="17" t="n">
        <v>36126342</v>
      </c>
      <c r="D32" s="17" t="inlineStr">
        <is>
          <t>0.027060</t>
        </is>
      </c>
      <c r="E32" s="17" t="inlineStr">
        <is>
          <t>7.029 SOL</t>
        </is>
      </c>
      <c r="F32" s="17" t="inlineStr">
        <is>
          <t>12.209 SOL</t>
        </is>
      </c>
      <c r="G32" s="24" t="inlineStr">
        <is>
          <t>5.153 SOL</t>
        </is>
      </c>
      <c r="H32" s="24" t="inlineStr">
        <is>
          <t>73.03%</t>
        </is>
      </c>
      <c r="I32" s="17" t="inlineStr">
        <is>
          <t>N/A</t>
        </is>
      </c>
      <c r="J32" s="17" t="n">
        <v>6</v>
      </c>
      <c r="K32" s="17" t="n">
        <v>7</v>
      </c>
      <c r="L32" s="17" t="inlineStr">
        <is>
          <t>27.10.2024 13:15:21</t>
        </is>
      </c>
      <c r="M32" s="17" t="inlineStr">
        <is>
          <t>18 hours</t>
        </is>
      </c>
      <c r="N32" s="17" t="inlineStr">
        <is>
          <t xml:space="preserve">         32K            67K            11K</t>
        </is>
      </c>
      <c r="O32" s="17" t="inlineStr">
        <is>
          <t>3n1xUaWFVV1s8WTzpwSdn2Ku5MJ2w1uC8RXWxBZxpump</t>
        </is>
      </c>
      <c r="P32" s="17">
        <f>HYPERLINK("https://photon-sol.tinyastro.io/en/lp/3n1xUaWFVV1s8WTzpwSdn2Ku5MJ2w1uC8RXWxBZxpump?handle=676050794bc1b1657a56b", "View")</f>
        <v/>
      </c>
    </row>
    <row r="33">
      <c r="A33" s="20" t="inlineStr">
        <is>
          <t>JIGCOW</t>
        </is>
      </c>
      <c r="B33" s="21" t="n">
        <v>36358040</v>
      </c>
      <c r="C33" s="21" t="n">
        <v>35993282</v>
      </c>
      <c r="D33" s="21" t="inlineStr">
        <is>
          <t>0.027050</t>
        </is>
      </c>
      <c r="E33" s="21" t="inlineStr">
        <is>
          <t>1.635 SOL</t>
        </is>
      </c>
      <c r="F33" s="21" t="inlineStr">
        <is>
          <t>4.426 SOL</t>
        </is>
      </c>
      <c r="G33" s="24" t="inlineStr">
        <is>
          <t>2.764 SOL</t>
        </is>
      </c>
      <c r="H33" s="24" t="inlineStr">
        <is>
          <t>166.31%</t>
        </is>
      </c>
      <c r="I33" s="21" t="inlineStr">
        <is>
          <t>N/A</t>
        </is>
      </c>
      <c r="J33" s="21" t="n">
        <v>3</v>
      </c>
      <c r="K33" s="21" t="n">
        <v>8</v>
      </c>
      <c r="L33" s="21" t="inlineStr">
        <is>
          <t>26.10.2024 23:29:31</t>
        </is>
      </c>
      <c r="M33" s="21" t="inlineStr">
        <is>
          <t>2 hours</t>
        </is>
      </c>
      <c r="N33" s="21" t="inlineStr">
        <is>
          <t xml:space="preserve">         47K            30K             9K</t>
        </is>
      </c>
      <c r="O33" s="21" t="inlineStr">
        <is>
          <t>H6YMhP828m4i9UmxCh7HVovktM92qZEY3DMDwtvRpump</t>
        </is>
      </c>
      <c r="P33" s="21">
        <f>HYPERLINK("https://photon-sol.tinyastro.io/en/lp/H6YMhP828m4i9UmxCh7HVovktM92qZEY3DMDwtvRpump?handle=676050794bc1b1657a56b", "View")</f>
        <v/>
      </c>
    </row>
    <row r="34">
      <c r="A34" s="16" t="inlineStr">
        <is>
          <t>⋱⋱⋱</t>
        </is>
      </c>
      <c r="B34" s="17" t="n">
        <v>17009493</v>
      </c>
      <c r="C34" s="17" t="n">
        <v>17009493</v>
      </c>
      <c r="D34" s="17" t="inlineStr">
        <is>
          <t>0.016030</t>
        </is>
      </c>
      <c r="E34" s="17" t="inlineStr">
        <is>
          <t>1.501 SOL</t>
        </is>
      </c>
      <c r="F34" s="17" t="inlineStr">
        <is>
          <t>1.870 SOL</t>
        </is>
      </c>
      <c r="G34" s="22" t="inlineStr">
        <is>
          <t>0.353 SOL</t>
        </is>
      </c>
      <c r="H34" s="22" t="inlineStr">
        <is>
          <t>23.26%</t>
        </is>
      </c>
      <c r="I34" s="17" t="inlineStr">
        <is>
          <t>N/A</t>
        </is>
      </c>
      <c r="J34" s="17" t="n">
        <v>1</v>
      </c>
      <c r="K34" s="17" t="n">
        <v>5</v>
      </c>
      <c r="L34" s="17" t="inlineStr">
        <is>
          <t>26.10.2024 23:08:15</t>
        </is>
      </c>
      <c r="M34" s="17" t="inlineStr">
        <is>
          <t>7 min</t>
        </is>
      </c>
      <c r="N34" s="17" t="inlineStr">
        <is>
          <t xml:space="preserve">         16K            21K             6K</t>
        </is>
      </c>
      <c r="O34" s="17" t="inlineStr">
        <is>
          <t>7LaQQ3ahWeHR59B7eDzDhHkeMa3rLHxF7eb1ZmHPpump</t>
        </is>
      </c>
      <c r="P34" s="17">
        <f>HYPERLINK("https://photon-sol.tinyastro.io/en/lp/7LaQQ3ahWeHR59B7eDzDhHkeMa3rLHxF7eb1ZmHPpump?handle=676050794bc1b1657a56b", "View")</f>
        <v/>
      </c>
    </row>
    <row r="35">
      <c r="A35" s="20" t="inlineStr">
        <is>
          <t>EGO</t>
        </is>
      </c>
      <c r="B35" s="21" t="n">
        <v>509534</v>
      </c>
      <c r="C35" s="21" t="n">
        <v>509534</v>
      </c>
      <c r="D35" s="21" t="inlineStr">
        <is>
          <t>0.004010</t>
        </is>
      </c>
      <c r="E35" s="21" t="inlineStr">
        <is>
          <t>0.097 SOL</t>
        </is>
      </c>
      <c r="F35" s="21" t="inlineStr">
        <is>
          <t>0.028 SOL</t>
        </is>
      </c>
      <c r="G35" s="23" t="inlineStr">
        <is>
          <t>-0.073 SOL</t>
        </is>
      </c>
      <c r="H35" s="23" t="inlineStr">
        <is>
          <t>-72.68%</t>
        </is>
      </c>
      <c r="I35" s="21" t="inlineStr">
        <is>
          <t>N/A</t>
        </is>
      </c>
      <c r="J35" s="21" t="n">
        <v>1</v>
      </c>
      <c r="K35" s="21" t="n">
        <v>1</v>
      </c>
      <c r="L35" s="21" t="inlineStr">
        <is>
          <t>26.10.2024 22:27:04</t>
        </is>
      </c>
      <c r="M35" s="21" t="inlineStr">
        <is>
          <t>3 min</t>
        </is>
      </c>
      <c r="N35" s="21" t="inlineStr">
        <is>
          <t xml:space="preserve">         33K             9K             5K</t>
        </is>
      </c>
      <c r="O35" s="21" t="inlineStr">
        <is>
          <t>F1YVsxXSpQYF38PmVSZkyqCGj3EfeDyRber8Q2zrpump</t>
        </is>
      </c>
      <c r="P35" s="21">
        <f>HYPERLINK("https://photon-sol.tinyastro.io/en/lp/F1YVsxXSpQYF38PmVSZkyqCGj3EfeDyRber8Q2zrpump?handle=676050794bc1b1657a56b", "View")</f>
        <v/>
      </c>
    </row>
    <row r="36">
      <c r="A36" s="16" t="inlineStr">
        <is>
          <t>◝†◜</t>
        </is>
      </c>
      <c r="B36" s="17" t="n">
        <v>56256061</v>
      </c>
      <c r="C36" s="17" t="n">
        <v>56256061</v>
      </c>
      <c r="D36" s="17" t="inlineStr">
        <is>
          <t>0.011030</t>
        </is>
      </c>
      <c r="E36" s="17" t="inlineStr">
        <is>
          <t>4.277 SOL</t>
        </is>
      </c>
      <c r="F36" s="17" t="inlineStr">
        <is>
          <t>14.721 SOL</t>
        </is>
      </c>
      <c r="G36" s="24" t="inlineStr">
        <is>
          <t>10.434 SOL</t>
        </is>
      </c>
      <c r="H36" s="24" t="inlineStr">
        <is>
          <t>243.35%</t>
        </is>
      </c>
      <c r="I36" s="17" t="inlineStr">
        <is>
          <t>N/A</t>
        </is>
      </c>
      <c r="J36" s="17" t="n">
        <v>2</v>
      </c>
      <c r="K36" s="17" t="n">
        <v>3</v>
      </c>
      <c r="L36" s="17" t="inlineStr">
        <is>
          <t>26.10.2024 22:09:40</t>
        </is>
      </c>
      <c r="M36" s="17" t="inlineStr">
        <is>
          <t>7 min</t>
        </is>
      </c>
      <c r="N36" s="17" t="inlineStr">
        <is>
          <t xml:space="preserve">         12K            32K             4K</t>
        </is>
      </c>
      <c r="O36" s="17" t="inlineStr">
        <is>
          <t>FN8sbVRP7obTaX6bEwuTY5zVvpmwFBBKNheu5kN2pump</t>
        </is>
      </c>
      <c r="P36" s="17">
        <f>HYPERLINK("https://photon-sol.tinyastro.io/en/lp/FN8sbVRP7obTaX6bEwuTY5zVvpmwFBBKNheu5kN2pump?handle=676050794bc1b1657a56b", "View")</f>
        <v/>
      </c>
    </row>
    <row r="37">
      <c r="A37" s="20" t="inlineStr">
        <is>
          <t>TAPE</t>
        </is>
      </c>
      <c r="B37" s="21" t="n">
        <v>27406971</v>
      </c>
      <c r="C37" s="21" t="n">
        <v>27406971</v>
      </c>
      <c r="D37" s="21" t="inlineStr">
        <is>
          <t>0.016040</t>
        </is>
      </c>
      <c r="E37" s="21" t="inlineStr">
        <is>
          <t>1.323 SOL</t>
        </is>
      </c>
      <c r="F37" s="21" t="inlineStr">
        <is>
          <t>1.135 SOL</t>
        </is>
      </c>
      <c r="G37" s="25" t="inlineStr">
        <is>
          <t>-0.205 SOL</t>
        </is>
      </c>
      <c r="H37" s="25" t="inlineStr">
        <is>
          <t>-15.27%</t>
        </is>
      </c>
      <c r="I37" s="21" t="inlineStr">
        <is>
          <t>N/A</t>
        </is>
      </c>
      <c r="J37" s="21" t="n">
        <v>4</v>
      </c>
      <c r="K37" s="21" t="n">
        <v>4</v>
      </c>
      <c r="L37" s="21" t="inlineStr">
        <is>
          <t>26.10.2024 17:38:24</t>
        </is>
      </c>
      <c r="M37" s="21" t="inlineStr">
        <is>
          <t>1 hours</t>
        </is>
      </c>
      <c r="N37" s="21" t="inlineStr">
        <is>
          <t xml:space="preserve">          7K             7K             5K</t>
        </is>
      </c>
      <c r="O37" s="21" t="inlineStr">
        <is>
          <t>5r9KdJogvSa9bEbNYo4BoCQjH8CaHcovJizWNaePpump</t>
        </is>
      </c>
      <c r="P37" s="21">
        <f>HYPERLINK("https://photon-sol.tinyastro.io/en/lp/5r9KdJogvSa9bEbNYo4BoCQjH8CaHcovJizWNaePpump?handle=676050794bc1b1657a56b", "View")</f>
        <v/>
      </c>
    </row>
    <row r="38">
      <c r="A38" s="16" t="inlineStr">
        <is>
          <t>௵</t>
        </is>
      </c>
      <c r="B38" s="17" t="n">
        <v>4945413</v>
      </c>
      <c r="C38" s="17" t="n">
        <v>4770160</v>
      </c>
      <c r="D38" s="17" t="inlineStr">
        <is>
          <t>0.075030</t>
        </is>
      </c>
      <c r="E38" s="17" t="inlineStr">
        <is>
          <t>1.754 SOL</t>
        </is>
      </c>
      <c r="F38" s="17" t="inlineStr">
        <is>
          <t>1.101 SOL</t>
        </is>
      </c>
      <c r="G38" s="25" t="inlineStr">
        <is>
          <t>-0.729 SOL</t>
        </is>
      </c>
      <c r="H38" s="25" t="inlineStr">
        <is>
          <t>-39.83%</t>
        </is>
      </c>
      <c r="I38" s="17" t="inlineStr">
        <is>
          <t>N/A</t>
        </is>
      </c>
      <c r="J38" s="17" t="n">
        <v>4</v>
      </c>
      <c r="K38" s="17" t="n">
        <v>3</v>
      </c>
      <c r="L38" s="17" t="inlineStr">
        <is>
          <t>25.10.2024 20:06:11</t>
        </is>
      </c>
      <c r="M38" s="17" t="inlineStr">
        <is>
          <t>2 hours</t>
        </is>
      </c>
      <c r="N38" s="17" t="inlineStr">
        <is>
          <t xml:space="preserve">         33K           100K             7K</t>
        </is>
      </c>
      <c r="O38" s="17" t="inlineStr">
        <is>
          <t>5htRq8A33EaivheAGtuBTWwM6UA18NR9JL3MjkfLpump</t>
        </is>
      </c>
      <c r="P38" s="17">
        <f>HYPERLINK("https://photon-sol.tinyastro.io/en/lp/5htRq8A33EaivheAGtuBTWwM6UA18NR9JL3MjkfLpump?handle=676050794bc1b1657a56b", "View")</f>
        <v/>
      </c>
    </row>
    <row r="39">
      <c r="A39" s="20" t="inlineStr">
        <is>
          <t>TECG</t>
        </is>
      </c>
      <c r="B39" s="21" t="n">
        <v>23958065</v>
      </c>
      <c r="C39" s="21" t="n">
        <v>23958065</v>
      </c>
      <c r="D39" s="21" t="inlineStr">
        <is>
          <t>0.004010</t>
        </is>
      </c>
      <c r="E39" s="21" t="inlineStr">
        <is>
          <t>1.528 SOL</t>
        </is>
      </c>
      <c r="F39" s="21" t="inlineStr">
        <is>
          <t>0.960 SOL</t>
        </is>
      </c>
      <c r="G39" s="25" t="inlineStr">
        <is>
          <t>-0.572 SOL</t>
        </is>
      </c>
      <c r="H39" s="25" t="inlineStr">
        <is>
          <t>-37.32%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25.10.2024 19:52:55</t>
        </is>
      </c>
      <c r="M39" s="21" t="inlineStr">
        <is>
          <t>6 min</t>
        </is>
      </c>
      <c r="N39" s="21" t="inlineStr">
        <is>
          <t xml:space="preserve">         11K             7K             5K</t>
        </is>
      </c>
      <c r="O39" s="21" t="inlineStr">
        <is>
          <t>DMa7xzih6zKfygc9ZDreLbuX1mBzBbU5PqGnS94Apump</t>
        </is>
      </c>
      <c r="P39" s="21">
        <f>HYPERLINK("https://photon-sol.tinyastro.io/en/lp/DMa7xzih6zKfygc9ZDreLbuX1mBzBbU5PqGnS94Apump?handle=676050794bc1b1657a56b", "View")</f>
        <v/>
      </c>
    </row>
    <row r="40">
      <c r="A40" s="16" t="inlineStr">
        <is>
          <t>ƎԀƎԀ</t>
        </is>
      </c>
      <c r="B40" s="17" t="n">
        <v>3004054</v>
      </c>
      <c r="C40" s="17" t="n">
        <v>3004054</v>
      </c>
      <c r="D40" s="17" t="inlineStr">
        <is>
          <t>0.004010</t>
        </is>
      </c>
      <c r="E40" s="17" t="inlineStr">
        <is>
          <t>0.120 SOL</t>
        </is>
      </c>
      <c r="F40" s="17" t="inlineStr">
        <is>
          <t>0.127 SOL</t>
        </is>
      </c>
      <c r="G40" s="22" t="inlineStr">
        <is>
          <t>0.003 SOL</t>
        </is>
      </c>
      <c r="H40" s="22" t="inlineStr">
        <is>
          <t>2.36%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25.10.2024 19:35:45</t>
        </is>
      </c>
      <c r="M40" s="17" t="inlineStr">
        <is>
          <t>1 min</t>
        </is>
      </c>
      <c r="N40" s="17" t="inlineStr">
        <is>
          <t xml:space="preserve">          7K             7K             5K</t>
        </is>
      </c>
      <c r="O40" s="17" t="inlineStr">
        <is>
          <t>FVEq1XcQwwd74DkVFpUpdUJw49VNJtUmVvNU26TMpump</t>
        </is>
      </c>
      <c r="P40" s="17">
        <f>HYPERLINK("https://photon-sol.tinyastro.io/en/lp/FVEq1XcQwwd74DkVFpUpdUJw49VNJtUmVvNU26TMpump?handle=676050794bc1b1657a56b", "View")</f>
        <v/>
      </c>
    </row>
    <row r="41">
      <c r="A41" s="20" t="inlineStr">
        <is>
          <t>չєภ</t>
        </is>
      </c>
      <c r="B41" s="21" t="n">
        <v>38032080</v>
      </c>
      <c r="C41" s="21" t="n">
        <v>38032080</v>
      </c>
      <c r="D41" s="21" t="inlineStr">
        <is>
          <t>0.080020</t>
        </is>
      </c>
      <c r="E41" s="21" t="inlineStr">
        <is>
          <t>2.116 SOL</t>
        </is>
      </c>
      <c r="F41" s="21" t="inlineStr">
        <is>
          <t>1.652 SOL</t>
        </is>
      </c>
      <c r="G41" s="25" t="inlineStr">
        <is>
          <t>-0.545 SOL</t>
        </is>
      </c>
      <c r="H41" s="25" t="inlineStr">
        <is>
          <t>-24.81%</t>
        </is>
      </c>
      <c r="I41" s="21" t="inlineStr">
        <is>
          <t>N/A</t>
        </is>
      </c>
      <c r="J41" s="21" t="n">
        <v>2</v>
      </c>
      <c r="K41" s="21" t="n">
        <v>3</v>
      </c>
      <c r="L41" s="21" t="inlineStr">
        <is>
          <t>25.10.2024 18:42:02</t>
        </is>
      </c>
      <c r="M41" s="21" t="inlineStr">
        <is>
          <t>4 min</t>
        </is>
      </c>
      <c r="N41" s="21" t="inlineStr">
        <is>
          <t xml:space="preserve">         11K             5K             5K</t>
        </is>
      </c>
      <c r="O41" s="21" t="inlineStr">
        <is>
          <t>BbiUNtykVPb3K9sqt2mUVAGuC1FTeB9WbYtnbu5kpump</t>
        </is>
      </c>
      <c r="P41" s="21">
        <f>HYPERLINK("https://photon-sol.tinyastro.io/en/lp/BbiUNtykVPb3K9sqt2mUVAGuC1FTeB9WbYtnbu5kpump?handle=676050794bc1b1657a56b", "View")</f>
        <v/>
      </c>
    </row>
    <row r="42">
      <c r="A42" s="16" t="inlineStr">
        <is>
          <t>HUMANAI</t>
        </is>
      </c>
      <c r="B42" s="17" t="n">
        <v>52086290</v>
      </c>
      <c r="C42" s="17" t="n">
        <v>52086290</v>
      </c>
      <c r="D42" s="17" t="inlineStr">
        <is>
          <t>0.040010</t>
        </is>
      </c>
      <c r="E42" s="17" t="inlineStr">
        <is>
          <t>3.085 SOL</t>
        </is>
      </c>
      <c r="F42" s="17" t="inlineStr">
        <is>
          <t>1.926 SOL</t>
        </is>
      </c>
      <c r="G42" s="25" t="inlineStr">
        <is>
          <t>-1.200 SOL</t>
        </is>
      </c>
      <c r="H42" s="25" t="inlineStr">
        <is>
          <t>-38.39%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24.10.2024 20:37:48</t>
        </is>
      </c>
      <c r="M42" s="17" t="inlineStr">
        <is>
          <t>2 min</t>
        </is>
      </c>
      <c r="N42" s="17" t="inlineStr">
        <is>
          <t xml:space="preserve">         11K             7K             5K</t>
        </is>
      </c>
      <c r="O42" s="17" t="inlineStr">
        <is>
          <t>FC8sbvpmuSbb58fexUwZuJ7f4V9VLQgtffesvrMNpump</t>
        </is>
      </c>
      <c r="P42" s="17">
        <f>HYPERLINK("https://photon-sol.tinyastro.io/en/lp/FC8sbvpmuSbb58fexUwZuJ7f4V9VLQgtffesvrMNpump?handle=676050794bc1b1657a56b", "View")</f>
        <v/>
      </c>
    </row>
    <row r="43">
      <c r="A43" s="20" t="inlineStr">
        <is>
          <t>APEPE</t>
        </is>
      </c>
      <c r="B43" s="21" t="n">
        <v>44514961</v>
      </c>
      <c r="C43" s="21" t="n">
        <v>44514961</v>
      </c>
      <c r="D43" s="21" t="inlineStr">
        <is>
          <t>0.060010</t>
        </is>
      </c>
      <c r="E43" s="21" t="inlineStr">
        <is>
          <t>3.110 SOL</t>
        </is>
      </c>
      <c r="F43" s="21" t="inlineStr">
        <is>
          <t>4.118 SOL</t>
        </is>
      </c>
      <c r="G43" s="22" t="inlineStr">
        <is>
          <t>0.948 SOL</t>
        </is>
      </c>
      <c r="H43" s="22" t="inlineStr">
        <is>
          <t>29.91%</t>
        </is>
      </c>
      <c r="I43" s="21" t="inlineStr">
        <is>
          <t>N/A</t>
        </is>
      </c>
      <c r="J43" s="21" t="n">
        <v>1</v>
      </c>
      <c r="K43" s="21" t="n">
        <v>2</v>
      </c>
      <c r="L43" s="21" t="inlineStr">
        <is>
          <t>24.10.2024 19:39:14</t>
        </is>
      </c>
      <c r="M43" s="21" t="inlineStr">
        <is>
          <t>2 min</t>
        </is>
      </c>
      <c r="N43" s="21" t="inlineStr">
        <is>
          <t xml:space="preserve">         12K            11K             6K</t>
        </is>
      </c>
      <c r="O43" s="21" t="inlineStr">
        <is>
          <t>CsiY9A46Aq7KWUqZsoV1uegM8y5KkVv6E9qs6Phspump</t>
        </is>
      </c>
      <c r="P43" s="21">
        <f>HYPERLINK("https://photon-sol.tinyastro.io/en/lp/CsiY9A46Aq7KWUqZsoV1uegM8y5KkVv6E9qs6Phspump?handle=676050794bc1b1657a56b", "View")</f>
        <v/>
      </c>
    </row>
    <row r="44">
      <c r="A44" s="16" t="inlineStr">
        <is>
          <t>COWCLUB</t>
        </is>
      </c>
      <c r="B44" s="17" t="n">
        <v>12230355</v>
      </c>
      <c r="C44" s="17" t="n">
        <v>12230355</v>
      </c>
      <c r="D44" s="17" t="inlineStr">
        <is>
          <t>0.040010</t>
        </is>
      </c>
      <c r="E44" s="17" t="inlineStr">
        <is>
          <t>0.644 SOL</t>
        </is>
      </c>
      <c r="F44" s="17" t="inlineStr">
        <is>
          <t>0.653 SOL</t>
        </is>
      </c>
      <c r="G44" s="25" t="inlineStr">
        <is>
          <t>-0.031 SOL</t>
        </is>
      </c>
      <c r="H44" s="25" t="inlineStr">
        <is>
          <t>-4.55%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24.10.2024 18:54:21</t>
        </is>
      </c>
      <c r="M44" s="19" t="inlineStr">
        <is>
          <t>48 sec</t>
        </is>
      </c>
      <c r="N44" s="17" t="inlineStr">
        <is>
          <t xml:space="preserve">          9K             9K             5K</t>
        </is>
      </c>
      <c r="O44" s="17" t="inlineStr">
        <is>
          <t>5Vm2kfMXWZ2BnyKYTU2hMy1CTMHJZZT6B9m54Dtnpump</t>
        </is>
      </c>
      <c r="P44" s="17">
        <f>HYPERLINK("https://photon-sol.tinyastro.io/en/lp/5Vm2kfMXWZ2BnyKYTU2hMy1CTMHJZZT6B9m54Dtnpump?handle=676050794bc1b1657a56b", "View")</f>
        <v/>
      </c>
    </row>
    <row r="45">
      <c r="A45" s="20" t="inlineStr">
        <is>
          <t>GREED</t>
        </is>
      </c>
      <c r="B45" s="21" t="n">
        <v>46226484</v>
      </c>
      <c r="C45" s="21" t="n">
        <v>46226484</v>
      </c>
      <c r="D45" s="21" t="inlineStr">
        <is>
          <t>0.080020</t>
        </is>
      </c>
      <c r="E45" s="21" t="inlineStr">
        <is>
          <t>4.200 SOL</t>
        </is>
      </c>
      <c r="F45" s="21" t="inlineStr">
        <is>
          <t>9.625 SOL</t>
        </is>
      </c>
      <c r="G45" s="24" t="inlineStr">
        <is>
          <t>5.345 SOL</t>
        </is>
      </c>
      <c r="H45" s="24" t="inlineStr">
        <is>
          <t>124.87%</t>
        </is>
      </c>
      <c r="I45" s="21" t="inlineStr">
        <is>
          <t>N/A</t>
        </is>
      </c>
      <c r="J45" s="21" t="n">
        <v>2</v>
      </c>
      <c r="K45" s="21" t="n">
        <v>2</v>
      </c>
      <c r="L45" s="21" t="inlineStr">
        <is>
          <t>24.10.2024 18:36:29</t>
        </is>
      </c>
      <c r="M45" s="21" t="inlineStr">
        <is>
          <t>3 min</t>
        </is>
      </c>
      <c r="N45" s="21" t="inlineStr">
        <is>
          <t xml:space="preserve">         16K            33K             5K</t>
        </is>
      </c>
      <c r="O45" s="21" t="inlineStr">
        <is>
          <t>J9825UTXkKoqXE8g7671YoPYML1MuSRkESo1EgFppump</t>
        </is>
      </c>
      <c r="P45" s="21">
        <f>HYPERLINK("https://photon-sol.tinyastro.io/en/lp/J9825UTXkKoqXE8g7671YoPYML1MuSRkESo1EgFppump?handle=676050794bc1b1657a56b", "View")</f>
        <v/>
      </c>
    </row>
    <row r="46">
      <c r="A46" s="16" t="inlineStr">
        <is>
          <t>MOODUCK</t>
        </is>
      </c>
      <c r="B46" s="17" t="n">
        <v>9193443</v>
      </c>
      <c r="C46" s="17" t="n">
        <v>9193443</v>
      </c>
      <c r="D46" s="17" t="inlineStr">
        <is>
          <t>0.040010</t>
        </is>
      </c>
      <c r="E46" s="17" t="inlineStr">
        <is>
          <t>0.542 SOL</t>
        </is>
      </c>
      <c r="F46" s="17" t="inlineStr">
        <is>
          <t>1.705 SOL</t>
        </is>
      </c>
      <c r="G46" s="24" t="inlineStr">
        <is>
          <t>1.124 SOL</t>
        </is>
      </c>
      <c r="H46" s="24" t="inlineStr">
        <is>
          <t>193.12%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24.10.2024 18:05:41</t>
        </is>
      </c>
      <c r="M46" s="17" t="inlineStr">
        <is>
          <t>1 min</t>
        </is>
      </c>
      <c r="N46" s="17" t="inlineStr">
        <is>
          <t xml:space="preserve">         11K            33K             4K</t>
        </is>
      </c>
      <c r="O46" s="17" t="inlineStr">
        <is>
          <t>4zMDiJ5WHxL2x1s5keydSVTjy9fNDPMNBjXuMQGtpump</t>
        </is>
      </c>
      <c r="P46" s="17">
        <f>HYPERLINK("https://photon-sol.tinyastro.io/en/lp/4zMDiJ5WHxL2x1s5keydSVTjy9fNDPMNBjXuMQGtpump?handle=676050794bc1b1657a56b", "View")</f>
        <v/>
      </c>
    </row>
    <row r="47">
      <c r="A47" s="20" t="inlineStr">
        <is>
          <t>McLOVIN</t>
        </is>
      </c>
      <c r="B47" s="21" t="n">
        <v>27400720</v>
      </c>
      <c r="C47" s="21" t="n">
        <v>27400720</v>
      </c>
      <c r="D47" s="21" t="inlineStr">
        <is>
          <t>0.050030</t>
        </is>
      </c>
      <c r="E47" s="21" t="inlineStr">
        <is>
          <t>1.066 SOL</t>
        </is>
      </c>
      <c r="F47" s="21" t="inlineStr">
        <is>
          <t>1.686 SOL</t>
        </is>
      </c>
      <c r="G47" s="24" t="inlineStr">
        <is>
          <t>0.570 SOL</t>
        </is>
      </c>
      <c r="H47" s="24" t="inlineStr">
        <is>
          <t>51.05%</t>
        </is>
      </c>
      <c r="I47" s="21" t="inlineStr">
        <is>
          <t>N/A</t>
        </is>
      </c>
      <c r="J47" s="21" t="n">
        <v>2</v>
      </c>
      <c r="K47" s="21" t="n">
        <v>3</v>
      </c>
      <c r="L47" s="21" t="inlineStr">
        <is>
          <t>23.10.2024 21:48:13</t>
        </is>
      </c>
      <c r="M47" s="21" t="inlineStr">
        <is>
          <t>8 min</t>
        </is>
      </c>
      <c r="N47" s="21" t="inlineStr">
        <is>
          <t xml:space="preserve">          7K            16K             5K</t>
        </is>
      </c>
      <c r="O47" s="21" t="inlineStr">
        <is>
          <t>BWyK1MMw1iH1KkZuK6P58q5Qv2X8EW2e8ZZ5B6sUpump</t>
        </is>
      </c>
      <c r="P47" s="21">
        <f>HYPERLINK("https://photon-sol.tinyastro.io/en/lp/BWyK1MMw1iH1KkZuK6P58q5Qv2X8EW2e8ZZ5B6sUpump?handle=676050794bc1b1657a56b", "View")</f>
        <v/>
      </c>
    </row>
    <row r="48">
      <c r="A48" s="16" t="inlineStr">
        <is>
          <t>AIGLEB</t>
        </is>
      </c>
      <c r="B48" s="17" t="n">
        <v>15485394</v>
      </c>
      <c r="C48" s="17" t="n">
        <v>15485394</v>
      </c>
      <c r="D48" s="17" t="inlineStr">
        <is>
          <t>0.030020</t>
        </is>
      </c>
      <c r="E48" s="17" t="inlineStr">
        <is>
          <t>0.522 SOL</t>
        </is>
      </c>
      <c r="F48" s="17" t="inlineStr">
        <is>
          <t>2.419 SOL</t>
        </is>
      </c>
      <c r="G48" s="24" t="inlineStr">
        <is>
          <t>1.868 SOL</t>
        </is>
      </c>
      <c r="H48" s="24" t="inlineStr">
        <is>
          <t>338.62%</t>
        </is>
      </c>
      <c r="I48" s="17" t="inlineStr">
        <is>
          <t>N/A</t>
        </is>
      </c>
      <c r="J48" s="17" t="n">
        <v>1</v>
      </c>
      <c r="K48" s="17" t="n">
        <v>2</v>
      </c>
      <c r="L48" s="17" t="inlineStr">
        <is>
          <t>23.10.2024 21:26:35</t>
        </is>
      </c>
      <c r="M48" s="17" t="inlineStr">
        <is>
          <t>4 min</t>
        </is>
      </c>
      <c r="N48" s="17" t="inlineStr">
        <is>
          <t xml:space="preserve">          5K            37K             5K</t>
        </is>
      </c>
      <c r="O48" s="17" t="inlineStr">
        <is>
          <t>5HWd48xqYGLvjNDpaXz5eTe8VAgd8o1FW9KFt19ipump</t>
        </is>
      </c>
      <c r="P48" s="17">
        <f>HYPERLINK("https://photon-sol.tinyastro.io/en/lp/5HWd48xqYGLvjNDpaXz5eTe8VAgd8o1FW9KFt19ipump?handle=676050794bc1b1657a56b", "View")</f>
        <v/>
      </c>
    </row>
    <row r="49">
      <c r="A49" s="20" t="inlineStr">
        <is>
          <t>PEPEROLY</t>
        </is>
      </c>
      <c r="B49" s="21" t="n">
        <v>13753891</v>
      </c>
      <c r="C49" s="21" t="n">
        <v>13753891</v>
      </c>
      <c r="D49" s="21" t="inlineStr">
        <is>
          <t>0.030020</t>
        </is>
      </c>
      <c r="E49" s="21" t="inlineStr">
        <is>
          <t>1.011 SOL</t>
        </is>
      </c>
      <c r="F49" s="21" t="inlineStr">
        <is>
          <t>0.754 SOL</t>
        </is>
      </c>
      <c r="G49" s="25" t="inlineStr">
        <is>
          <t>-0.287 SOL</t>
        </is>
      </c>
      <c r="H49" s="25" t="inlineStr">
        <is>
          <t>-27.60%</t>
        </is>
      </c>
      <c r="I49" s="21" t="inlineStr">
        <is>
          <t>N/A</t>
        </is>
      </c>
      <c r="J49" s="21" t="n">
        <v>1</v>
      </c>
      <c r="K49" s="21" t="n">
        <v>2</v>
      </c>
      <c r="L49" s="21" t="inlineStr">
        <is>
          <t>23.10.2024 21:09:37</t>
        </is>
      </c>
      <c r="M49" s="21" t="inlineStr">
        <is>
          <t>8 min</t>
        </is>
      </c>
      <c r="N49" s="21" t="inlineStr">
        <is>
          <t xml:space="preserve">         12K             9K             3K</t>
        </is>
      </c>
      <c r="O49" s="21" t="inlineStr">
        <is>
          <t>WANjTKdNN1LDcHixuvNdVSmLUJknFMeeFgaUBZopump</t>
        </is>
      </c>
      <c r="P49" s="21">
        <f>HYPERLINK("https://photon-sol.tinyastro.io/en/lp/WANjTKdNN1LDcHixuvNdVSmLUJknFMeeFgaUBZopump?handle=676050794bc1b1657a56b", "View")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HYPERLINK("https://gmgn.ai/sol/address/2q6vC6eFpAxTSWcGYn1MDumGZgko8E2n419MsGMy2Gx9", "GMGN")</f>
        <v/>
      </c>
    </row>
    <row r="2">
      <c r="A2" s="3" t="inlineStr">
        <is>
          <t>2q6vC6eFpAxTSWcGYn1MDumGZgko8E2n419MsGMy2Gx9</t>
        </is>
      </c>
      <c r="B2" s="3" t="inlineStr">
        <is>
          <t>4.27 SOL</t>
        </is>
      </c>
      <c r="C2" s="3" t="inlineStr">
        <is>
          <t>57%</t>
        </is>
      </c>
      <c r="D2" s="3" t="inlineStr">
        <is>
          <t>90%</t>
        </is>
      </c>
      <c r="E2" s="3" t="inlineStr">
        <is>
          <t>4.31 SOL</t>
        </is>
      </c>
      <c r="F2" s="3" t="inlineStr">
        <is>
          <t>0 (0%)</t>
        </is>
      </c>
      <c r="G2" s="3" t="inlineStr">
        <is>
          <t>0 (0%)</t>
        </is>
      </c>
      <c r="H2" s="3" t="n">
        <v>7</v>
      </c>
      <c r="I2" s="3" t="n">
        <v>1</v>
      </c>
      <c r="J2" s="3" t="inlineStr">
        <is>
          <t>7 days</t>
        </is>
      </c>
      <c r="K2" s="3" t="inlineStr">
        <is>
          <t>3 h</t>
        </is>
      </c>
      <c r="L2" s="3" t="n">
        <v>3</v>
      </c>
      <c r="M2" s="3" t="n">
        <v>8</v>
      </c>
      <c r="N2" s="3">
        <f>HYPERLINK("https://solscan.io/account/2q6vC6eFpAxTSWcGYn1MDumGZgko8E2n419MsGMy2Gx9", "Solscan")</f>
        <v/>
      </c>
    </row>
    <row r="3">
      <c r="A3" s="7" t="inlineStr">
        <is>
          <t>Median ROI</t>
        </is>
      </c>
      <c r="B3" s="4" t="inlineStr">
        <is>
          <t>87.29%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HYPERLINK("https://birdeye.so/profile/2q6vC6eFpAxTSWcGYn1MDumGZgko8E2n419MsGMy2Gx9", "Birdeye")</f>
        <v/>
      </c>
    </row>
    <row r="4">
      <c r="A4" s="7" t="inlineStr">
        <is>
          <t>Rockets percent</t>
        </is>
      </c>
      <c r="B4" s="4" t="inlineStr">
        <is>
          <t>43%</t>
        </is>
      </c>
      <c r="C4" s="3" t="inlineStr"/>
      <c r="D4" s="3" t="inlineStr">
        <is>
          <t>11%</t>
        </is>
      </c>
      <c r="E4" s="3" t="inlineStr">
        <is>
          <t>0.51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12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0</v>
      </c>
      <c r="C10" s="7" t="n">
        <v>3</v>
      </c>
      <c r="D10" s="7" t="n">
        <v>1</v>
      </c>
      <c r="E10" s="7" t="n">
        <v>0</v>
      </c>
      <c r="F10" s="7" t="n">
        <v>0</v>
      </c>
      <c r="G10" s="7" t="n">
        <v>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0.0%</t>
        </is>
      </c>
      <c r="C11" s="7" t="inlineStr">
        <is>
          <t>42.9%</t>
        </is>
      </c>
      <c r="D11" s="7" t="inlineStr">
        <is>
          <t>14.3%</t>
        </is>
      </c>
      <c r="E11" s="7" t="inlineStr">
        <is>
          <t>0.0%</t>
        </is>
      </c>
      <c r="F11" s="7" t="inlineStr">
        <is>
          <t>0.0%</t>
        </is>
      </c>
      <c r="G11" s="7" t="inlineStr">
        <is>
          <t>42.9%</t>
        </is>
      </c>
      <c r="H11" s="3" t="n"/>
      <c r="I11" s="3" t="inlineStr">
        <is>
          <t>5k-30k</t>
        </is>
      </c>
      <c r="J11" s="3" t="inlineStr">
        <is>
          <t>2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0.0 SOL</t>
        </is>
      </c>
      <c r="C12" s="7" t="inlineStr">
        <is>
          <t>4.4 SOL</t>
        </is>
      </c>
      <c r="D12" s="7" t="inlineStr">
        <is>
          <t>1.2 SOL</t>
        </is>
      </c>
      <c r="E12" s="7" t="inlineStr">
        <is>
          <t>0.0 SOL</t>
        </is>
      </c>
      <c r="F12" s="7" t="inlineStr">
        <is>
          <t>0.0 SOL</t>
        </is>
      </c>
      <c r="G12" s="7" t="inlineStr">
        <is>
          <t>-1.3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45.0K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mondo</t>
        </is>
      </c>
      <c r="B20" s="17" t="n">
        <v>68548</v>
      </c>
      <c r="C20" s="17" t="n">
        <v>0</v>
      </c>
      <c r="D20" s="17" t="inlineStr">
        <is>
          <t>0.000760</t>
        </is>
      </c>
      <c r="E20" s="17" t="inlineStr">
        <is>
          <t>0.500 SOL</t>
        </is>
      </c>
      <c r="F20" s="17" t="inlineStr">
        <is>
          <t>0.000 SOL</t>
        </is>
      </c>
      <c r="G20" s="18" t="inlineStr">
        <is>
          <t>-0.501 SOL</t>
        </is>
      </c>
      <c r="H20" s="18" t="inlineStr">
        <is>
          <t>0.00%</t>
        </is>
      </c>
      <c r="I20" s="17" t="inlineStr">
        <is>
          <t>68,548</t>
        </is>
      </c>
      <c r="J20" s="17" t="n">
        <v>1</v>
      </c>
      <c r="K20" s="17" t="n">
        <v>0</v>
      </c>
      <c r="L20" s="17" t="inlineStr">
        <is>
          <t>30.10.2024 12:10:13</t>
        </is>
      </c>
      <c r="M20" s="19" t="inlineStr">
        <is>
          <t>0 sec</t>
        </is>
      </c>
      <c r="N20" s="17" t="inlineStr">
        <is>
          <t xml:space="preserve">          1M             1M             1M</t>
        </is>
      </c>
      <c r="O20" s="17" t="inlineStr">
        <is>
          <t>3Wp5z1GtPqKwyiaicXa7nyXhBVJJ5JgAwzWXuPXqpump</t>
        </is>
      </c>
      <c r="P20" s="17">
        <f>HYPERLINK("https://dexscreener.com/solana/3Wp5z1GtPqKwyiaicXa7nyXhBVJJ5JgAwzWXuPXqpump", "View")</f>
        <v/>
      </c>
    </row>
    <row r="21">
      <c r="A21" s="20" t="inlineStr">
        <is>
          <t>GOP</t>
        </is>
      </c>
      <c r="B21" s="21" t="n">
        <v>13086977</v>
      </c>
      <c r="C21" s="21" t="n">
        <v>13086977</v>
      </c>
      <c r="D21" s="21" t="inlineStr">
        <is>
          <t>0.004050</t>
        </is>
      </c>
      <c r="E21" s="21" t="inlineStr">
        <is>
          <t>1.335 SOL</t>
        </is>
      </c>
      <c r="F21" s="21" t="inlineStr">
        <is>
          <t>2.507 SOL</t>
        </is>
      </c>
      <c r="G21" s="24" t="inlineStr">
        <is>
          <t>1.169 SOL</t>
        </is>
      </c>
      <c r="H21" s="24" t="inlineStr">
        <is>
          <t>87.29%</t>
        </is>
      </c>
      <c r="I21" s="21" t="inlineStr">
        <is>
          <t>N/A</t>
        </is>
      </c>
      <c r="J21" s="21" t="n">
        <v>2</v>
      </c>
      <c r="K21" s="21" t="n">
        <v>3</v>
      </c>
      <c r="L21" s="21" t="inlineStr">
        <is>
          <t>29.10.2024 23:49:18</t>
        </is>
      </c>
      <c r="M21" s="21" t="inlineStr">
        <is>
          <t>3 hours</t>
        </is>
      </c>
      <c r="N21" s="21" t="inlineStr">
        <is>
          <t xml:space="preserve">          9K            30K             5K</t>
        </is>
      </c>
      <c r="O21" s="21" t="inlineStr">
        <is>
          <t>m36WDe5v164ZSGz9s2bfBikiWGXzoT9ej8r9xrZpump</t>
        </is>
      </c>
      <c r="P21" s="21">
        <f>HYPERLINK("https://photon-sol.tinyastro.io/en/lp/m36WDe5v164ZSGz9s2bfBikiWGXzoT9ej8r9xrZpump?handle=676050794bc1b1657a56b", "View")</f>
        <v/>
      </c>
    </row>
    <row r="22">
      <c r="A22" s="16" t="inlineStr">
        <is>
          <t>SAD</t>
        </is>
      </c>
      <c r="B22" s="17" t="n">
        <v>44926</v>
      </c>
      <c r="C22" s="17" t="n">
        <v>0</v>
      </c>
      <c r="D22" s="17" t="inlineStr">
        <is>
          <t>0.000680</t>
        </is>
      </c>
      <c r="E22" s="17" t="inlineStr">
        <is>
          <t>0.500 SOL</t>
        </is>
      </c>
      <c r="F22" s="17" t="inlineStr">
        <is>
          <t>0.000 SOL</t>
        </is>
      </c>
      <c r="G22" s="18" t="inlineStr">
        <is>
          <t>-0.501 SOL</t>
        </is>
      </c>
      <c r="H22" s="18" t="inlineStr">
        <is>
          <t>0.00%</t>
        </is>
      </c>
      <c r="I22" s="17" t="inlineStr">
        <is>
          <t>44,926</t>
        </is>
      </c>
      <c r="J22" s="17" t="n">
        <v>1</v>
      </c>
      <c r="K22" s="17" t="n">
        <v>0</v>
      </c>
      <c r="L22" s="17" t="inlineStr">
        <is>
          <t>27.10.2024 15:32:11</t>
        </is>
      </c>
      <c r="M22" s="19" t="inlineStr">
        <is>
          <t>0 sec</t>
        </is>
      </c>
      <c r="N22" s="17" t="inlineStr">
        <is>
          <t xml:space="preserve">          2M             2M            57K</t>
        </is>
      </c>
      <c r="O22" s="17" t="inlineStr">
        <is>
          <t>321tt4d8ZCGAdUB9PdB2cMtEL3uaJV4MaCzY2pTQpump</t>
        </is>
      </c>
      <c r="P22" s="17">
        <f>HYPERLINK("https://dexscreener.com/solana/321tt4d8ZCGAdUB9PdB2cMtEL3uaJV4MaCzY2pTQpump", "View")</f>
        <v/>
      </c>
    </row>
    <row r="23">
      <c r="A23" s="20" t="inlineStr">
        <is>
          <t>REUBEN</t>
        </is>
      </c>
      <c r="B23" s="21" t="n">
        <v>2900198</v>
      </c>
      <c r="C23" s="21" t="n">
        <v>2900198</v>
      </c>
      <c r="D23" s="21" t="inlineStr">
        <is>
          <t>0.001400</t>
        </is>
      </c>
      <c r="E23" s="21" t="inlineStr">
        <is>
          <t>0.750 SOL</t>
        </is>
      </c>
      <c r="F23" s="21" t="inlineStr">
        <is>
          <t>1.611 SOL</t>
        </is>
      </c>
      <c r="G23" s="24" t="inlineStr">
        <is>
          <t>0.860 SOL</t>
        </is>
      </c>
      <c r="H23" s="24" t="inlineStr">
        <is>
          <t>114.41%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26.10.2024 20:05:25</t>
        </is>
      </c>
      <c r="M23" s="21" t="inlineStr">
        <is>
          <t>1 hours</t>
        </is>
      </c>
      <c r="N23" s="21" t="inlineStr">
        <is>
          <t xml:space="preserve">         45K            96K             9K</t>
        </is>
      </c>
      <c r="O23" s="21" t="inlineStr">
        <is>
          <t>J3TdiHoqmf8YERR615BFaFDm6tPCLS47VdtPQEA2pump</t>
        </is>
      </c>
      <c r="P23" s="21">
        <f>HYPERLINK("https://dexscreener.com/solana/J3TdiHoqmf8YERR615BFaFDm6tPCLS47VdtPQEA2pump", "View")</f>
        <v/>
      </c>
    </row>
    <row r="24">
      <c r="A24" s="16" t="inlineStr">
        <is>
          <t>YUMEKO</t>
        </is>
      </c>
      <c r="B24" s="17" t="n">
        <v>3492835</v>
      </c>
      <c r="C24" s="17" t="n">
        <v>3492835</v>
      </c>
      <c r="D24" s="17" t="inlineStr">
        <is>
          <t>0.005000</t>
        </is>
      </c>
      <c r="E24" s="17" t="inlineStr">
        <is>
          <t>0.655 SOL</t>
        </is>
      </c>
      <c r="F24" s="17" t="inlineStr">
        <is>
          <t>2.287 SOL</t>
        </is>
      </c>
      <c r="G24" s="24" t="inlineStr">
        <is>
          <t>1.627 SOL</t>
        </is>
      </c>
      <c r="H24" s="24" t="inlineStr">
        <is>
          <t>246.64%</t>
        </is>
      </c>
      <c r="I24" s="17" t="inlineStr">
        <is>
          <t>N/A</t>
        </is>
      </c>
      <c r="J24" s="17" t="n">
        <v>1</v>
      </c>
      <c r="K24" s="17" t="n">
        <v>6</v>
      </c>
      <c r="L24" s="17" t="inlineStr">
        <is>
          <t>25.10.2024 16:09:00</t>
        </is>
      </c>
      <c r="M24" s="17" t="inlineStr">
        <is>
          <t>2 hours</t>
        </is>
      </c>
      <c r="N24" s="17" t="inlineStr">
        <is>
          <t xml:space="preserve">         33K           100K             4K</t>
        </is>
      </c>
      <c r="O24" s="17" t="inlineStr">
        <is>
          <t>3mZhaLTQH7iYEoKxKYkiHJQA2iQL74uyvkF5PSNEpump</t>
        </is>
      </c>
      <c r="P24" s="17">
        <f>HYPERLINK("https://photon-sol.tinyastro.io/en/lp/3mZhaLTQH7iYEoKxKYkiHJQA2iQL74uyvkF5PSNEpump?handle=676050794bc1b1657a56b", "View")</f>
        <v/>
      </c>
    </row>
    <row r="25">
      <c r="A25" s="20" t="inlineStr">
        <is>
          <t>ALTMAN</t>
        </is>
      </c>
      <c r="B25" s="21" t="n">
        <v>193506</v>
      </c>
      <c r="C25" s="21" t="n">
        <v>193506</v>
      </c>
      <c r="D25" s="21" t="inlineStr">
        <is>
          <t>0.001400</t>
        </is>
      </c>
      <c r="E25" s="21" t="inlineStr">
        <is>
          <t>0.300 SOL</t>
        </is>
      </c>
      <c r="F25" s="21" t="inlineStr">
        <is>
          <t>0.003 SOL</t>
        </is>
      </c>
      <c r="G25" s="23" t="inlineStr">
        <is>
          <t>-0.299 SOL</t>
        </is>
      </c>
      <c r="H25" s="23" t="inlineStr">
        <is>
          <t>-99.09%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25.10.2024 06:18:47</t>
        </is>
      </c>
      <c r="M25" s="21" t="inlineStr">
        <is>
          <t>4 hours</t>
        </is>
      </c>
      <c r="N25" s="21" t="inlineStr">
        <is>
          <t xml:space="preserve">        272K             2K             1K</t>
        </is>
      </c>
      <c r="O25" s="21" t="inlineStr">
        <is>
          <t>7Jr6VwRo8RytFr27U4Sdm1wJFhZ4LRdWrkpnFipTVraQ</t>
        </is>
      </c>
      <c r="P25" s="21">
        <f>HYPERLINK("https://dexscreener.com/solana/7Jr6VwRo8RytFr27U4Sdm1wJFhZ4LRdWrkpnFipTVraQ", "View")</f>
        <v/>
      </c>
    </row>
    <row r="26">
      <c r="A26" s="16" t="inlineStr">
        <is>
          <t>GOO</t>
        </is>
      </c>
      <c r="B26" s="17" t="n">
        <v>2523529</v>
      </c>
      <c r="C26" s="17" t="n">
        <v>2523529</v>
      </c>
      <c r="D26" s="17" t="inlineStr">
        <is>
          <t>0.005720</t>
        </is>
      </c>
      <c r="E26" s="17" t="inlineStr">
        <is>
          <t>0.725 SOL</t>
        </is>
      </c>
      <c r="F26" s="17" t="inlineStr">
        <is>
          <t>2.687 SOL</t>
        </is>
      </c>
      <c r="G26" s="24" t="inlineStr">
        <is>
          <t>1.956 SOL</t>
        </is>
      </c>
      <c r="H26" s="24" t="inlineStr">
        <is>
          <t>267.85%</t>
        </is>
      </c>
      <c r="I26" s="17" t="inlineStr">
        <is>
          <t>N/A</t>
        </is>
      </c>
      <c r="J26" s="17" t="n">
        <v>3</v>
      </c>
      <c r="K26" s="17" t="n">
        <v>5</v>
      </c>
      <c r="L26" s="17" t="inlineStr">
        <is>
          <t>23.10.2024 00:38:56</t>
        </is>
      </c>
      <c r="M26" s="17" t="inlineStr">
        <is>
          <t>3 hours</t>
        </is>
      </c>
      <c r="N26" s="17" t="inlineStr">
        <is>
          <t xml:space="preserve">         26K            93K             5K</t>
        </is>
      </c>
      <c r="O26" s="17" t="inlineStr">
        <is>
          <t>39GvGUQpNGf9Hm9rJvAxTTJmLpr5FL2PK6o7fPX7pump</t>
        </is>
      </c>
      <c r="P26" s="17">
        <f>HYPERLINK("https://photon-sol.tinyastro.io/en/lp/39GvGUQpNGf9Hm9rJvAxTTJmLpr5FL2PK6o7fPX7pump?handle=676050794bc1b1657a56b", "View")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HYPERLINK("https://gmgn.ai/sol/address/639xVN39LfwXdaEN696qXU4hmvbUg9Jkmt4LffHZ4Lt2", "GMGN")</f>
        <v/>
      </c>
    </row>
    <row r="2">
      <c r="A2" s="3" t="inlineStr">
        <is>
          <t>639xVN39LfwXdaEN696qXU4hmvbUg9Jkmt4LffHZ4Lt2</t>
        </is>
      </c>
      <c r="B2" s="3" t="inlineStr">
        <is>
          <t>38.60 SOL</t>
        </is>
      </c>
      <c r="C2" s="3" t="inlineStr">
        <is>
          <t>37%</t>
        </is>
      </c>
      <c r="D2" s="3" t="inlineStr">
        <is>
          <t>-13%</t>
        </is>
      </c>
      <c r="E2" s="3" t="inlineStr">
        <is>
          <t>-5.25 SOL</t>
        </is>
      </c>
      <c r="F2" s="3" t="inlineStr">
        <is>
          <t>0 (0%)</t>
        </is>
      </c>
      <c r="G2" s="3" t="inlineStr">
        <is>
          <t>0 (0%)</t>
        </is>
      </c>
      <c r="H2" s="3" t="n">
        <v>19</v>
      </c>
      <c r="I2" s="3" t="n">
        <v>4</v>
      </c>
      <c r="J2" s="3" t="inlineStr">
        <is>
          <t>14 days</t>
        </is>
      </c>
      <c r="K2" s="3" t="inlineStr">
        <is>
          <t>23 h</t>
        </is>
      </c>
      <c r="L2" s="3" t="n">
        <v>4</v>
      </c>
      <c r="M2" s="3" t="n">
        <v>17</v>
      </c>
      <c r="N2" s="3">
        <f>HYPERLINK("https://solscan.io/account/639xVN39LfwXdaEN696qXU4hmvbUg9Jkmt4LffHZ4Lt2", "Solscan")</f>
        <v/>
      </c>
    </row>
    <row r="3">
      <c r="A3" s="7" t="inlineStr">
        <is>
          <t>Median ROI</t>
        </is>
      </c>
      <c r="B3" s="5" t="inlineStr">
        <is>
          <t>-85.13%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HYPERLINK("https://birdeye.so/profile/639xVN39LfwXdaEN696qXU4hmvbUg9Jkmt4LffHZ4Lt2", "Birdeye")</f>
        <v/>
      </c>
    </row>
    <row r="4">
      <c r="A4" s="7" t="inlineStr">
        <is>
          <t>Rockets percent</t>
        </is>
      </c>
      <c r="B4" s="3" t="inlineStr">
        <is>
          <t>11%</t>
        </is>
      </c>
      <c r="C4" s="3" t="inlineStr"/>
      <c r="D4" s="3" t="inlineStr">
        <is>
          <t>31%</t>
        </is>
      </c>
      <c r="E4" s="3" t="inlineStr">
        <is>
          <t>13.11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15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0</v>
      </c>
      <c r="E10" s="7" t="n">
        <v>5</v>
      </c>
      <c r="F10" s="7" t="n">
        <v>2</v>
      </c>
      <c r="G10" s="7" t="n">
        <v>10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5.3%</t>
        </is>
      </c>
      <c r="C11" s="7" t="inlineStr">
        <is>
          <t>5.3%</t>
        </is>
      </c>
      <c r="D11" s="7" t="inlineStr">
        <is>
          <t>0.0%</t>
        </is>
      </c>
      <c r="E11" s="7" t="inlineStr">
        <is>
          <t>26.3%</t>
        </is>
      </c>
      <c r="F11" s="7" t="inlineStr">
        <is>
          <t>10.5%</t>
        </is>
      </c>
      <c r="G11" s="7" t="inlineStr">
        <is>
          <t>52.6%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17.9 SOL</t>
        </is>
      </c>
      <c r="C12" s="7" t="inlineStr">
        <is>
          <t>1.9 SOL</t>
        </is>
      </c>
      <c r="D12" s="7" t="inlineStr">
        <is>
          <t>0.0 SOL</t>
        </is>
      </c>
      <c r="E12" s="7" t="inlineStr">
        <is>
          <t>0.3 SOL</t>
        </is>
      </c>
      <c r="F12" s="7" t="inlineStr">
        <is>
          <t>-0.9 SOL</t>
        </is>
      </c>
      <c r="G12" s="7" t="inlineStr">
        <is>
          <t>-24.5 SOL</t>
        </is>
      </c>
      <c r="H12" s="3" t="n"/>
      <c r="I12" s="3" t="inlineStr">
        <is>
          <t>30k-100k</t>
        </is>
      </c>
      <c r="J12" s="3" t="inlineStr">
        <is>
          <t>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9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323.0K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suki</t>
        </is>
      </c>
      <c r="B20" s="17" t="n">
        <v>6133891</v>
      </c>
      <c r="C20" s="17" t="n">
        <v>0</v>
      </c>
      <c r="D20" s="17" t="inlineStr">
        <is>
          <t>0.008000</t>
        </is>
      </c>
      <c r="E20" s="17" t="inlineStr">
        <is>
          <t>2.022 SOL</t>
        </is>
      </c>
      <c r="F20" s="17" t="inlineStr">
        <is>
          <t>0.000 SOL</t>
        </is>
      </c>
      <c r="G20" s="18" t="inlineStr">
        <is>
          <t>-2.030 SOL</t>
        </is>
      </c>
      <c r="H20" s="18" t="inlineStr">
        <is>
          <t>0.00%</t>
        </is>
      </c>
      <c r="I20" s="17" t="inlineStr">
        <is>
          <t>6,133,891</t>
        </is>
      </c>
      <c r="J20" s="17" t="n">
        <v>1</v>
      </c>
      <c r="K20" s="17" t="n">
        <v>0</v>
      </c>
      <c r="L20" s="17" t="inlineStr">
        <is>
          <t>30.10.2024 13:32:25</t>
        </is>
      </c>
      <c r="M20" s="19" t="inlineStr">
        <is>
          <t>0 sec</t>
        </is>
      </c>
      <c r="N20" s="17" t="inlineStr">
        <is>
          <t xml:space="preserve">         58K            58K            13K</t>
        </is>
      </c>
      <c r="O20" s="17" t="inlineStr">
        <is>
          <t>BND1QbGtEqcGZUxHxr9RY7Ja18h16oXYEU79vn8apump</t>
        </is>
      </c>
      <c r="P20" s="17">
        <f>HYPERLINK("https://photon-sol.tinyastro.io/en/lp/BND1QbGtEqcGZUxHxr9RY7Ja18h16oXYEU79vn8apump?handle=676050794bc1b1657a56b", "View")</f>
        <v/>
      </c>
    </row>
    <row r="21">
      <c r="A21" s="20" t="inlineStr">
        <is>
          <t>RP</t>
        </is>
      </c>
      <c r="B21" s="21" t="n">
        <v>154071</v>
      </c>
      <c r="C21" s="21" t="n">
        <v>0</v>
      </c>
      <c r="D21" s="21" t="inlineStr">
        <is>
          <t>0.010010</t>
        </is>
      </c>
      <c r="E21" s="21" t="inlineStr">
        <is>
          <t>1.980 SOL</t>
        </is>
      </c>
      <c r="F21" s="21" t="inlineStr">
        <is>
          <t>0.000 SOL</t>
        </is>
      </c>
      <c r="G21" s="18" t="inlineStr">
        <is>
          <t>-1.990 SOL</t>
        </is>
      </c>
      <c r="H21" s="18" t="inlineStr">
        <is>
          <t>0.00%</t>
        </is>
      </c>
      <c r="I21" s="21" t="inlineStr">
        <is>
          <t>154,071</t>
        </is>
      </c>
      <c r="J21" s="21" t="n">
        <v>1</v>
      </c>
      <c r="K21" s="21" t="n">
        <v>0</v>
      </c>
      <c r="L21" s="21" t="inlineStr">
        <is>
          <t>29.10.2024 13:31:09</t>
        </is>
      </c>
      <c r="M21" s="19" t="inlineStr">
        <is>
          <t>0 sec</t>
        </is>
      </c>
      <c r="N21" s="21" t="inlineStr">
        <is>
          <t xml:space="preserve">          2M             2M            49K</t>
        </is>
      </c>
      <c r="O21" s="21" t="inlineStr">
        <is>
          <t>86FMngwijeQhTGfSZqj1rNkKVsmS7uXJ3y13qqDupump</t>
        </is>
      </c>
      <c r="P21" s="21">
        <f>HYPERLINK("https://dexscreener.com/solana/86FMngwijeQhTGfSZqj1rNkKVsmS7uXJ3y13qqDupump", "View")</f>
        <v/>
      </c>
    </row>
    <row r="22">
      <c r="A22" s="16" t="inlineStr">
        <is>
          <t>TITO</t>
        </is>
      </c>
      <c r="B22" s="17" t="n">
        <v>3468599</v>
      </c>
      <c r="C22" s="17" t="n">
        <v>0</v>
      </c>
      <c r="D22" s="17" t="inlineStr">
        <is>
          <t>0.008000</t>
        </is>
      </c>
      <c r="E22" s="17" t="inlineStr">
        <is>
          <t>2.970 SOL</t>
        </is>
      </c>
      <c r="F22" s="17" t="inlineStr">
        <is>
          <t>0.000 SOL</t>
        </is>
      </c>
      <c r="G22" s="18" t="inlineStr">
        <is>
          <t>-2.978 SOL</t>
        </is>
      </c>
      <c r="H22" s="18" t="inlineStr">
        <is>
          <t>0.00%</t>
        </is>
      </c>
      <c r="I22" s="17" t="inlineStr">
        <is>
          <t>3,468,599</t>
        </is>
      </c>
      <c r="J22" s="17" t="n">
        <v>1</v>
      </c>
      <c r="K22" s="17" t="n">
        <v>0</v>
      </c>
      <c r="L22" s="17" t="inlineStr">
        <is>
          <t>29.10.2024 09:56:39</t>
        </is>
      </c>
      <c r="M22" s="19" t="inlineStr">
        <is>
          <t>0 sec</t>
        </is>
      </c>
      <c r="N22" s="17" t="inlineStr">
        <is>
          <t xml:space="preserve">        151K           151K             9K</t>
        </is>
      </c>
      <c r="O22" s="17" t="inlineStr">
        <is>
          <t>5UjbS1bECmQo7B5f817151ctvWskB92aDqu9drsipump</t>
        </is>
      </c>
      <c r="P22" s="17">
        <f>HYPERLINK("https://dexscreener.com/solana/5UjbS1bECmQo7B5f817151ctvWskB92aDqu9drsipump", "View")</f>
        <v/>
      </c>
    </row>
    <row r="23">
      <c r="A23" s="20" t="inlineStr">
        <is>
          <t>LARPAI</t>
        </is>
      </c>
      <c r="B23" s="21" t="n">
        <v>1029570</v>
      </c>
      <c r="C23" s="21" t="n">
        <v>0</v>
      </c>
      <c r="D23" s="21" t="inlineStr">
        <is>
          <t>0.008000</t>
        </is>
      </c>
      <c r="E23" s="21" t="inlineStr">
        <is>
          <t>4.950 SOL</t>
        </is>
      </c>
      <c r="F23" s="21" t="inlineStr">
        <is>
          <t>0.000 SOL</t>
        </is>
      </c>
      <c r="G23" s="18" t="inlineStr">
        <is>
          <t>-4.958 SOL</t>
        </is>
      </c>
      <c r="H23" s="18" t="inlineStr">
        <is>
          <t>0.00%</t>
        </is>
      </c>
      <c r="I23" s="21" t="inlineStr">
        <is>
          <t>1,029,570</t>
        </is>
      </c>
      <c r="J23" s="21" t="n">
        <v>1</v>
      </c>
      <c r="K23" s="21" t="n">
        <v>0</v>
      </c>
      <c r="L23" s="21" t="inlineStr">
        <is>
          <t>28.10.2024 15:01:29</t>
        </is>
      </c>
      <c r="M23" s="19" t="inlineStr">
        <is>
          <t>0 sec</t>
        </is>
      </c>
      <c r="N23" s="21" t="inlineStr">
        <is>
          <t xml:space="preserve">        844K           844K            14K</t>
        </is>
      </c>
      <c r="O23" s="21" t="inlineStr">
        <is>
          <t>Z5qTBYTgbK9nezJPSLxuJEpEhDimcJKLq9xN6MF2sh1</t>
        </is>
      </c>
      <c r="P23" s="21">
        <f>HYPERLINK("https://dexscreener.com/solana/Z5qTBYTgbK9nezJPSLxuJEpEhDimcJKLq9xN6MF2sh1", "View")</f>
        <v/>
      </c>
    </row>
    <row r="24">
      <c r="A24" s="16" t="inlineStr">
        <is>
          <t>e/acc</t>
        </is>
      </c>
      <c r="B24" s="17" t="n">
        <v>31504</v>
      </c>
      <c r="C24" s="17" t="n">
        <v>11164</v>
      </c>
      <c r="D24" s="17" t="inlineStr">
        <is>
          <t>0.016010</t>
        </is>
      </c>
      <c r="E24" s="17" t="inlineStr">
        <is>
          <t>1.980 SOL</t>
        </is>
      </c>
      <c r="F24" s="17" t="inlineStr">
        <is>
          <t>1.109 SOL</t>
        </is>
      </c>
      <c r="G24" s="25" t="inlineStr">
        <is>
          <t>-0.887 SOL</t>
        </is>
      </c>
      <c r="H24" s="25" t="inlineStr">
        <is>
          <t>-44.42%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23.10.2024 21:35:42</t>
        </is>
      </c>
      <c r="M24" s="17" t="inlineStr">
        <is>
          <t>6 hours</t>
        </is>
      </c>
      <c r="N24" s="17" t="inlineStr">
        <is>
          <t xml:space="preserve">         11M            11M            17M</t>
        </is>
      </c>
      <c r="O24" s="17" t="inlineStr">
        <is>
          <t>GqmEdRD3zGUZdYPeuDeXxCc8Cj1DBmGSYK97TCwSpump</t>
        </is>
      </c>
      <c r="P24" s="17">
        <f>HYPERLINK("https://dexscreener.com/solana/GqmEdRD3zGUZdYPeuDeXxCc8Cj1DBmGSYK97TCwSpump", "View")</f>
        <v/>
      </c>
    </row>
    <row r="25">
      <c r="A25" s="20" t="inlineStr">
        <is>
          <t>wTerminal</t>
        </is>
      </c>
      <c r="B25" s="21" t="n">
        <v>4699460</v>
      </c>
      <c r="C25" s="21" t="n">
        <v>0</v>
      </c>
      <c r="D25" s="21" t="inlineStr">
        <is>
          <t>0.008000</t>
        </is>
      </c>
      <c r="E25" s="21" t="inlineStr">
        <is>
          <t>1.022 SOL</t>
        </is>
      </c>
      <c r="F25" s="21" t="inlineStr">
        <is>
          <t>0.000 SOL</t>
        </is>
      </c>
      <c r="G25" s="18" t="inlineStr">
        <is>
          <t>-1.030 SOL</t>
        </is>
      </c>
      <c r="H25" s="18" t="inlineStr">
        <is>
          <t>0.00%</t>
        </is>
      </c>
      <c r="I25" s="21" t="inlineStr">
        <is>
          <t>4,699,460</t>
        </is>
      </c>
      <c r="J25" s="21" t="n">
        <v>1</v>
      </c>
      <c r="K25" s="21" t="n">
        <v>0</v>
      </c>
      <c r="L25" s="21" t="inlineStr">
        <is>
          <t>23.10.2024 12:51:51</t>
        </is>
      </c>
      <c r="M25" s="19" t="inlineStr">
        <is>
          <t>0 sec</t>
        </is>
      </c>
      <c r="N25" s="21" t="inlineStr">
        <is>
          <t xml:space="preserve">         39K            39K             5K</t>
        </is>
      </c>
      <c r="O25" s="21" t="inlineStr">
        <is>
          <t>5j39aAySBanAMQf67LP6Q4Ef898U9ThEofHV2aSopump</t>
        </is>
      </c>
      <c r="P25" s="21">
        <f>HYPERLINK("https://photon-sol.tinyastro.io/en/lp/5j39aAySBanAMQf67LP6Q4Ef898U9ThEofHV2aSopump?handle=676050794bc1b1657a56b", "View")</f>
        <v/>
      </c>
    </row>
    <row r="26">
      <c r="A26" s="16" t="inlineStr">
        <is>
          <t>Substrate</t>
        </is>
      </c>
      <c r="B26" s="17" t="n">
        <v>2512267</v>
      </c>
      <c r="C26" s="17" t="n">
        <v>0</v>
      </c>
      <c r="D26" s="17" t="inlineStr">
        <is>
          <t>0.008000</t>
        </is>
      </c>
      <c r="E26" s="17" t="inlineStr">
        <is>
          <t>1.980 SOL</t>
        </is>
      </c>
      <c r="F26" s="17" t="inlineStr">
        <is>
          <t>0.000 SOL</t>
        </is>
      </c>
      <c r="G26" s="18" t="inlineStr">
        <is>
          <t>-1.988 SOL</t>
        </is>
      </c>
      <c r="H26" s="18" t="inlineStr">
        <is>
          <t>0.00%</t>
        </is>
      </c>
      <c r="I26" s="17" t="inlineStr">
        <is>
          <t>2,512,267</t>
        </is>
      </c>
      <c r="J26" s="17" t="n">
        <v>1</v>
      </c>
      <c r="K26" s="17" t="n">
        <v>0</v>
      </c>
      <c r="L26" s="17" t="inlineStr">
        <is>
          <t>23.10.2024 12:48:40</t>
        </is>
      </c>
      <c r="M26" s="19" t="inlineStr">
        <is>
          <t>0 sec</t>
        </is>
      </c>
      <c r="N26" s="17" t="inlineStr">
        <is>
          <t xml:space="preserve">        139K           139K             7K</t>
        </is>
      </c>
      <c r="O26" s="17" t="inlineStr">
        <is>
          <t>DkvQonT66du7SxdAvAKUzJekNHuR1pwdhdv4V9R5pump</t>
        </is>
      </c>
      <c r="P26" s="17">
        <f>HYPERLINK("https://dexscreener.com/solana/DkvQonT66du7SxdAvAKUzJekNHuR1pwdhdv4V9R5pump", "View")</f>
        <v/>
      </c>
    </row>
    <row r="27">
      <c r="A27" s="20" t="inlineStr">
        <is>
          <t>THE</t>
        </is>
      </c>
      <c r="B27" s="21" t="n">
        <v>340657</v>
      </c>
      <c r="C27" s="21" t="n">
        <v>0</v>
      </c>
      <c r="D27" s="21" t="inlineStr">
        <is>
          <t>0.008000</t>
        </is>
      </c>
      <c r="E27" s="21" t="inlineStr">
        <is>
          <t>1.980 SOL</t>
        </is>
      </c>
      <c r="F27" s="21" t="inlineStr">
        <is>
          <t>0.000 SOL</t>
        </is>
      </c>
      <c r="G27" s="18" t="inlineStr">
        <is>
          <t>-1.988 SOL</t>
        </is>
      </c>
      <c r="H27" s="18" t="inlineStr">
        <is>
          <t>0.00%</t>
        </is>
      </c>
      <c r="I27" s="21" t="inlineStr">
        <is>
          <t>340,657</t>
        </is>
      </c>
      <c r="J27" s="21" t="n">
        <v>1</v>
      </c>
      <c r="K27" s="21" t="n">
        <v>0</v>
      </c>
      <c r="L27" s="21" t="inlineStr">
        <is>
          <t>23.10.2024 12:33:57</t>
        </is>
      </c>
      <c r="M27" s="19" t="inlineStr">
        <is>
          <t>0 sec</t>
        </is>
      </c>
      <c r="N27" s="21" t="inlineStr">
        <is>
          <t xml:space="preserve">        918K           918K            41K</t>
        </is>
      </c>
      <c r="O27" s="21" t="inlineStr">
        <is>
          <t>EPtGK4deG13EmxhkrM3uQFay5txx3hRT4ipQpKsfpump</t>
        </is>
      </c>
      <c r="P27" s="21">
        <f>HYPERLINK("https://dexscreener.com/solana/EPtGK4deG13EmxhkrM3uQFay5txx3hRT4ipQpKsfpump", "View")</f>
        <v/>
      </c>
    </row>
    <row r="28">
      <c r="A28" s="16" t="inlineStr">
        <is>
          <t>0v3rsat</t>
        </is>
      </c>
      <c r="B28" s="17" t="n">
        <v>9087495</v>
      </c>
      <c r="C28" s="17" t="n">
        <v>9087495</v>
      </c>
      <c r="D28" s="17" t="inlineStr">
        <is>
          <t>0.024020</t>
        </is>
      </c>
      <c r="E28" s="17" t="inlineStr">
        <is>
          <t>1.980 SOL</t>
        </is>
      </c>
      <c r="F28" s="17" t="inlineStr">
        <is>
          <t>0.296 SOL</t>
        </is>
      </c>
      <c r="G28" s="23" t="inlineStr">
        <is>
          <t>-1.708 SOL</t>
        </is>
      </c>
      <c r="H28" s="23" t="inlineStr">
        <is>
          <t>-85.24%</t>
        </is>
      </c>
      <c r="I28" s="17" t="inlineStr">
        <is>
          <t>N/A</t>
        </is>
      </c>
      <c r="J28" s="17" t="n">
        <v>2</v>
      </c>
      <c r="K28" s="17" t="n">
        <v>1</v>
      </c>
      <c r="L28" s="17" t="inlineStr">
        <is>
          <t>22.10.2024 22:14:47</t>
        </is>
      </c>
      <c r="M28" s="17" t="inlineStr">
        <is>
          <t>6 min</t>
        </is>
      </c>
      <c r="N28" s="17" t="inlineStr">
        <is>
          <t xml:space="preserve">         72K             5K             4K</t>
        </is>
      </c>
      <c r="O28" s="17" t="inlineStr">
        <is>
          <t>Ds7x8bNC1DZkNQRS2xtXCcfcAHU4qkWSFzA5MJFjpump</t>
        </is>
      </c>
      <c r="P28" s="17">
        <f>HYPERLINK("https://dexscreener.com/solana/Ds7x8bNC1DZkNQRS2xtXCcfcAHU4qkWSFzA5MJFjpump", "View")</f>
        <v/>
      </c>
    </row>
    <row r="29">
      <c r="A29" s="20" t="inlineStr">
        <is>
          <t>NIGGAI</t>
        </is>
      </c>
      <c r="B29" s="21" t="n">
        <v>1123440</v>
      </c>
      <c r="C29" s="21" t="n">
        <v>1123440</v>
      </c>
      <c r="D29" s="21" t="inlineStr">
        <is>
          <t>0.016010</t>
        </is>
      </c>
      <c r="E29" s="21" t="inlineStr">
        <is>
          <t>0.495 SOL</t>
        </is>
      </c>
      <c r="F29" s="21" t="inlineStr">
        <is>
          <t>0.546 SOL</t>
        </is>
      </c>
      <c r="G29" s="22" t="inlineStr">
        <is>
          <t>0.035 SOL</t>
        </is>
      </c>
      <c r="H29" s="22" t="inlineStr">
        <is>
          <t>6.83%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22.10.2024 02:37:19</t>
        </is>
      </c>
      <c r="M29" s="21" t="inlineStr">
        <is>
          <t>1 min</t>
        </is>
      </c>
      <c r="N29" s="21" t="inlineStr">
        <is>
          <t xml:space="preserve">         77K            86K             8K</t>
        </is>
      </c>
      <c r="O29" s="21" t="inlineStr">
        <is>
          <t>6J2cEW7MuawwTnSCx5YEcpSTHPnfCeNKqctntecSS4Xq</t>
        </is>
      </c>
      <c r="P29" s="21">
        <f>HYPERLINK("https://dexscreener.com/solana/6J2cEW7MuawwTnSCx5YEcpSTHPnfCeNKqctntecSS4Xq", "View")</f>
        <v/>
      </c>
    </row>
    <row r="30">
      <c r="A30" s="16" t="inlineStr">
        <is>
          <t>RSS</t>
        </is>
      </c>
      <c r="B30" s="17" t="n">
        <v>2255632</v>
      </c>
      <c r="C30" s="17" t="n">
        <v>1524827</v>
      </c>
      <c r="D30" s="17" t="inlineStr">
        <is>
          <t>0.056030</t>
        </is>
      </c>
      <c r="E30" s="17" t="inlineStr">
        <is>
          <t>1.485 SOL</t>
        </is>
      </c>
      <c r="F30" s="17" t="inlineStr">
        <is>
          <t>3.462 SOL</t>
        </is>
      </c>
      <c r="G30" s="24" t="inlineStr">
        <is>
          <t>1.921 SOL</t>
        </is>
      </c>
      <c r="H30" s="24" t="inlineStr">
        <is>
          <t>124.66%</t>
        </is>
      </c>
      <c r="I30" s="17" t="inlineStr">
        <is>
          <t>N/A</t>
        </is>
      </c>
      <c r="J30" s="17" t="n">
        <v>2</v>
      </c>
      <c r="K30" s="17" t="n">
        <v>5</v>
      </c>
      <c r="L30" s="17" t="inlineStr">
        <is>
          <t>21.10.2024 02:26:24</t>
        </is>
      </c>
      <c r="M30" s="17" t="inlineStr">
        <is>
          <t>3 days</t>
        </is>
      </c>
      <c r="N30" s="17" t="inlineStr">
        <is>
          <t xml:space="preserve">         90K           258K            35K</t>
        </is>
      </c>
      <c r="O30" s="17" t="inlineStr">
        <is>
          <t>59VfmRtycwEmfLvjZKybjRZMvhUkcbBVzt8zKqGDJ3Dn</t>
        </is>
      </c>
      <c r="P30" s="17">
        <f>HYPERLINK("https://dexscreener.com/solana/59VfmRtycwEmfLvjZKybjRZMvhUkcbBVzt8zKqGDJ3Dn", "View")</f>
        <v/>
      </c>
    </row>
    <row r="31">
      <c r="A31" s="20" t="inlineStr">
        <is>
          <t>AITHEISM</t>
        </is>
      </c>
      <c r="B31" s="21" t="n">
        <v>9459871</v>
      </c>
      <c r="C31" s="21" t="n">
        <v>9459871</v>
      </c>
      <c r="D31" s="21" t="inlineStr">
        <is>
          <t>0.032020</t>
        </is>
      </c>
      <c r="E31" s="21" t="inlineStr">
        <is>
          <t>3.012 SOL</t>
        </is>
      </c>
      <c r="F31" s="21" t="inlineStr">
        <is>
          <t>3.111 SOL</t>
        </is>
      </c>
      <c r="G31" s="22" t="inlineStr">
        <is>
          <t>0.067 SOL</t>
        </is>
      </c>
      <c r="H31" s="22" t="inlineStr">
        <is>
          <t>2.21%</t>
        </is>
      </c>
      <c r="I31" s="21" t="inlineStr">
        <is>
          <t>N/A</t>
        </is>
      </c>
      <c r="J31" s="21" t="n">
        <v>2</v>
      </c>
      <c r="K31" s="21" t="n">
        <v>2</v>
      </c>
      <c r="L31" s="21" t="inlineStr">
        <is>
          <t>21.10.2024 02:26:08</t>
        </is>
      </c>
      <c r="M31" s="21" t="inlineStr">
        <is>
          <t>1 days</t>
        </is>
      </c>
      <c r="N31" s="21" t="inlineStr">
        <is>
          <t xml:space="preserve">         59K           114K            30K</t>
        </is>
      </c>
      <c r="O31" s="21" t="inlineStr">
        <is>
          <t>2e4JVEPfPbpQoj5W5jjsfjmRMX6seZyA41HkDouKpump</t>
        </is>
      </c>
      <c r="P31" s="21">
        <f>HYPERLINK("https://photon-sol.tinyastro.io/en/lp/2e4JVEPfPbpQoj5W5jjsfjmRMX6seZyA41HkDouKpump?handle=676050794bc1b1657a56b", "View")</f>
        <v/>
      </c>
    </row>
    <row r="32">
      <c r="A32" s="16" t="inlineStr">
        <is>
          <t>$slop</t>
        </is>
      </c>
      <c r="B32" s="17" t="n">
        <v>1251797</v>
      </c>
      <c r="C32" s="17" t="n">
        <v>733866</v>
      </c>
      <c r="D32" s="17" t="inlineStr">
        <is>
          <t>0.066040</t>
        </is>
      </c>
      <c r="E32" s="17" t="inlineStr">
        <is>
          <t>2.970 SOL</t>
        </is>
      </c>
      <c r="F32" s="17" t="inlineStr">
        <is>
          <t>20.961 SOL</t>
        </is>
      </c>
      <c r="G32" s="24" t="inlineStr">
        <is>
          <t>17.925 SOL</t>
        </is>
      </c>
      <c r="H32" s="24" t="inlineStr">
        <is>
          <t>590.40%</t>
        </is>
      </c>
      <c r="I32" s="17" t="inlineStr">
        <is>
          <t>N/A</t>
        </is>
      </c>
      <c r="J32" s="17" t="n">
        <v>1</v>
      </c>
      <c r="K32" s="17" t="n">
        <v>7</v>
      </c>
      <c r="L32" s="17" t="inlineStr">
        <is>
          <t>21.10.2024 02:00:03</t>
        </is>
      </c>
      <c r="M32" s="17" t="inlineStr">
        <is>
          <t>2 hours</t>
        </is>
      </c>
      <c r="N32" s="17" t="inlineStr">
        <is>
          <t xml:space="preserve">        416K             3M             3M</t>
        </is>
      </c>
      <c r="O32" s="17" t="inlineStr">
        <is>
          <t>FqvtZ2UFR9we82Ni4LeacC1zyTiQ77usDo31DUokpump</t>
        </is>
      </c>
      <c r="P32" s="17">
        <f>HYPERLINK("https://dexscreener.com/solana/FqvtZ2UFR9we82Ni4LeacC1zyTiQ77usDo31DUokpump", "View")</f>
        <v/>
      </c>
    </row>
    <row r="33">
      <c r="A33" s="20" t="inlineStr">
        <is>
          <t>SIGMAXIMUS</t>
        </is>
      </c>
      <c r="B33" s="21" t="n">
        <v>5665856</v>
      </c>
      <c r="C33" s="21" t="n">
        <v>5665856</v>
      </c>
      <c r="D33" s="21" t="inlineStr">
        <is>
          <t>0.016010</t>
        </is>
      </c>
      <c r="E33" s="21" t="inlineStr">
        <is>
          <t>1.022 SOL</t>
        </is>
      </c>
      <c r="F33" s="21" t="inlineStr">
        <is>
          <t>0.154 SOL</t>
        </is>
      </c>
      <c r="G33" s="23" t="inlineStr">
        <is>
          <t>-0.884 SOL</t>
        </is>
      </c>
      <c r="H33" s="23" t="inlineStr">
        <is>
          <t>-85.13%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21.10.2024 00:52:52</t>
        </is>
      </c>
      <c r="M33" s="21" t="inlineStr">
        <is>
          <t>5 days</t>
        </is>
      </c>
      <c r="N33" s="21" t="inlineStr">
        <is>
          <t xml:space="preserve">        N/A           N/A           N/A</t>
        </is>
      </c>
      <c r="O33" s="21" t="inlineStr">
        <is>
          <t>9oZpjJ6k1nYeo4N5nHb3NEADZmydwsjyNBKBVXoWpump</t>
        </is>
      </c>
      <c r="P33" s="21">
        <f>HYPERLINK("https://photon-sol.tinyastro.io/en/lp/9oZpjJ6k1nYeo4N5nHb3NEADZmydwsjyNBKBVXoWpump?handle=676050794bc1b1657a56b", "View")</f>
        <v/>
      </c>
    </row>
    <row r="34">
      <c r="A34" s="16" t="inlineStr">
        <is>
          <t>TRENCH</t>
        </is>
      </c>
      <c r="B34" s="17" t="n">
        <v>272869</v>
      </c>
      <c r="C34" s="17" t="n">
        <v>272869</v>
      </c>
      <c r="D34" s="17" t="inlineStr">
        <is>
          <t>0.024020</t>
        </is>
      </c>
      <c r="E34" s="17" t="inlineStr">
        <is>
          <t>0.990 SOL</t>
        </is>
      </c>
      <c r="F34" s="17" t="inlineStr">
        <is>
          <t>1.021 SOL</t>
        </is>
      </c>
      <c r="G34" s="22" t="inlineStr">
        <is>
          <t>0.007 SOL</t>
        </is>
      </c>
      <c r="H34" s="22" t="inlineStr">
        <is>
          <t>0.68%</t>
        </is>
      </c>
      <c r="I34" s="17" t="inlineStr">
        <is>
          <t>N/A</t>
        </is>
      </c>
      <c r="J34" s="17" t="n">
        <v>1</v>
      </c>
      <c r="K34" s="17" t="n">
        <v>2</v>
      </c>
      <c r="L34" s="17" t="inlineStr">
        <is>
          <t>20.10.2024 23:44:11</t>
        </is>
      </c>
      <c r="M34" s="17" t="inlineStr">
        <is>
          <t>5 days</t>
        </is>
      </c>
      <c r="N34" s="17" t="inlineStr">
        <is>
          <t xml:space="preserve">        534K           534K           150K</t>
        </is>
      </c>
      <c r="O34" s="17" t="inlineStr">
        <is>
          <t>BDaNXFW8NST4yXps7TZuizRsj194AeH9tnzZfUQtVuiy</t>
        </is>
      </c>
      <c r="P34" s="17">
        <f>HYPERLINK("https://dexscreener.com/solana/BDaNXFW8NST4yXps7TZuizRsj194AeH9tnzZfUQtVuiy", "View")</f>
        <v/>
      </c>
    </row>
    <row r="35">
      <c r="A35" s="20" t="inlineStr">
        <is>
          <t>ACT</t>
        </is>
      </c>
      <c r="B35" s="21" t="n">
        <v>16376</v>
      </c>
      <c r="C35" s="21" t="n">
        <v>16376</v>
      </c>
      <c r="D35" s="21" t="inlineStr">
        <is>
          <t>0.034020</t>
        </is>
      </c>
      <c r="E35" s="21" t="inlineStr">
        <is>
          <t>2.970 SOL</t>
        </is>
      </c>
      <c r="F35" s="21" t="inlineStr">
        <is>
          <t>3.134 SOL</t>
        </is>
      </c>
      <c r="G35" s="22" t="inlineStr">
        <is>
          <t>0.130 SOL</t>
        </is>
      </c>
      <c r="H35" s="22" t="inlineStr">
        <is>
          <t>4.33%</t>
        </is>
      </c>
      <c r="I35" s="21" t="inlineStr">
        <is>
          <t>N/A</t>
        </is>
      </c>
      <c r="J35" s="21" t="n">
        <v>2</v>
      </c>
      <c r="K35" s="21" t="n">
        <v>2</v>
      </c>
      <c r="L35" s="21" t="inlineStr">
        <is>
          <t>20.10.2024 01:03:02</t>
        </is>
      </c>
      <c r="M35" s="21" t="inlineStr">
        <is>
          <t>10 hours</t>
        </is>
      </c>
      <c r="N35" s="21" t="inlineStr">
        <is>
          <t xml:space="preserve">         30M            24M            35M</t>
        </is>
      </c>
      <c r="O35" s="21" t="inlineStr">
        <is>
          <t>GJAFwWjJ3vnTsrQVabjBVK2TYB1YtRCQXRDfDgUnpump</t>
        </is>
      </c>
      <c r="P35" s="21">
        <f>HYPERLINK("https://dexscreener.com/solana/GJAFwWjJ3vnTsrQVabjBVK2TYB1YtRCQXRDfDgUnpump", "View")</f>
        <v/>
      </c>
    </row>
    <row r="36">
      <c r="A36" s="16" t="inlineStr">
        <is>
          <t>Goon</t>
        </is>
      </c>
      <c r="B36" s="17" t="n">
        <v>754732</v>
      </c>
      <c r="C36" s="17" t="n">
        <v>754732</v>
      </c>
      <c r="D36" s="17" t="inlineStr">
        <is>
          <t>0.024020</t>
        </is>
      </c>
      <c r="E36" s="17" t="inlineStr">
        <is>
          <t>0.990 SOL</t>
        </is>
      </c>
      <c r="F36" s="17" t="inlineStr">
        <is>
          <t>1.073 SOL</t>
        </is>
      </c>
      <c r="G36" s="22" t="inlineStr">
        <is>
          <t>0.059 SOL</t>
        </is>
      </c>
      <c r="H36" s="22" t="inlineStr">
        <is>
          <t>5.77%</t>
        </is>
      </c>
      <c r="I36" s="17" t="inlineStr">
        <is>
          <t>N/A</t>
        </is>
      </c>
      <c r="J36" s="17" t="n">
        <v>1</v>
      </c>
      <c r="K36" s="17" t="n">
        <v>2</v>
      </c>
      <c r="L36" s="17" t="inlineStr">
        <is>
          <t>19.10.2024 14:08:15</t>
        </is>
      </c>
      <c r="M36" s="17" t="inlineStr">
        <is>
          <t>3 days</t>
        </is>
      </c>
      <c r="N36" s="17" t="inlineStr">
        <is>
          <t xml:space="preserve">        230K           230K            39K</t>
        </is>
      </c>
      <c r="O36" s="17" t="inlineStr">
        <is>
          <t>CduQHdRkxgSN1JicYYp28BV4RQkbymVGDodjaw4epump</t>
        </is>
      </c>
      <c r="P36" s="17">
        <f>HYPERLINK("https://dexscreener.com/solana/CduQHdRkxgSN1JicYYp28BV4RQkbymVGDodjaw4epump", "View")</f>
        <v/>
      </c>
    </row>
    <row r="37">
      <c r="A37" s="20" t="inlineStr">
        <is>
          <t>popo</t>
        </is>
      </c>
      <c r="B37" s="21" t="n">
        <v>388091</v>
      </c>
      <c r="C37" s="21" t="n">
        <v>99050</v>
      </c>
      <c r="D37" s="21" t="inlineStr">
        <is>
          <t>0.016010</t>
        </is>
      </c>
      <c r="E37" s="21" t="inlineStr">
        <is>
          <t>2.475 SOL</t>
        </is>
      </c>
      <c r="F37" s="21" t="inlineStr">
        <is>
          <t>2.491 SOL</t>
        </is>
      </c>
      <c r="G37" s="25" t="inlineStr">
        <is>
          <t>-0.000 SOL</t>
        </is>
      </c>
      <c r="H37" s="25" t="inlineStr">
        <is>
          <t>-0.01%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16.10.2024 14:01:58</t>
        </is>
      </c>
      <c r="M37" s="21" t="inlineStr">
        <is>
          <t>23 hours</t>
        </is>
      </c>
      <c r="N37" s="21" t="inlineStr">
        <is>
          <t xml:space="preserve">          1M             1M             1M</t>
        </is>
      </c>
      <c r="O37" s="21" t="inlineStr">
        <is>
          <t>6kJhG826LGowg7zG6PLd6tg7mqvVSdq2WzHhsfc7pump</t>
        </is>
      </c>
      <c r="P37" s="21">
        <f>HYPERLINK("https://dexscreener.com/solana/6kJhG826LGowg7zG6PLd6tg7mqvVSdq2WzHhsfc7pump", "View")</f>
        <v/>
      </c>
    </row>
    <row r="38">
      <c r="A38" s="16" t="inlineStr">
        <is>
          <t>Tilly</t>
        </is>
      </c>
      <c r="B38" s="17" t="n">
        <v>200398</v>
      </c>
      <c r="C38" s="17" t="n">
        <v>0</v>
      </c>
      <c r="D38" s="17" t="inlineStr">
        <is>
          <t>0.008000</t>
        </is>
      </c>
      <c r="E38" s="17" t="inlineStr">
        <is>
          <t>4.950 SOL</t>
        </is>
      </c>
      <c r="F38" s="17" t="inlineStr">
        <is>
          <t>0.000 SOL</t>
        </is>
      </c>
      <c r="G38" s="18" t="inlineStr">
        <is>
          <t>-4.958 SOL</t>
        </is>
      </c>
      <c r="H38" s="18" t="inlineStr">
        <is>
          <t>0.00%</t>
        </is>
      </c>
      <c r="I38" s="17" t="inlineStr">
        <is>
          <t>200,398</t>
        </is>
      </c>
      <c r="J38" s="17" t="n">
        <v>1</v>
      </c>
      <c r="K38" s="17" t="n">
        <v>0</v>
      </c>
      <c r="L38" s="17" t="inlineStr">
        <is>
          <t>16.10.2024 07:39:31</t>
        </is>
      </c>
      <c r="M38" s="19" t="inlineStr">
        <is>
          <t>0 sec</t>
        </is>
      </c>
      <c r="N38" s="17" t="inlineStr">
        <is>
          <t xml:space="preserve">          4M             4M           198K</t>
        </is>
      </c>
      <c r="O38" s="17" t="inlineStr">
        <is>
          <t>HuiVprCHCucHUb5bX6EXFJd7wuwvdASFzzge4ahXpump</t>
        </is>
      </c>
      <c r="P38" s="17">
        <f>HYPERLINK("https://dexscreener.com/solana/HuiVprCHCucHUb5bX6EXFJd7wuwvdASFzzge4ahXpump", "View")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HYPERLINK("https://gmgn.ai/sol/address/67XYw3WnAQbmpJuLoKh7YZwzVUd2q9z2FCNz4Ycjj5dC", "GMGN")</f>
        <v/>
      </c>
    </row>
    <row r="2">
      <c r="A2" s="3" t="inlineStr">
        <is>
          <t>67XYw3WnAQbmpJuLoKh7YZwzVUd2q9z2FCNz4Ycjj5dC</t>
        </is>
      </c>
      <c r="B2" s="3" t="inlineStr">
        <is>
          <t>7.44 SOL</t>
        </is>
      </c>
      <c r="C2" s="3" t="inlineStr">
        <is>
          <t>50%</t>
        </is>
      </c>
      <c r="D2" s="3" t="inlineStr">
        <is>
          <t>111%</t>
        </is>
      </c>
      <c r="E2" s="3" t="inlineStr">
        <is>
          <t>7.07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0</v>
      </c>
      <c r="N2" s="3">
        <f>HYPERLINK("https://solscan.io/account/67XYw3WnAQbmpJuLoKh7YZwzVUd2q9z2FCNz4Ycjj5dC", "Solscan")</f>
        <v/>
      </c>
    </row>
    <row r="3">
      <c r="A3" s="7" t="inlineStr">
        <is>
          <t>Median ROI</t>
        </is>
      </c>
      <c r="B3" s="5" t="inlineStr">
        <is>
          <t>-3.43%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HYPERLINK("https://birdeye.so/profile/67XYw3WnAQbmpJuLoKh7YZwzVUd2q9z2FCNz4Ycjj5dC", "Birdeye")</f>
        <v/>
      </c>
    </row>
    <row r="4">
      <c r="A4" s="7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0</v>
      </c>
      <c r="D10" s="7" t="n">
        <v>2</v>
      </c>
      <c r="E10" s="7" t="n">
        <v>1</v>
      </c>
      <c r="F10" s="7" t="n">
        <v>3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12.5%</t>
        </is>
      </c>
      <c r="C11" s="7" t="inlineStr">
        <is>
          <t>0.0%</t>
        </is>
      </c>
      <c r="D11" s="7" t="inlineStr">
        <is>
          <t>25.0%</t>
        </is>
      </c>
      <c r="E11" s="7" t="inlineStr">
        <is>
          <t>12.5%</t>
        </is>
      </c>
      <c r="F11" s="7" t="inlineStr">
        <is>
          <t>37.5%</t>
        </is>
      </c>
      <c r="G11" s="7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6.6 SOL</t>
        </is>
      </c>
      <c r="C12" s="7" t="inlineStr">
        <is>
          <t>0.0 SOL</t>
        </is>
      </c>
      <c r="D12" s="7" t="inlineStr">
        <is>
          <t>1.3 SOL</t>
        </is>
      </c>
      <c r="E12" s="7" t="inlineStr">
        <is>
          <t>0.1 SOL</t>
        </is>
      </c>
      <c r="F12" s="7" t="inlineStr">
        <is>
          <t>-0.8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0.560 SOL</t>
        </is>
      </c>
      <c r="F20" s="17" t="inlineStr">
        <is>
          <t>0.469 SOL</t>
        </is>
      </c>
      <c r="G20" s="25" t="inlineStr">
        <is>
          <t>-0.111 SOL</t>
        </is>
      </c>
      <c r="H20" s="25" t="inlineStr">
        <is>
          <t>-19.14%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17:34:58</t>
        </is>
      </c>
      <c r="M20" s="17" t="inlineStr">
        <is>
          <t>3 min</t>
        </is>
      </c>
      <c r="N20" s="17" t="inlineStr">
        <is>
          <t xml:space="preserve">         11K            11K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0.220110</t>
        </is>
      </c>
      <c r="E21" s="21" t="inlineStr">
        <is>
          <t>0.783 SOL</t>
        </is>
      </c>
      <c r="F21" s="21" t="inlineStr">
        <is>
          <t>1.557 SOL</t>
        </is>
      </c>
      <c r="G21" s="24" t="inlineStr">
        <is>
          <t>0.554 SOL</t>
        </is>
      </c>
      <c r="H21" s="24" t="inlineStr">
        <is>
          <t>55.28%</t>
        </is>
      </c>
      <c r="I21" s="21" t="inlineStr">
        <is>
          <t>N/A</t>
        </is>
      </c>
      <c r="J21" s="21" t="n">
        <v>1</v>
      </c>
      <c r="K21" s="21" t="n">
        <v>21</v>
      </c>
      <c r="L21" s="21" t="inlineStr">
        <is>
          <t>30.10.2024 13:20:51</t>
        </is>
      </c>
      <c r="M21" s="21" t="inlineStr">
        <is>
          <t>4 min</t>
        </is>
      </c>
      <c r="N21" s="21" t="inlineStr">
        <is>
          <t xml:space="preserve">         16K            16K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0.620310</t>
        </is>
      </c>
      <c r="E22" s="17" t="inlineStr">
        <is>
          <t>0.550 SOL</t>
        </is>
      </c>
      <c r="F22" s="17" t="inlineStr">
        <is>
          <t>7.752 SOL</t>
        </is>
      </c>
      <c r="G22" s="24" t="inlineStr">
        <is>
          <t>6.582 SOL</t>
        </is>
      </c>
      <c r="H22" s="24" t="inlineStr">
        <is>
          <t>562.59%</t>
        </is>
      </c>
      <c r="I22" s="17" t="inlineStr">
        <is>
          <t>N/A</t>
        </is>
      </c>
      <c r="J22" s="17" t="n">
        <v>1</v>
      </c>
      <c r="K22" s="17" t="n">
        <v>61</v>
      </c>
      <c r="L22" s="17" t="inlineStr">
        <is>
          <t>30.10.2024 06:17:46</t>
        </is>
      </c>
      <c r="M22" s="17" t="inlineStr">
        <is>
          <t>7 min</t>
        </is>
      </c>
      <c r="N22" s="17" t="inlineStr">
        <is>
          <t xml:space="preserve">         11K           102K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Butters</t>
        </is>
      </c>
      <c r="B23" s="21" t="n">
        <v>7929767</v>
      </c>
      <c r="C23" s="21" t="n">
        <v>7929767</v>
      </c>
      <c r="D23" s="21" t="inlineStr">
        <is>
          <t>0.020010</t>
        </is>
      </c>
      <c r="E23" s="21" t="inlineStr">
        <is>
          <t>0.544 SOL</t>
        </is>
      </c>
      <c r="F23" s="21" t="inlineStr">
        <is>
          <t>0.633 SOL</t>
        </is>
      </c>
      <c r="G23" s="22" t="inlineStr">
        <is>
          <t>0.069 SOL</t>
        </is>
      </c>
      <c r="H23" s="22" t="inlineStr">
        <is>
          <t>12.28%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18:25:21</t>
        </is>
      </c>
      <c r="M23" s="21" t="inlineStr">
        <is>
          <t>8 min</t>
        </is>
      </c>
      <c r="N23" s="21" t="inlineStr">
        <is>
          <t xml:space="preserve">         12K            14K             4K</t>
        </is>
      </c>
      <c r="O23" s="21" t="inlineStr">
        <is>
          <t>BFc3G2JaqZA3eCJzWiSMhGZp7aXwonXETtr2Nudppump</t>
        </is>
      </c>
      <c r="P23" s="21">
        <f>HYPERLINK("https://photon-sol.tinyastro.io/en/lp/BFc3G2JaqZA3eCJzWiSMhGZp7aXwonXETtr2Nudppump?handle=676050794bc1b1657a56b", "View")</f>
        <v/>
      </c>
    </row>
    <row r="24">
      <c r="A24" s="16" t="inlineStr">
        <is>
          <t>Nina</t>
        </is>
      </c>
      <c r="B24" s="17" t="n">
        <v>11778199</v>
      </c>
      <c r="C24" s="17" t="n">
        <v>11778199</v>
      </c>
      <c r="D24" s="17" t="inlineStr">
        <is>
          <t>0.020010</t>
        </is>
      </c>
      <c r="E24" s="17" t="inlineStr">
        <is>
          <t>1.157 SOL</t>
        </is>
      </c>
      <c r="F24" s="17" t="inlineStr">
        <is>
          <t>0.844 SOL</t>
        </is>
      </c>
      <c r="G24" s="25" t="inlineStr">
        <is>
          <t>-0.333 SOL</t>
        </is>
      </c>
      <c r="H24" s="25" t="inlineStr">
        <is>
          <t>-28.31%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15:46:54</t>
        </is>
      </c>
      <c r="M24" s="17" t="inlineStr">
        <is>
          <t>4 min</t>
        </is>
      </c>
      <c r="N24" s="17" t="inlineStr">
        <is>
          <t xml:space="preserve">         18K            12K             5K</t>
        </is>
      </c>
      <c r="O24" s="17" t="inlineStr">
        <is>
          <t>CDkwBE7pPovZLJC2KxM7jvWXkyygR1Y1u2R7f6hmpump</t>
        </is>
      </c>
      <c r="P24" s="17">
        <f>HYPERLINK("https://photon-sol.tinyastro.io/en/lp/CDkwBE7pPovZLJC2KxM7jvWXkyygR1Y1u2R7f6hmpump?handle=676050794bc1b1657a56b", "View")</f>
        <v/>
      </c>
    </row>
    <row r="25">
      <c r="A25" s="20" t="inlineStr">
        <is>
          <t>MOLANG</t>
        </is>
      </c>
      <c r="B25" s="21" t="n">
        <v>1793028</v>
      </c>
      <c r="C25" s="21" t="n">
        <v>1793028</v>
      </c>
      <c r="D25" s="21" t="inlineStr">
        <is>
          <t>0.220020</t>
        </is>
      </c>
      <c r="E25" s="21" t="inlineStr">
        <is>
          <t>0.542 SOL</t>
        </is>
      </c>
      <c r="F25" s="21" t="inlineStr">
        <is>
          <t>0.416 SOL</t>
        </is>
      </c>
      <c r="G25" s="25" t="inlineStr">
        <is>
          <t>-0.345 SOL</t>
        </is>
      </c>
      <c r="H25" s="25" t="inlineStr">
        <is>
          <t>-45.34%</t>
        </is>
      </c>
      <c r="I25" s="21" t="inlineStr">
        <is>
          <t>N/A</t>
        </is>
      </c>
      <c r="J25" s="21" t="n">
        <v>2</v>
      </c>
      <c r="K25" s="21" t="n">
        <v>2</v>
      </c>
      <c r="L25" s="21" t="inlineStr">
        <is>
          <t>29.10.2024 14:48:14</t>
        </is>
      </c>
      <c r="M25" s="21" t="inlineStr">
        <is>
          <t>10 min</t>
        </is>
      </c>
      <c r="N25" s="21" t="inlineStr">
        <is>
          <t xml:space="preserve">         56K            30K             4K</t>
        </is>
      </c>
      <c r="O25" s="21" t="inlineStr">
        <is>
          <t>BPFXTGBjoARa89gbSvbp7Dy6cQwgGc7efW1jE8nTpump</t>
        </is>
      </c>
      <c r="P25" s="21">
        <f>HYPERLINK("https://photon-sol.tinyastro.io/en/lp/BPFXTGBjoARa89gbSvbp7Dy6cQwgGc7efW1jE8nTpump?handle=676050794bc1b1657a56b", "View")</f>
        <v/>
      </c>
    </row>
    <row r="26">
      <c r="A26" s="16" t="inlineStr">
        <is>
          <t>Trina</t>
        </is>
      </c>
      <c r="B26" s="17" t="n">
        <v>11384893</v>
      </c>
      <c r="C26" s="17" t="n">
        <v>11384893</v>
      </c>
      <c r="D26" s="17" t="inlineStr">
        <is>
          <t>0.410160</t>
        </is>
      </c>
      <c r="E26" s="17" t="inlineStr">
        <is>
          <t>0.478 SOL</t>
        </is>
      </c>
      <c r="F26" s="17" t="inlineStr">
        <is>
          <t>1.666 SOL</t>
        </is>
      </c>
      <c r="G26" s="24" t="inlineStr">
        <is>
          <t>0.777 SOL</t>
        </is>
      </c>
      <c r="H26" s="24" t="inlineStr">
        <is>
          <t>87.43%</t>
        </is>
      </c>
      <c r="I26" s="17" t="inlineStr">
        <is>
          <t>N/A</t>
        </is>
      </c>
      <c r="J26" s="17" t="n">
        <v>1</v>
      </c>
      <c r="K26" s="17" t="n">
        <v>31</v>
      </c>
      <c r="L26" s="17" t="inlineStr">
        <is>
          <t>29.10.2024 13:33:41</t>
        </is>
      </c>
      <c r="M26" s="17" t="inlineStr">
        <is>
          <t>10 min</t>
        </is>
      </c>
      <c r="N26" s="17" t="inlineStr">
        <is>
          <t xml:space="preserve">          7K            11K             4K</t>
        </is>
      </c>
      <c r="O26" s="17" t="inlineStr">
        <is>
          <t>DirQ7FDi1C5SZCy8ai1GTSvnm9o8MDf9s4C4cExzpump</t>
        </is>
      </c>
      <c r="P26" s="17">
        <f>HYPERLINK("https://photon-sol.tinyastro.io/en/lp/DirQ7FDi1C5SZCy8ai1GTSvnm9o8MDf9s4C4cExzpump?handle=676050794bc1b1657a56b", "View")</f>
        <v/>
      </c>
    </row>
    <row r="27">
      <c r="A27" s="20" t="inlineStr">
        <is>
          <t>Trina</t>
        </is>
      </c>
      <c r="B27" s="21" t="n">
        <v>585788</v>
      </c>
      <c r="C27" s="21" t="n">
        <v>585788</v>
      </c>
      <c r="D27" s="21" t="inlineStr">
        <is>
          <t>0.110010</t>
        </is>
      </c>
      <c r="E27" s="21" t="inlineStr">
        <is>
          <t>0.131 SOL</t>
        </is>
      </c>
      <c r="F27" s="21" t="inlineStr">
        <is>
          <t>0.115 SOL</t>
        </is>
      </c>
      <c r="G27" s="23" t="inlineStr">
        <is>
          <t>-0.127 SOL</t>
        </is>
      </c>
      <c r="H27" s="23" t="inlineStr">
        <is>
          <t>-52.49%</t>
        </is>
      </c>
      <c r="I27" s="21" t="inlineStr">
        <is>
          <t>N/A</t>
        </is>
      </c>
      <c r="J27" s="21" t="n">
        <v>1</v>
      </c>
      <c r="K27" s="21" t="n">
        <v>1</v>
      </c>
      <c r="L27" s="21" t="inlineStr">
        <is>
          <t>29.10.2024 13:22:14</t>
        </is>
      </c>
      <c r="M27" s="21" t="inlineStr">
        <is>
          <t>8 min</t>
        </is>
      </c>
      <c r="N27" s="21" t="inlineStr">
        <is>
          <t xml:space="preserve">         39K            35K             5K</t>
        </is>
      </c>
      <c r="O27" s="21" t="inlineStr">
        <is>
          <t>CsT44i2W2MWp23WQ2EqjorxZVVzuN4niw1cj1Qr5pump</t>
        </is>
      </c>
      <c r="P27" s="21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HYPERLINK("https://gmgn.ai/sol/address/GBUvKJp5BTx65h5yWA4s8q6Ast1T86viRKRVxZtahbsD", "GMGN")</f>
        <v/>
      </c>
    </row>
    <row r="2">
      <c r="A2" s="3" t="inlineStr">
        <is>
          <t>GBUvKJp5BTx65h5yWA4s8q6Ast1T86viRKRVxZtahbsD</t>
        </is>
      </c>
      <c r="B2" s="3" t="inlineStr">
        <is>
          <t>10.15 SOL</t>
        </is>
      </c>
      <c r="C2" s="3" t="inlineStr">
        <is>
          <t>78%</t>
        </is>
      </c>
      <c r="D2" s="3" t="inlineStr">
        <is>
          <t>166%</t>
        </is>
      </c>
      <c r="E2" s="3" t="inlineStr">
        <is>
          <t>10.05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3</v>
      </c>
      <c r="N2" s="3">
        <f>HYPERLINK("https://solscan.io/account/GBUvKJp5BTx65h5yWA4s8q6Ast1T86viRKRVxZtahbsD", "Solscan")</f>
        <v/>
      </c>
    </row>
    <row r="3">
      <c r="A3" s="7" t="inlineStr">
        <is>
          <t>Median ROI</t>
        </is>
      </c>
      <c r="B3" s="4" t="inlineStr">
        <is>
          <t>39.89%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HYPERLINK("https://birdeye.so/profile/GBUvKJp5BTx65h5yWA4s8q6Ast1T86viRKRVxZtahbsD", "Birdeye")</f>
        <v/>
      </c>
    </row>
    <row r="4">
      <c r="A4" s="7" t="inlineStr">
        <is>
          <t>Rockets percent</t>
        </is>
      </c>
      <c r="B4" s="4" t="inlineStr">
        <is>
          <t>44%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3</v>
      </c>
      <c r="D10" s="7" t="n">
        <v>0</v>
      </c>
      <c r="E10" s="7" t="n">
        <v>3</v>
      </c>
      <c r="F10" s="7" t="n">
        <v>1</v>
      </c>
      <c r="G10" s="7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11.1%</t>
        </is>
      </c>
      <c r="C11" s="7" t="inlineStr">
        <is>
          <t>33.3%</t>
        </is>
      </c>
      <c r="D11" s="7" t="inlineStr">
        <is>
          <t>0.0%</t>
        </is>
      </c>
      <c r="E11" s="7" t="inlineStr">
        <is>
          <t>33.3%</t>
        </is>
      </c>
      <c r="F11" s="7" t="inlineStr">
        <is>
          <t>11.1%</t>
        </is>
      </c>
      <c r="G11" s="7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6.9 SOL</t>
        </is>
      </c>
      <c r="C12" s="7" t="inlineStr">
        <is>
          <t>3.3 SOL</t>
        </is>
      </c>
      <c r="D12" s="7" t="inlineStr">
        <is>
          <t>0.0 SOL</t>
        </is>
      </c>
      <c r="E12" s="7" t="inlineStr">
        <is>
          <t>0.3 SOL</t>
        </is>
      </c>
      <c r="F12" s="7" t="inlineStr">
        <is>
          <t>-0.3 SOL</t>
        </is>
      </c>
      <c r="G12" s="7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Glory</t>
        </is>
      </c>
      <c r="B20" s="17" t="n">
        <v>8984506</v>
      </c>
      <c r="C20" s="17" t="n">
        <v>8984506</v>
      </c>
      <c r="D20" s="17" t="inlineStr">
        <is>
          <t>0.020010</t>
        </is>
      </c>
      <c r="E20" s="17" t="inlineStr">
        <is>
          <t>0.477 SOL</t>
        </is>
      </c>
      <c r="F20" s="17" t="inlineStr">
        <is>
          <t>0.696 SOL</t>
        </is>
      </c>
      <c r="G20" s="22" t="inlineStr">
        <is>
          <t>0.198 SOL</t>
        </is>
      </c>
      <c r="H20" s="22" t="inlineStr">
        <is>
          <t>39.89%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17:34:53</t>
        </is>
      </c>
      <c r="M20" s="17" t="inlineStr">
        <is>
          <t>3 min</t>
        </is>
      </c>
      <c r="N20" s="17" t="inlineStr">
        <is>
          <t xml:space="preserve">          9K             9K             6K</t>
        </is>
      </c>
      <c r="O20" s="17" t="inlineStr">
        <is>
          <t>DZqXyNkK52FpPHGN73EmvvLoSZNXskpNvtL1GMjLpump</t>
        </is>
      </c>
      <c r="P20" s="17">
        <f>HYPERLINK("https://photon-sol.tinyastro.io/en/lp/DZqXyNkK52FpPHGN73EmvvLoSZNXskpNvtL1GMjLpump?handle=676050794bc1b1657a56b", "View")</f>
        <v/>
      </c>
    </row>
    <row r="21">
      <c r="A21" s="20" t="inlineStr">
        <is>
          <t>Liberty</t>
        </is>
      </c>
      <c r="B21" s="21" t="n">
        <v>8959841</v>
      </c>
      <c r="C21" s="21" t="n">
        <v>8959841</v>
      </c>
      <c r="D21" s="21" t="inlineStr">
        <is>
          <t>0.220110</t>
        </is>
      </c>
      <c r="E21" s="21" t="inlineStr">
        <is>
          <t>0.498 SOL</t>
        </is>
      </c>
      <c r="F21" s="21" t="inlineStr">
        <is>
          <t>1.533 SOL</t>
        </is>
      </c>
      <c r="G21" s="24" t="inlineStr">
        <is>
          <t>0.814 SOL</t>
        </is>
      </c>
      <c r="H21" s="24" t="inlineStr">
        <is>
          <t>113.34%</t>
        </is>
      </c>
      <c r="I21" s="21" t="inlineStr">
        <is>
          <t>N/A</t>
        </is>
      </c>
      <c r="J21" s="21" t="n">
        <v>1</v>
      </c>
      <c r="K21" s="21" t="n">
        <v>21</v>
      </c>
      <c r="L21" s="21" t="inlineStr">
        <is>
          <t>30.10.2024 13:20:51</t>
        </is>
      </c>
      <c r="M21" s="21" t="inlineStr">
        <is>
          <t>4 min</t>
        </is>
      </c>
      <c r="N21" s="21" t="inlineStr">
        <is>
          <t xml:space="preserve">         11K            11K             5K</t>
        </is>
      </c>
      <c r="O21" s="21" t="inlineStr">
        <is>
          <t>CqBmg5ZUoaPg5Yx5uAKYzpyRcXme2UpVmZ8U5iotpump</t>
        </is>
      </c>
      <c r="P21" s="21">
        <f>HYPERLINK("https://photon-sol.tinyastro.io/en/lp/CqBmg5ZUoaPg5Yx5uAKYzpyRcXme2UpVmZ8U5iotpump?handle=676050794bc1b1657a56b", "View")</f>
        <v/>
      </c>
    </row>
    <row r="22">
      <c r="A22" s="16" t="inlineStr">
        <is>
          <t>Torin</t>
        </is>
      </c>
      <c r="B22" s="17" t="n">
        <v>10163367</v>
      </c>
      <c r="C22" s="17" t="n">
        <v>10163367</v>
      </c>
      <c r="D22" s="17" t="inlineStr">
        <is>
          <t>0.140070</t>
        </is>
      </c>
      <c r="E22" s="17" t="inlineStr">
        <is>
          <t>0.463 SOL</t>
        </is>
      </c>
      <c r="F22" s="17" t="inlineStr">
        <is>
          <t>1.826 SOL</t>
        </is>
      </c>
      <c r="G22" s="24" t="inlineStr">
        <is>
          <t>1.223 SOL</t>
        </is>
      </c>
      <c r="H22" s="24" t="inlineStr">
        <is>
          <t>202.90%</t>
        </is>
      </c>
      <c r="I22" s="17" t="inlineStr">
        <is>
          <t>N/A</t>
        </is>
      </c>
      <c r="J22" s="17" t="n">
        <v>1</v>
      </c>
      <c r="K22" s="17" t="n">
        <v>13</v>
      </c>
      <c r="L22" s="17" t="inlineStr">
        <is>
          <t>30.10.2024 06:27:45</t>
        </is>
      </c>
      <c r="M22" s="17" t="inlineStr">
        <is>
          <t>7 min</t>
        </is>
      </c>
      <c r="N22" s="17" t="inlineStr">
        <is>
          <t xml:space="preserve">          9K            14K             3K</t>
        </is>
      </c>
      <c r="O22" s="17" t="inlineStr">
        <is>
          <t>HxdzGHd2jLF12UHjgFKCb6zMzgfqGnwRvwKweXmXpump</t>
        </is>
      </c>
      <c r="P22" s="17">
        <f>HYPERLINK("https://photon-sol.tinyastro.io/en/lp/HxdzGHd2jLF12UHjgFKCb6zMzgfqGnwRvwKweXmXpump?handle=676050794bc1b1657a56b", "View")</f>
        <v/>
      </c>
    </row>
    <row r="23">
      <c r="A23" s="20" t="inlineStr">
        <is>
          <t>Torin</t>
        </is>
      </c>
      <c r="B23" s="21" t="n">
        <v>8831328</v>
      </c>
      <c r="C23" s="21" t="n">
        <v>8831328</v>
      </c>
      <c r="D23" s="21" t="inlineStr">
        <is>
          <t>0.620310</t>
        </is>
      </c>
      <c r="E23" s="21" t="inlineStr">
        <is>
          <t>0.353 SOL</t>
        </is>
      </c>
      <c r="F23" s="21" t="inlineStr">
        <is>
          <t>7.852 SOL</t>
        </is>
      </c>
      <c r="G23" s="24" t="inlineStr">
        <is>
          <t>6.879 SOL</t>
        </is>
      </c>
      <c r="H23" s="24" t="inlineStr">
        <is>
          <t>706.44%</t>
        </is>
      </c>
      <c r="I23" s="21" t="inlineStr">
        <is>
          <t>N/A</t>
        </is>
      </c>
      <c r="J23" s="21" t="n">
        <v>1</v>
      </c>
      <c r="K23" s="21" t="n">
        <v>61</v>
      </c>
      <c r="L23" s="21" t="inlineStr">
        <is>
          <t>30.10.2024 06:17:46</t>
        </is>
      </c>
      <c r="M23" s="21" t="inlineStr">
        <is>
          <t>7 min</t>
        </is>
      </c>
      <c r="N23" s="21" t="inlineStr">
        <is>
          <t xml:space="preserve">          7K           100K             7K</t>
        </is>
      </c>
      <c r="O23" s="21" t="inlineStr">
        <is>
          <t>ALKTKLRTyF3P83KMCAvGEtY4CsoMzvh1k38uixCgpump</t>
        </is>
      </c>
      <c r="P23" s="21">
        <f>HYPERLINK("https://photon-sol.tinyastro.io/en/lp/ALKTKLRTyF3P83KMCAvGEtY4CsoMzvh1k38uixCgpump?handle=676050794bc1b1657a56b", "View")</f>
        <v/>
      </c>
    </row>
    <row r="24">
      <c r="A24" s="16" t="inlineStr">
        <is>
          <t>Butters</t>
        </is>
      </c>
      <c r="B24" s="17" t="n">
        <v>7929767</v>
      </c>
      <c r="C24" s="17" t="n">
        <v>7929767</v>
      </c>
      <c r="D24" s="17" t="inlineStr">
        <is>
          <t>0.020010</t>
        </is>
      </c>
      <c r="E24" s="17" t="inlineStr">
        <is>
          <t>0.510 SOL</t>
        </is>
      </c>
      <c r="F24" s="17" t="inlineStr">
        <is>
          <t>0.592 SOL</t>
        </is>
      </c>
      <c r="G24" s="22" t="inlineStr">
        <is>
          <t>0.061 SOL</t>
        </is>
      </c>
      <c r="H24" s="22" t="inlineStr">
        <is>
          <t>11.58%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18:25:21</t>
        </is>
      </c>
      <c r="M24" s="17" t="inlineStr">
        <is>
          <t>8 min</t>
        </is>
      </c>
      <c r="N24" s="17" t="inlineStr">
        <is>
          <t xml:space="preserve">         11K            12K             4K</t>
        </is>
      </c>
      <c r="O24" s="17" t="inlineStr">
        <is>
          <t>BFc3G2JaqZA3eCJzWiSMhGZp7aXwonXETtr2Nudppump</t>
        </is>
      </c>
      <c r="P24" s="17">
        <f>HYPERLINK("https://photon-sol.tinyastro.io/en/lp/BFc3G2JaqZA3eCJzWiSMhGZp7aXwonXETtr2Nudppump?handle=676050794bc1b1657a56b", "View")</f>
        <v/>
      </c>
    </row>
    <row r="25">
      <c r="A25" s="20" t="inlineStr">
        <is>
          <t>Nina</t>
        </is>
      </c>
      <c r="B25" s="21" t="n">
        <v>11778199</v>
      </c>
      <c r="C25" s="21" t="n">
        <v>11778199</v>
      </c>
      <c r="D25" s="21" t="inlineStr">
        <is>
          <t>0.020010</t>
        </is>
      </c>
      <c r="E25" s="21" t="inlineStr">
        <is>
          <t>0.710 SOL</t>
        </is>
      </c>
      <c r="F25" s="21" t="inlineStr">
        <is>
          <t>0.752 SOL</t>
        </is>
      </c>
      <c r="G25" s="22" t="inlineStr">
        <is>
          <t>0.022 SOL</t>
        </is>
      </c>
      <c r="H25" s="22" t="inlineStr">
        <is>
          <t>3.01%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29.10.2024 15:47:07</t>
        </is>
      </c>
      <c r="M25" s="21" t="inlineStr">
        <is>
          <t>4 min</t>
        </is>
      </c>
      <c r="N25" s="21" t="inlineStr">
        <is>
          <t xml:space="preserve">         11K            11K             5K</t>
        </is>
      </c>
      <c r="O25" s="21" t="inlineStr">
        <is>
          <t>CDkwBE7pPovZLJC2KxM7jvWXkyygR1Y1u2R7f6hmpump</t>
        </is>
      </c>
      <c r="P25" s="21">
        <f>HYPERLINK("https://photon-sol.tinyastro.io/en/lp/CDkwBE7pPovZLJC2KxM7jvWXkyygR1Y1u2R7f6hmpump?handle=676050794bc1b1657a56b", "View")</f>
        <v/>
      </c>
    </row>
    <row r="26">
      <c r="A26" s="16" t="inlineStr">
        <is>
          <t>MOLANG</t>
        </is>
      </c>
      <c r="B26" s="17" t="n">
        <v>1793028</v>
      </c>
      <c r="C26" s="17" t="n">
        <v>1793028</v>
      </c>
      <c r="D26" s="17" t="inlineStr">
        <is>
          <t>0.220020</t>
        </is>
      </c>
      <c r="E26" s="17" t="inlineStr">
        <is>
          <t>0.535 SOL</t>
        </is>
      </c>
      <c r="F26" s="17" t="inlineStr">
        <is>
          <t>0.432 SOL</t>
        </is>
      </c>
      <c r="G26" s="25" t="inlineStr">
        <is>
          <t>-0.323 SOL</t>
        </is>
      </c>
      <c r="H26" s="25" t="inlineStr">
        <is>
          <t>-42.72%</t>
        </is>
      </c>
      <c r="I26" s="17" t="inlineStr">
        <is>
          <t>N/A</t>
        </is>
      </c>
      <c r="J26" s="17" t="n">
        <v>2</v>
      </c>
      <c r="K26" s="17" t="n">
        <v>2</v>
      </c>
      <c r="L26" s="17" t="inlineStr">
        <is>
          <t>29.10.2024 14:48:15</t>
        </is>
      </c>
      <c r="M26" s="17" t="inlineStr">
        <is>
          <t>10 min</t>
        </is>
      </c>
      <c r="N26" s="17" t="inlineStr">
        <is>
          <t xml:space="preserve">         54K            33K             4K</t>
        </is>
      </c>
      <c r="O26" s="17" t="inlineStr">
        <is>
          <t>BPFXTGBjoARa89gbSvbp7Dy6cQwgGc7efW1jE8nTpump</t>
        </is>
      </c>
      <c r="P26" s="17">
        <f>HYPERLINK("https://photon-sol.tinyastro.io/en/lp/BPFXTGBjoARa89gbSvbp7Dy6cQwgGc7efW1jE8nTpump?handle=676050794bc1b1657a56b", "View")</f>
        <v/>
      </c>
    </row>
    <row r="27">
      <c r="A27" s="20" t="inlineStr">
        <is>
          <t>Trina</t>
        </is>
      </c>
      <c r="B27" s="21" t="n">
        <v>11384893</v>
      </c>
      <c r="C27" s="21" t="n">
        <v>11384893</v>
      </c>
      <c r="D27" s="21" t="inlineStr">
        <is>
          <t>0.470190</t>
        </is>
      </c>
      <c r="E27" s="21" t="inlineStr">
        <is>
          <t>0.535 SOL</t>
        </is>
      </c>
      <c r="F27" s="21" t="inlineStr">
        <is>
          <t>2.305 SOL</t>
        </is>
      </c>
      <c r="G27" s="24" t="inlineStr">
        <is>
          <t>1.300 SOL</t>
        </is>
      </c>
      <c r="H27" s="24" t="inlineStr">
        <is>
          <t>129.27%</t>
        </is>
      </c>
      <c r="I27" s="21" t="inlineStr">
        <is>
          <t>N/A</t>
        </is>
      </c>
      <c r="J27" s="21" t="n">
        <v>1</v>
      </c>
      <c r="K27" s="21" t="n">
        <v>37</v>
      </c>
      <c r="L27" s="21" t="inlineStr">
        <is>
          <t>29.10.2024 13:33:37</t>
        </is>
      </c>
      <c r="M27" s="21" t="inlineStr">
        <is>
          <t>9 min</t>
        </is>
      </c>
      <c r="N27" s="21" t="inlineStr">
        <is>
          <t xml:space="preserve">          9K            12K             4K</t>
        </is>
      </c>
      <c r="O27" s="21" t="inlineStr">
        <is>
          <t>DirQ7FDi1C5SZCy8ai1GTSvnm9o8MDf9s4C4cExzpump</t>
        </is>
      </c>
      <c r="P27" s="21">
        <f>HYPERLINK("https://photon-sol.tinyastro.io/en/lp/DirQ7FDi1C5SZCy8ai1GTSvnm9o8MDf9s4C4cExzpump?handle=676050794bc1b1657a56b", "View")</f>
        <v/>
      </c>
    </row>
    <row r="28">
      <c r="A28" s="16" t="inlineStr">
        <is>
          <t>Trina</t>
        </is>
      </c>
      <c r="B28" s="17" t="n">
        <v>585788</v>
      </c>
      <c r="C28" s="17" t="n">
        <v>585788</v>
      </c>
      <c r="D28" s="17" t="inlineStr">
        <is>
          <t>0.110010</t>
        </is>
      </c>
      <c r="E28" s="17" t="inlineStr">
        <is>
          <t>0.131 SOL</t>
        </is>
      </c>
      <c r="F28" s="17" t="inlineStr">
        <is>
          <t>0.116 SOL</t>
        </is>
      </c>
      <c r="G28" s="23" t="inlineStr">
        <is>
          <t>-0.125 SOL</t>
        </is>
      </c>
      <c r="H28" s="23" t="inlineStr">
        <is>
          <t>-51.90%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13:22:13</t>
        </is>
      </c>
      <c r="M28" s="17" t="inlineStr">
        <is>
          <t>8 min</t>
        </is>
      </c>
      <c r="N28" s="17" t="inlineStr">
        <is>
          <t xml:space="preserve">         39K            35K             5K</t>
        </is>
      </c>
      <c r="O28" s="17" t="inlineStr">
        <is>
          <t>CsT44i2W2MWp23WQ2EqjorxZVVzuN4niw1cj1Qr5pump</t>
        </is>
      </c>
      <c r="P28" s="17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7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HYPERLINK("https://gmgn.ai/sol/address/9QZ5gwreKEsjvs1ewbTN7BnGKHGe7uW6YDfBe5ChRYeE", "GMGN")</f>
        <v/>
      </c>
    </row>
    <row r="2">
      <c r="A2" s="3" t="inlineStr">
        <is>
          <t>9QZ5gwreKEsjvs1ewbTN7BnGKHGe7uW6YDfBe5ChRYeE</t>
        </is>
      </c>
      <c r="B2" s="3" t="inlineStr">
        <is>
          <t>11.20 SOL</t>
        </is>
      </c>
      <c r="C2" s="3" t="inlineStr">
        <is>
          <t>38%</t>
        </is>
      </c>
      <c r="D2" s="3" t="inlineStr">
        <is>
          <t>50%</t>
        </is>
      </c>
      <c r="E2" s="3" t="inlineStr">
        <is>
          <t>13.28 SOL</t>
        </is>
      </c>
      <c r="F2" s="3" t="inlineStr">
        <is>
          <t>0 (0%)</t>
        </is>
      </c>
      <c r="G2" s="3" t="inlineStr">
        <is>
          <t>0 (0%)</t>
        </is>
      </c>
      <c r="H2" s="3" t="n">
        <v>55</v>
      </c>
      <c r="I2" s="3" t="n">
        <v>3</v>
      </c>
      <c r="J2" s="3" t="inlineStr">
        <is>
          <t>3 days</t>
        </is>
      </c>
      <c r="K2" s="3" t="inlineStr">
        <is>
          <t>1 h</t>
        </is>
      </c>
      <c r="L2" s="3" t="n">
        <v>55</v>
      </c>
      <c r="M2" s="3" t="n">
        <v>27</v>
      </c>
      <c r="N2" s="3">
        <f>HYPERLINK("https://solscan.io/account/9QZ5gwreKEsjvs1ewbTN7BnGKHGe7uW6YDfBe5ChRYeE", "Solscan")</f>
        <v/>
      </c>
    </row>
    <row r="3">
      <c r="A3" s="7" t="inlineStr">
        <is>
          <t>Median ROI</t>
        </is>
      </c>
      <c r="B3" s="5" t="inlineStr">
        <is>
          <t>-23.09%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HYPERLINK("https://birdeye.so/profile/9QZ5gwreKEsjvs1ewbTN7BnGKHGe7uW6YDfBe5ChRYeE", "Birdeye")</f>
        <v/>
      </c>
    </row>
    <row r="4">
      <c r="A4" s="7" t="inlineStr">
        <is>
          <t>Rockets percent</t>
        </is>
      </c>
      <c r="B4" s="3" t="inlineStr">
        <is>
          <t>18%</t>
        </is>
      </c>
      <c r="C4" s="3" t="inlineStr"/>
      <c r="D4" s="3" t="inlineStr">
        <is>
          <t>11%</t>
        </is>
      </c>
      <c r="E4" s="3" t="inlineStr">
        <is>
          <t>2.79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2</v>
      </c>
      <c r="C10" s="7" t="n">
        <v>8</v>
      </c>
      <c r="D10" s="7" t="n">
        <v>7</v>
      </c>
      <c r="E10" s="7" t="n">
        <v>4</v>
      </c>
      <c r="F10" s="7" t="n">
        <v>19</v>
      </c>
      <c r="G10" s="7" t="n">
        <v>15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3.6%</t>
        </is>
      </c>
      <c r="C11" s="7" t="inlineStr">
        <is>
          <t>14.5%</t>
        </is>
      </c>
      <c r="D11" s="7" t="inlineStr">
        <is>
          <t>12.7%</t>
        </is>
      </c>
      <c r="E11" s="7" t="inlineStr">
        <is>
          <t>7.3%</t>
        </is>
      </c>
      <c r="F11" s="7" t="inlineStr">
        <is>
          <t>34.5%</t>
        </is>
      </c>
      <c r="G11" s="7" t="inlineStr">
        <is>
          <t>27.3%</t>
        </is>
      </c>
      <c r="H11" s="3" t="n"/>
      <c r="I11" s="3" t="inlineStr">
        <is>
          <t>5k-30k</t>
        </is>
      </c>
      <c r="J11" s="3" t="inlineStr">
        <is>
          <t>51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11.5 SOL</t>
        </is>
      </c>
      <c r="C12" s="7" t="inlineStr">
        <is>
          <t>7.0 SOL</t>
        </is>
      </c>
      <c r="D12" s="7" t="inlineStr">
        <is>
          <t>2.5 SOL</t>
        </is>
      </c>
      <c r="E12" s="7" t="inlineStr">
        <is>
          <t>0.2 SOL</t>
        </is>
      </c>
      <c r="F12" s="7" t="inlineStr">
        <is>
          <t>-2.5 SOL</t>
        </is>
      </c>
      <c r="G12" s="7" t="inlineStr">
        <is>
          <t>-5.5 SOL</t>
        </is>
      </c>
      <c r="H12" s="3" t="n"/>
      <c r="I12" s="3" t="inlineStr">
        <is>
          <t>30k-100k</t>
        </is>
      </c>
      <c r="J12" s="3" t="inlineStr">
        <is>
          <t>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PURR</t>
        </is>
      </c>
      <c r="B20" s="17" t="n">
        <v>2209745</v>
      </c>
      <c r="C20" s="17" t="n">
        <v>2209745</v>
      </c>
      <c r="D20" s="17" t="inlineStr">
        <is>
          <t>0.003020</t>
        </is>
      </c>
      <c r="E20" s="17" t="inlineStr">
        <is>
          <t>0.307 SOL</t>
        </is>
      </c>
      <c r="F20" s="17" t="inlineStr">
        <is>
          <t>0.301 SOL</t>
        </is>
      </c>
      <c r="G20" s="25" t="inlineStr">
        <is>
          <t>-0.009 SOL</t>
        </is>
      </c>
      <c r="H20" s="25" t="inlineStr">
        <is>
          <t>-2.75%</t>
        </is>
      </c>
      <c r="I20" s="17" t="inlineStr">
        <is>
          <t>N/A</t>
        </is>
      </c>
      <c r="J20" s="17" t="n">
        <v>1</v>
      </c>
      <c r="K20" s="17" t="n">
        <v>2</v>
      </c>
      <c r="L20" s="17" t="inlineStr">
        <is>
          <t>30.10.2024 21:33:22</t>
        </is>
      </c>
      <c r="M20" s="17" t="inlineStr">
        <is>
          <t>2 hours</t>
        </is>
      </c>
      <c r="N20" s="17" t="inlineStr">
        <is>
          <t xml:space="preserve">         23K            23K            17K</t>
        </is>
      </c>
      <c r="O20" s="17" t="inlineStr">
        <is>
          <t>Tz1SURXfPznRZFycdV93o11jJLMBMy1qYiVuQ8Tpump</t>
        </is>
      </c>
      <c r="P20" s="17">
        <f>HYPERLINK("https://photon-sol.tinyastro.io/en/lp/Tz1SURXfPznRZFycdV93o11jJLMBMy1qYiVuQ8Tpump?handle=676050794bc1b1657a56b", "View")</f>
        <v/>
      </c>
    </row>
    <row r="21">
      <c r="A21" s="20" t="inlineStr">
        <is>
          <t>POCONG</t>
        </is>
      </c>
      <c r="B21" s="21" t="n">
        <v>8014605</v>
      </c>
      <c r="C21" s="21" t="n">
        <v>8014605</v>
      </c>
      <c r="D21" s="21" t="inlineStr">
        <is>
          <t>0.002010</t>
        </is>
      </c>
      <c r="E21" s="21" t="inlineStr">
        <is>
          <t>0.509 SOL</t>
        </is>
      </c>
      <c r="F21" s="21" t="inlineStr">
        <is>
          <t>0.569 SOL</t>
        </is>
      </c>
      <c r="G21" s="22" t="inlineStr">
        <is>
          <t>0.058 SOL</t>
        </is>
      </c>
      <c r="H21" s="22" t="inlineStr">
        <is>
          <t>11.44%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30.10.2024 20:34:54</t>
        </is>
      </c>
      <c r="M21" s="21" t="inlineStr">
        <is>
          <t>2 hours</t>
        </is>
      </c>
      <c r="N21" s="21" t="inlineStr">
        <is>
          <t xml:space="preserve">         11K            11K            13K</t>
        </is>
      </c>
      <c r="O21" s="21" t="inlineStr">
        <is>
          <t>8iuDWM3CGnDbeXa1Srg32W5DKTzDF8z5fu7aWJUXpump</t>
        </is>
      </c>
      <c r="P21" s="21">
        <f>HYPERLINK("https://photon-sol.tinyastro.io/en/lp/8iuDWM3CGnDbeXa1Srg32W5DKTzDF8z5fu7aWJUXpump?handle=676050794bc1b1657a56b", "View")</f>
        <v/>
      </c>
    </row>
    <row r="22">
      <c r="A22" s="16" t="inlineStr">
        <is>
          <t>LMIO</t>
        </is>
      </c>
      <c r="B22" s="17" t="n">
        <v>8263317</v>
      </c>
      <c r="C22" s="17" t="n">
        <v>8263317</v>
      </c>
      <c r="D22" s="17" t="inlineStr">
        <is>
          <t>0.003020</t>
        </is>
      </c>
      <c r="E22" s="17" t="inlineStr">
        <is>
          <t>0.529 SOL</t>
        </is>
      </c>
      <c r="F22" s="17" t="inlineStr">
        <is>
          <t>1.242 SOL</t>
        </is>
      </c>
      <c r="G22" s="24" t="inlineStr">
        <is>
          <t>0.710 SOL</t>
        </is>
      </c>
      <c r="H22" s="24" t="inlineStr">
        <is>
          <t>133.51%</t>
        </is>
      </c>
      <c r="I22" s="17" t="inlineStr">
        <is>
          <t>N/A</t>
        </is>
      </c>
      <c r="J22" s="17" t="n">
        <v>1</v>
      </c>
      <c r="K22" s="17" t="n">
        <v>2</v>
      </c>
      <c r="L22" s="17" t="inlineStr">
        <is>
          <t>30.10.2024 20:09:27</t>
        </is>
      </c>
      <c r="M22" s="17" t="inlineStr">
        <is>
          <t>9 hours</t>
        </is>
      </c>
      <c r="N22" s="17" t="inlineStr">
        <is>
          <t xml:space="preserve">         11K            11K            32K</t>
        </is>
      </c>
      <c r="O22" s="17" t="inlineStr">
        <is>
          <t>Cak1rBaJfS1LCe6U7qoB8bCv9eUy2WbdnpcRwziD4bT3</t>
        </is>
      </c>
      <c r="P22" s="17">
        <f>HYPERLINK("https://photon-sol.tinyastro.io/en/lp/Cak1rBaJfS1LCe6U7qoB8bCv9eUy2WbdnpcRwziD4bT3?handle=676050794bc1b1657a56b", "View")</f>
        <v/>
      </c>
    </row>
    <row r="23">
      <c r="A23" s="20" t="inlineStr">
        <is>
          <t>CALVES</t>
        </is>
      </c>
      <c r="B23" s="21" t="n">
        <v>4781285</v>
      </c>
      <c r="C23" s="21" t="n">
        <v>4781285</v>
      </c>
      <c r="D23" s="21" t="inlineStr">
        <is>
          <t>0.002010</t>
        </is>
      </c>
      <c r="E23" s="21" t="inlineStr">
        <is>
          <t>0.307 SOL</t>
        </is>
      </c>
      <c r="F23" s="21" t="inlineStr">
        <is>
          <t>0.254 SOL</t>
        </is>
      </c>
      <c r="G23" s="25" t="inlineStr">
        <is>
          <t>-0.055 SOL</t>
        </is>
      </c>
      <c r="H23" s="25" t="inlineStr">
        <is>
          <t>-17.74%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30.10.2024 19:27:25</t>
        </is>
      </c>
      <c r="M23" s="21" t="inlineStr">
        <is>
          <t>4 hours</t>
        </is>
      </c>
      <c r="N23" s="21" t="inlineStr">
        <is>
          <t xml:space="preserve">         11K            11K            12K</t>
        </is>
      </c>
      <c r="O23" s="21" t="inlineStr">
        <is>
          <t>nZLGwR3z66G2DDwRz884MdpXvvFg7Az99ZW1ZeGpump</t>
        </is>
      </c>
      <c r="P23" s="21">
        <f>HYPERLINK("https://photon-sol.tinyastro.io/en/lp/nZLGwR3z66G2DDwRz884MdpXvvFg7Az99ZW1ZeGpump?handle=676050794bc1b1657a56b", "View")</f>
        <v/>
      </c>
    </row>
    <row r="24">
      <c r="A24" s="16" t="inlineStr">
        <is>
          <t>MIKUAI</t>
        </is>
      </c>
      <c r="B24" s="17" t="n">
        <v>4007576</v>
      </c>
      <c r="C24" s="17" t="n">
        <v>4007576</v>
      </c>
      <c r="D24" s="17" t="inlineStr">
        <is>
          <t>0.004010</t>
        </is>
      </c>
      <c r="E24" s="17" t="inlineStr">
        <is>
          <t>0.513 SOL</t>
        </is>
      </c>
      <c r="F24" s="17" t="inlineStr">
        <is>
          <t>0.372 SOL</t>
        </is>
      </c>
      <c r="G24" s="25" t="inlineStr">
        <is>
          <t>-0.145 SOL</t>
        </is>
      </c>
      <c r="H24" s="25" t="inlineStr">
        <is>
          <t>-28.12%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30.10.2024 19:13:15</t>
        </is>
      </c>
      <c r="M24" s="17" t="inlineStr">
        <is>
          <t>6 hours</t>
        </is>
      </c>
      <c r="N24" s="17" t="inlineStr">
        <is>
          <t xml:space="preserve">         23K            23K            17K</t>
        </is>
      </c>
      <c r="O24" s="17" t="inlineStr">
        <is>
          <t>cnxjRb3g3hPdhe4juMJNXGzgg8h4wp7RXeaNmNYpump</t>
        </is>
      </c>
      <c r="P24" s="17">
        <f>HYPERLINK("https://photon-sol.tinyastro.io/en/lp/cnxjRb3g3hPdhe4juMJNXGzgg8h4wp7RXeaNmNYpump?handle=676050794bc1b1657a56b", "View")</f>
        <v/>
      </c>
    </row>
    <row r="25">
      <c r="A25" s="20" t="inlineStr">
        <is>
          <t>Bones</t>
        </is>
      </c>
      <c r="B25" s="21" t="n">
        <v>6275861</v>
      </c>
      <c r="C25" s="21" t="n">
        <v>6275861</v>
      </c>
      <c r="D25" s="21" t="inlineStr">
        <is>
          <t>0.002010</t>
        </is>
      </c>
      <c r="E25" s="21" t="inlineStr">
        <is>
          <t>0.610 SOL</t>
        </is>
      </c>
      <c r="F25" s="21" t="inlineStr">
        <is>
          <t>0.300 SOL</t>
        </is>
      </c>
      <c r="G25" s="23" t="inlineStr">
        <is>
          <t>-0.312 SOL</t>
        </is>
      </c>
      <c r="H25" s="23" t="inlineStr">
        <is>
          <t>-50.98%</t>
        </is>
      </c>
      <c r="I25" s="21" t="inlineStr">
        <is>
          <t>N/A</t>
        </is>
      </c>
      <c r="J25" s="21" t="n">
        <v>1</v>
      </c>
      <c r="K25" s="21" t="n">
        <v>1</v>
      </c>
      <c r="L25" s="21" t="inlineStr">
        <is>
          <t>30.10.2024 19:11:46</t>
        </is>
      </c>
      <c r="M25" s="21" t="inlineStr">
        <is>
          <t>9 hours</t>
        </is>
      </c>
      <c r="N25" s="21" t="inlineStr">
        <is>
          <t xml:space="preserve">         18K            18K             6K</t>
        </is>
      </c>
      <c r="O25" s="21" t="inlineStr">
        <is>
          <t>7qsTPxr4t3st5KDJ2zRQLgnb7SDiQXFkmFJq4JuRpump</t>
        </is>
      </c>
      <c r="P25" s="21">
        <f>HYPERLINK("https://photon-sol.tinyastro.io/en/lp/7qsTPxr4t3st5KDJ2zRQLgnb7SDiQXFkmFJq4JuRpump?handle=676050794bc1b1657a56b", "View")</f>
        <v/>
      </c>
    </row>
    <row r="26">
      <c r="A26" s="16" t="inlineStr">
        <is>
          <t>$UAI</t>
        </is>
      </c>
      <c r="B26" s="17" t="n">
        <v>6987475</v>
      </c>
      <c r="C26" s="17" t="n">
        <v>6987475</v>
      </c>
      <c r="D26" s="17" t="inlineStr">
        <is>
          <t>0.002010</t>
        </is>
      </c>
      <c r="E26" s="17" t="inlineStr">
        <is>
          <t>0.509 SOL</t>
        </is>
      </c>
      <c r="F26" s="17" t="inlineStr">
        <is>
          <t>0.306 SOL</t>
        </is>
      </c>
      <c r="G26" s="25" t="inlineStr">
        <is>
          <t>-0.205 SOL</t>
        </is>
      </c>
      <c r="H26" s="25" t="inlineStr">
        <is>
          <t>-40.18%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30.10.2024 19:01:39</t>
        </is>
      </c>
      <c r="M26" s="17" t="inlineStr">
        <is>
          <t>56 min</t>
        </is>
      </c>
      <c r="N26" s="17" t="inlineStr">
        <is>
          <t xml:space="preserve">         12K            12K             5K</t>
        </is>
      </c>
      <c r="O26" s="17" t="inlineStr">
        <is>
          <t>EjmoAgw6zFWhSoXRu92wF6N46p5fHC3eYYwy8L3kpump</t>
        </is>
      </c>
      <c r="P26" s="17">
        <f>HYPERLINK("https://photon-sol.tinyastro.io/en/lp/EjmoAgw6zFWhSoXRu92wF6N46p5fHC3eYYwy8L3kpump?handle=676050794bc1b1657a56b", "View")</f>
        <v/>
      </c>
    </row>
    <row r="27">
      <c r="A27" s="20" t="inlineStr">
        <is>
          <t>SPEEDY</t>
        </is>
      </c>
      <c r="B27" s="21" t="n">
        <v>6998901</v>
      </c>
      <c r="C27" s="21" t="n">
        <v>0</v>
      </c>
      <c r="D27" s="21" t="inlineStr">
        <is>
          <t>0.001010</t>
        </is>
      </c>
      <c r="E27" s="21" t="inlineStr">
        <is>
          <t>0.509 SOL</t>
        </is>
      </c>
      <c r="F27" s="21" t="inlineStr">
        <is>
          <t>0.000 SOL</t>
        </is>
      </c>
      <c r="G27" s="18" t="inlineStr">
        <is>
          <t>-0.510 SOL</t>
        </is>
      </c>
      <c r="H27" s="18" t="inlineStr">
        <is>
          <t>0.00%</t>
        </is>
      </c>
      <c r="I27" s="21" t="inlineStr">
        <is>
          <t>6,998,901</t>
        </is>
      </c>
      <c r="J27" s="21" t="n">
        <v>1</v>
      </c>
      <c r="K27" s="21" t="n">
        <v>0</v>
      </c>
      <c r="L27" s="21" t="inlineStr">
        <is>
          <t>30.10.2024 18:26:50</t>
        </is>
      </c>
      <c r="M27" s="19" t="inlineStr">
        <is>
          <t>0 sec</t>
        </is>
      </c>
      <c r="N27" s="21" t="inlineStr">
        <is>
          <t xml:space="preserve">        N/A           N/A           N/A</t>
        </is>
      </c>
      <c r="O27" s="21" t="inlineStr">
        <is>
          <t>Fp9iJqRo4abC3KKTwq7qdLsqZf7kw1QoYUAv3Zz8pump</t>
        </is>
      </c>
      <c r="P27" s="21">
        <f>HYPERLINK("https://photon-sol.tinyastro.io/en/lp/Fp9iJqRo4abC3KKTwq7qdLsqZf7kw1QoYUAv3Zz8pump?handle=676050794bc1b1657a56b", "View")</f>
        <v/>
      </c>
    </row>
    <row r="28">
      <c r="A28" s="16" t="inlineStr">
        <is>
          <t>DANA</t>
        </is>
      </c>
      <c r="B28" s="17" t="n">
        <v>3229580</v>
      </c>
      <c r="C28" s="17" t="n">
        <v>0</v>
      </c>
      <c r="D28" s="17" t="inlineStr">
        <is>
          <t>0.001010</t>
        </is>
      </c>
      <c r="E28" s="17" t="inlineStr">
        <is>
          <t>0.307 SOL</t>
        </is>
      </c>
      <c r="F28" s="17" t="inlineStr">
        <is>
          <t>0.000 SOL</t>
        </is>
      </c>
      <c r="G28" s="18" t="inlineStr">
        <is>
          <t>-0.308 SOL</t>
        </is>
      </c>
      <c r="H28" s="18" t="inlineStr">
        <is>
          <t>0.00%</t>
        </is>
      </c>
      <c r="I28" s="17" t="inlineStr">
        <is>
          <t>3,229,580</t>
        </is>
      </c>
      <c r="J28" s="17" t="n">
        <v>1</v>
      </c>
      <c r="K28" s="17" t="n">
        <v>0</v>
      </c>
      <c r="L28" s="17" t="inlineStr">
        <is>
          <t>30.10.2024 18:09:39</t>
        </is>
      </c>
      <c r="M28" s="19" t="inlineStr">
        <is>
          <t>0 sec</t>
        </is>
      </c>
      <c r="N28" s="17" t="inlineStr">
        <is>
          <t xml:space="preserve">         18K            18K            16K</t>
        </is>
      </c>
      <c r="O28" s="17" t="inlineStr">
        <is>
          <t>EB4QvpKcpbYYWeofk13FSvPDc7jMzgc4gUJpUfuLpump</t>
        </is>
      </c>
      <c r="P28" s="17">
        <f>HYPERLINK("https://photon-sol.tinyastro.io/en/lp/EB4QvpKcpbYYWeofk13FSvPDc7jMzgc4gUJpUfuLpump?handle=676050794bc1b1657a56b", "View")</f>
        <v/>
      </c>
    </row>
    <row r="29">
      <c r="A29" s="20" t="inlineStr">
        <is>
          <t>XCAT</t>
        </is>
      </c>
      <c r="B29" s="21" t="n">
        <v>9745934</v>
      </c>
      <c r="C29" s="21" t="n">
        <v>9745934</v>
      </c>
      <c r="D29" s="21" t="inlineStr">
        <is>
          <t>0.002010</t>
        </is>
      </c>
      <c r="E29" s="21" t="inlineStr">
        <is>
          <t>0.509 SOL</t>
        </is>
      </c>
      <c r="F29" s="21" t="inlineStr">
        <is>
          <t>0.445 SOL</t>
        </is>
      </c>
      <c r="G29" s="25" t="inlineStr">
        <is>
          <t>-0.066 SOL</t>
        </is>
      </c>
      <c r="H29" s="25" t="inlineStr">
        <is>
          <t>-12.82%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30.10.2024 18:04:46</t>
        </is>
      </c>
      <c r="M29" s="21" t="inlineStr">
        <is>
          <t>3 days</t>
        </is>
      </c>
      <c r="N29" s="21" t="inlineStr">
        <is>
          <t xml:space="preserve">          9K             9K             8K</t>
        </is>
      </c>
      <c r="O29" s="21" t="inlineStr">
        <is>
          <t>Aw8miS54vfWXBF6w8m7kd9dCsA2LWEcPKBqqeRipump</t>
        </is>
      </c>
      <c r="P29" s="21">
        <f>HYPERLINK("https://photon-sol.tinyastro.io/en/lp/Aw8miS54vfWXBF6w8m7kd9dCsA2LWEcPKBqqeRipump?handle=676050794bc1b1657a56b", "View")</f>
        <v/>
      </c>
    </row>
    <row r="30">
      <c r="A30" s="16" t="inlineStr">
        <is>
          <t>EGTP</t>
        </is>
      </c>
      <c r="B30" s="17" t="n">
        <v>5787077</v>
      </c>
      <c r="C30" s="17" t="n">
        <v>5787077</v>
      </c>
      <c r="D30" s="17" t="inlineStr">
        <is>
          <t>0.008020</t>
        </is>
      </c>
      <c r="E30" s="17" t="inlineStr">
        <is>
          <t>0.509 SOL</t>
        </is>
      </c>
      <c r="F30" s="17" t="inlineStr">
        <is>
          <t>1.301 SOL</t>
        </is>
      </c>
      <c r="G30" s="24" t="inlineStr">
        <is>
          <t>0.784 SOL</t>
        </is>
      </c>
      <c r="H30" s="24" t="inlineStr">
        <is>
          <t>151.56%</t>
        </is>
      </c>
      <c r="I30" s="17" t="inlineStr">
        <is>
          <t>N/A</t>
        </is>
      </c>
      <c r="J30" s="17" t="n">
        <v>1</v>
      </c>
      <c r="K30" s="17" t="n">
        <v>3</v>
      </c>
      <c r="L30" s="17" t="inlineStr">
        <is>
          <t>30.10.2024 18:04:20</t>
        </is>
      </c>
      <c r="M30" s="17" t="inlineStr">
        <is>
          <t>2 days</t>
        </is>
      </c>
      <c r="N30" s="17" t="inlineStr">
        <is>
          <t xml:space="preserve">         16K            16K            19K</t>
        </is>
      </c>
      <c r="O30" s="17" t="inlineStr">
        <is>
          <t>3Vte3SFsTgY9wWJKjPg4kCn8HhKSGWTLvUgoW3Q8pump</t>
        </is>
      </c>
      <c r="P30" s="17">
        <f>HYPERLINK("https://photon-sol.tinyastro.io/en/lp/3Vte3SFsTgY9wWJKjPg4kCn8HhKSGWTLvUgoW3Q8pump?handle=676050794bc1b1657a56b", "View")</f>
        <v/>
      </c>
    </row>
    <row r="31">
      <c r="A31" s="20" t="inlineStr">
        <is>
          <t>MORDECAI</t>
        </is>
      </c>
      <c r="B31" s="21" t="n">
        <v>7561136</v>
      </c>
      <c r="C31" s="21" t="n">
        <v>7561136</v>
      </c>
      <c r="D31" s="21" t="inlineStr">
        <is>
          <t>0.004010</t>
        </is>
      </c>
      <c r="E31" s="21" t="inlineStr">
        <is>
          <t>0.610 SOL</t>
        </is>
      </c>
      <c r="F31" s="21" t="inlineStr">
        <is>
          <t>1.433 SOL</t>
        </is>
      </c>
      <c r="G31" s="24" t="inlineStr">
        <is>
          <t>0.819 SOL</t>
        </is>
      </c>
      <c r="H31" s="24" t="inlineStr">
        <is>
          <t>133.39%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30.10.2024 15:46:48</t>
        </is>
      </c>
      <c r="M31" s="21" t="inlineStr">
        <is>
          <t>6 hours</t>
        </is>
      </c>
      <c r="N31" s="21" t="inlineStr">
        <is>
          <t xml:space="preserve">         13K            13K            23K</t>
        </is>
      </c>
      <c r="O31" s="21" t="inlineStr">
        <is>
          <t>7svSfU4nFMusnPyDsiizvTq9Au8iFaSyQSczbe1Qpump</t>
        </is>
      </c>
      <c r="P31" s="21">
        <f>HYPERLINK("https://photon-sol.tinyastro.io/en/lp/7svSfU4nFMusnPyDsiizvTq9Au8iFaSyQSczbe1Qpump?handle=676050794bc1b1657a56b", "View")</f>
        <v/>
      </c>
    </row>
    <row r="32">
      <c r="A32" s="16" t="inlineStr">
        <is>
          <t>BBWCAT</t>
        </is>
      </c>
      <c r="B32" s="17" t="n">
        <v>4257069</v>
      </c>
      <c r="C32" s="17" t="n">
        <v>4257069</v>
      </c>
      <c r="D32" s="17" t="inlineStr">
        <is>
          <t>0.007010</t>
        </is>
      </c>
      <c r="E32" s="17" t="inlineStr">
        <is>
          <t>0.521 SOL</t>
        </is>
      </c>
      <c r="F32" s="17" t="inlineStr">
        <is>
          <t>1.340 SOL</t>
        </is>
      </c>
      <c r="G32" s="24" t="inlineStr">
        <is>
          <t>0.812 SOL</t>
        </is>
      </c>
      <c r="H32" s="24" t="inlineStr">
        <is>
          <t>153.68%</t>
        </is>
      </c>
      <c r="I32" s="17" t="inlineStr">
        <is>
          <t>N/A</t>
        </is>
      </c>
      <c r="J32" s="17" t="n">
        <v>1</v>
      </c>
      <c r="K32" s="17" t="n">
        <v>2</v>
      </c>
      <c r="L32" s="17" t="inlineStr">
        <is>
          <t>30.10.2024 15:44:39</t>
        </is>
      </c>
      <c r="M32" s="17" t="inlineStr">
        <is>
          <t>3 days</t>
        </is>
      </c>
      <c r="N32" s="17" t="inlineStr">
        <is>
          <t xml:space="preserve">         21K            51K            48K</t>
        </is>
      </c>
      <c r="O32" s="17" t="inlineStr">
        <is>
          <t>39LeswCXKeEGESiBPNUUEkvRyMp5UeqC7dGw1uT5pump</t>
        </is>
      </c>
      <c r="P32" s="17">
        <f>HYPERLINK("https://photon-sol.tinyastro.io/en/lp/39LeswCXKeEGESiBPNUUEkvRyMp5UeqC7dGw1uT5pump?handle=676050794bc1b1657a56b", "View")</f>
        <v/>
      </c>
    </row>
    <row r="33">
      <c r="A33" s="20" t="inlineStr">
        <is>
          <t>ECUL</t>
        </is>
      </c>
      <c r="B33" s="21" t="n">
        <v>4440072</v>
      </c>
      <c r="C33" s="21" t="n">
        <v>4440072</v>
      </c>
      <c r="D33" s="21" t="inlineStr">
        <is>
          <t>0.004010</t>
        </is>
      </c>
      <c r="E33" s="21" t="inlineStr">
        <is>
          <t>0.610 SOL</t>
        </is>
      </c>
      <c r="F33" s="21" t="inlineStr">
        <is>
          <t>0.646 SOL</t>
        </is>
      </c>
      <c r="G33" s="22" t="inlineStr">
        <is>
          <t>0.032 SOL</t>
        </is>
      </c>
      <c r="H33" s="22" t="inlineStr">
        <is>
          <t>5.24%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30.10.2024 15:13:25</t>
        </is>
      </c>
      <c r="M33" s="21" t="inlineStr">
        <is>
          <t>33 min</t>
        </is>
      </c>
      <c r="N33" s="21" t="inlineStr">
        <is>
          <t xml:space="preserve">         25K            25K             9K</t>
        </is>
      </c>
      <c r="O33" s="21" t="inlineStr">
        <is>
          <t>7JCYtp78ML613Bx8y1JiCk4xcxRBKobZxkh1RdB1pump</t>
        </is>
      </c>
      <c r="P33" s="21">
        <f>HYPERLINK("https://photon-sol.tinyastro.io/en/lp/7JCYtp78ML613Bx8y1JiCk4xcxRBKobZxkh1RdB1pump?handle=676050794bc1b1657a56b", "View")</f>
        <v/>
      </c>
    </row>
    <row r="34">
      <c r="A34" s="16" t="inlineStr">
        <is>
          <t>DJT&lt;3MERT</t>
        </is>
      </c>
      <c r="B34" s="17" t="n">
        <v>5192578</v>
      </c>
      <c r="C34" s="17" t="n">
        <v>5192578</v>
      </c>
      <c r="D34" s="17" t="inlineStr">
        <is>
          <t>0.004010</t>
        </is>
      </c>
      <c r="E34" s="17" t="inlineStr">
        <is>
          <t>0.518 SOL</t>
        </is>
      </c>
      <c r="F34" s="17" t="inlineStr">
        <is>
          <t>0.815 SOL</t>
        </is>
      </c>
      <c r="G34" s="24" t="inlineStr">
        <is>
          <t>0.293 SOL</t>
        </is>
      </c>
      <c r="H34" s="24" t="inlineStr">
        <is>
          <t>56.08%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30.10.2024 12:48:26</t>
        </is>
      </c>
      <c r="M34" s="17" t="inlineStr">
        <is>
          <t>19 hours</t>
        </is>
      </c>
      <c r="N34" s="17" t="inlineStr">
        <is>
          <t xml:space="preserve">         18K            18K            21K</t>
        </is>
      </c>
      <c r="O34" s="17" t="inlineStr">
        <is>
          <t>GyjozRaVw8Mwm37UL7Aq7LvKhR4UKH51xGZ14XrXpump</t>
        </is>
      </c>
      <c r="P34" s="17">
        <f>HYPERLINK("https://photon-sol.tinyastro.io/en/lp/GyjozRaVw8Mwm37UL7Aq7LvKhR4UKH51xGZ14XrXpump?handle=676050794bc1b1657a56b", "View")</f>
        <v/>
      </c>
    </row>
    <row r="35">
      <c r="A35" s="20" t="inlineStr">
        <is>
          <t>RTORD</t>
        </is>
      </c>
      <c r="B35" s="21" t="n">
        <v>14448660</v>
      </c>
      <c r="C35" s="21" t="n">
        <v>14448660</v>
      </c>
      <c r="D35" s="21" t="inlineStr">
        <is>
          <t>0.006020</t>
        </is>
      </c>
      <c r="E35" s="21" t="inlineStr">
        <is>
          <t>1.140 SOL</t>
        </is>
      </c>
      <c r="F35" s="21" t="inlineStr">
        <is>
          <t>0.843 SOL</t>
        </is>
      </c>
      <c r="G35" s="25" t="inlineStr">
        <is>
          <t>-0.303 SOL</t>
        </is>
      </c>
      <c r="H35" s="25" t="inlineStr">
        <is>
          <t>-26.45%</t>
        </is>
      </c>
      <c r="I35" s="21" t="inlineStr">
        <is>
          <t>N/A</t>
        </is>
      </c>
      <c r="J35" s="21" t="n">
        <v>2</v>
      </c>
      <c r="K35" s="21" t="n">
        <v>2</v>
      </c>
      <c r="L35" s="21" t="inlineStr">
        <is>
          <t>30.10.2024 12:05:21</t>
        </is>
      </c>
      <c r="M35" s="21" t="inlineStr">
        <is>
          <t>2 days</t>
        </is>
      </c>
      <c r="N35" s="21" t="inlineStr">
        <is>
          <t xml:space="preserve">         12K            16K             9K</t>
        </is>
      </c>
      <c r="O35" s="21" t="inlineStr">
        <is>
          <t>AY3Wbg7K3zrp8uNxU9Hs77ymNoDZT8SxKgqCEH67pump</t>
        </is>
      </c>
      <c r="P35" s="21">
        <f>HYPERLINK("https://photon-sol.tinyastro.io/en/lp/AY3Wbg7K3zrp8uNxU9Hs77ymNoDZT8SxKgqCEH67pump?handle=676050794bc1b1657a56b", "View")</f>
        <v/>
      </c>
    </row>
    <row r="36">
      <c r="A36" s="16" t="inlineStr">
        <is>
          <t>Adam</t>
        </is>
      </c>
      <c r="B36" s="17" t="n">
        <v>3515931</v>
      </c>
      <c r="C36" s="17" t="n">
        <v>3515931</v>
      </c>
      <c r="D36" s="17" t="inlineStr">
        <is>
          <t>0.002010</t>
        </is>
      </c>
      <c r="E36" s="17" t="inlineStr">
        <is>
          <t>0.206 SOL</t>
        </is>
      </c>
      <c r="F36" s="17" t="inlineStr">
        <is>
          <t>0.164 SOL</t>
        </is>
      </c>
      <c r="G36" s="25" t="inlineStr">
        <is>
          <t>-0.045 SOL</t>
        </is>
      </c>
      <c r="H36" s="25" t="inlineStr">
        <is>
          <t>-21.40%</t>
        </is>
      </c>
      <c r="I36" s="17" t="inlineStr">
        <is>
          <t>N/A</t>
        </is>
      </c>
      <c r="J36" s="17" t="n">
        <v>1</v>
      </c>
      <c r="K36" s="17" t="n">
        <v>1</v>
      </c>
      <c r="L36" s="17" t="inlineStr">
        <is>
          <t>30.10.2024 09:33:36</t>
        </is>
      </c>
      <c r="M36" s="17" t="inlineStr">
        <is>
          <t>10 min</t>
        </is>
      </c>
      <c r="N36" s="17" t="inlineStr">
        <is>
          <t xml:space="preserve">         11K             9K             6K</t>
        </is>
      </c>
      <c r="O36" s="17" t="inlineStr">
        <is>
          <t>FKpimM7H84WcPLrW4NzxKpo6LzvjaTBQTGg9WbRFpump</t>
        </is>
      </c>
      <c r="P36" s="17">
        <f>HYPERLINK("https://photon-sol.tinyastro.io/en/lp/FKpimM7H84WcPLrW4NzxKpo6LzvjaTBQTGg9WbRFpump?handle=676050794bc1b1657a56b", "View")</f>
        <v/>
      </c>
    </row>
    <row r="37">
      <c r="A37" s="20" t="inlineStr">
        <is>
          <t>LZCAT</t>
        </is>
      </c>
      <c r="B37" s="21" t="n">
        <v>7464020</v>
      </c>
      <c r="C37" s="21" t="n">
        <v>7464020</v>
      </c>
      <c r="D37" s="21" t="inlineStr">
        <is>
          <t>0.002010</t>
        </is>
      </c>
      <c r="E37" s="21" t="inlineStr">
        <is>
          <t>0.509 SOL</t>
        </is>
      </c>
      <c r="F37" s="21" t="inlineStr">
        <is>
          <t>0.294 SOL</t>
        </is>
      </c>
      <c r="G37" s="25" t="inlineStr">
        <is>
          <t>-0.217 SOL</t>
        </is>
      </c>
      <c r="H37" s="25" t="inlineStr">
        <is>
          <t>-42.50%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30.10.2024 07:16:39</t>
        </is>
      </c>
      <c r="M37" s="21" t="inlineStr">
        <is>
          <t>31 min</t>
        </is>
      </c>
      <c r="N37" s="21" t="inlineStr">
        <is>
          <t xml:space="preserve">         12K             7K             5K</t>
        </is>
      </c>
      <c r="O37" s="21" t="inlineStr">
        <is>
          <t>6FKreffFGSMXS6TTxuCU8MoiWNQv5ZpJPLffj7RJpump</t>
        </is>
      </c>
      <c r="P37" s="21">
        <f>HYPERLINK("https://photon-sol.tinyastro.io/en/lp/6FKreffFGSMXS6TTxuCU8MoiWNQv5ZpJPLffj7RJpump?handle=676050794bc1b1657a56b", "View")</f>
        <v/>
      </c>
    </row>
    <row r="38">
      <c r="A38" s="16" t="inlineStr">
        <is>
          <t>OSAI</t>
        </is>
      </c>
      <c r="B38" s="17" t="n">
        <v>8241761</v>
      </c>
      <c r="C38" s="17" t="n">
        <v>0</v>
      </c>
      <c r="D38" s="17" t="inlineStr">
        <is>
          <t>0.001010</t>
        </is>
      </c>
      <c r="E38" s="17" t="inlineStr">
        <is>
          <t>0.509 SOL</t>
        </is>
      </c>
      <c r="F38" s="17" t="inlineStr">
        <is>
          <t>0.000 SOL</t>
        </is>
      </c>
      <c r="G38" s="18" t="inlineStr">
        <is>
          <t>-0.510 SOL</t>
        </is>
      </c>
      <c r="H38" s="18" t="inlineStr">
        <is>
          <t>0.00%</t>
        </is>
      </c>
      <c r="I38" s="17" t="inlineStr">
        <is>
          <t>8,241,761</t>
        </is>
      </c>
      <c r="J38" s="17" t="n">
        <v>1</v>
      </c>
      <c r="K38" s="17" t="n">
        <v>0</v>
      </c>
      <c r="L38" s="17" t="inlineStr">
        <is>
          <t>30.10.2024 07:15:01</t>
        </is>
      </c>
      <c r="M38" s="19" t="inlineStr">
        <is>
          <t>0 sec</t>
        </is>
      </c>
      <c r="N38" s="17" t="inlineStr">
        <is>
          <t xml:space="preserve">         11K            11K             9K</t>
        </is>
      </c>
      <c r="O38" s="17" t="inlineStr">
        <is>
          <t>3udZbFn14HaYYL8y7UvN5uCqHSVxif81tUc18JvVpump</t>
        </is>
      </c>
      <c r="P38" s="17">
        <f>HYPERLINK("https://photon-sol.tinyastro.io/en/lp/3udZbFn14HaYYL8y7UvN5uCqHSVxif81tUc18JvVpump?handle=676050794bc1b1657a56b", "View")</f>
        <v/>
      </c>
    </row>
    <row r="39">
      <c r="A39" s="20" t="inlineStr">
        <is>
          <t>CATDIA</t>
        </is>
      </c>
      <c r="B39" s="21" t="n">
        <v>2107515</v>
      </c>
      <c r="C39" s="21" t="n">
        <v>2107515</v>
      </c>
      <c r="D39" s="21" t="inlineStr">
        <is>
          <t>0.002010</t>
        </is>
      </c>
      <c r="E39" s="21" t="inlineStr">
        <is>
          <t>0.316 SOL</t>
        </is>
      </c>
      <c r="F39" s="21" t="inlineStr">
        <is>
          <t>0.173 SOL</t>
        </is>
      </c>
      <c r="G39" s="25" t="inlineStr">
        <is>
          <t>-0.145 SOL</t>
        </is>
      </c>
      <c r="H39" s="25" t="inlineStr">
        <is>
          <t>-45.47%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30.10.2024 06:36:15</t>
        </is>
      </c>
      <c r="M39" s="21" t="inlineStr">
        <is>
          <t>1 days</t>
        </is>
      </c>
      <c r="N39" s="21" t="inlineStr">
        <is>
          <t xml:space="preserve">         26K            26K            15K</t>
        </is>
      </c>
      <c r="O39" s="21" t="inlineStr">
        <is>
          <t>3ajwpaTr8zYMCQUS9gCHCsrUgVZ6SGN4j57Ax7dApump</t>
        </is>
      </c>
      <c r="P39" s="21">
        <f>HYPERLINK("https://photon-sol.tinyastro.io/en/lp/3ajwpaTr8zYMCQUS9gCHCsrUgVZ6SGN4j57Ax7dApump?handle=676050794bc1b1657a56b", "View")</f>
        <v/>
      </c>
    </row>
    <row r="40">
      <c r="A40" s="16" t="inlineStr">
        <is>
          <t>MIKO</t>
        </is>
      </c>
      <c r="B40" s="17" t="n">
        <v>5189990</v>
      </c>
      <c r="C40" s="17" t="n">
        <v>5189990</v>
      </c>
      <c r="D40" s="17" t="inlineStr">
        <is>
          <t>0.002010</t>
        </is>
      </c>
      <c r="E40" s="17" t="inlineStr">
        <is>
          <t>0.509 SOL</t>
        </is>
      </c>
      <c r="F40" s="17" t="inlineStr">
        <is>
          <t>0.393 SOL</t>
        </is>
      </c>
      <c r="G40" s="25" t="inlineStr">
        <is>
          <t>-0.118 SOL</t>
        </is>
      </c>
      <c r="H40" s="25" t="inlineStr">
        <is>
          <t>-23.09%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29.10.2024 19:07:27</t>
        </is>
      </c>
      <c r="M40" s="17" t="inlineStr">
        <is>
          <t>22 min</t>
        </is>
      </c>
      <c r="N40" s="17" t="inlineStr">
        <is>
          <t xml:space="preserve">         18K            14K             5K</t>
        </is>
      </c>
      <c r="O40" s="17" t="inlineStr">
        <is>
          <t>9TnUDhb5A21ijDDSer4dKa1RF2XdQG95nWs4k2Yopump</t>
        </is>
      </c>
      <c r="P40" s="17">
        <f>HYPERLINK("https://photon-sol.tinyastro.io/en/lp/9TnUDhb5A21ijDDSer4dKa1RF2XdQG95nWs4k2Yopump?handle=676050794bc1b1657a56b", "View")</f>
        <v/>
      </c>
    </row>
    <row r="41">
      <c r="A41" s="20" t="inlineStr">
        <is>
          <t>CAPITALIST</t>
        </is>
      </c>
      <c r="B41" s="21" t="n">
        <v>4123727</v>
      </c>
      <c r="C41" s="21" t="n">
        <v>0</v>
      </c>
      <c r="D41" s="21" t="inlineStr">
        <is>
          <t>0.001010</t>
        </is>
      </c>
      <c r="E41" s="21" t="inlineStr">
        <is>
          <t>0.307 SOL</t>
        </is>
      </c>
      <c r="F41" s="21" t="inlineStr">
        <is>
          <t>0.000 SOL</t>
        </is>
      </c>
      <c r="G41" s="18" t="inlineStr">
        <is>
          <t>-0.308 SOL</t>
        </is>
      </c>
      <c r="H41" s="18" t="inlineStr">
        <is>
          <t>0.00%</t>
        </is>
      </c>
      <c r="I41" s="21" t="inlineStr">
        <is>
          <t>4,123,727</t>
        </is>
      </c>
      <c r="J41" s="21" t="n">
        <v>1</v>
      </c>
      <c r="K41" s="21" t="n">
        <v>0</v>
      </c>
      <c r="L41" s="21" t="inlineStr">
        <is>
          <t>29.10.2024 19:02:51</t>
        </is>
      </c>
      <c r="M41" s="19" t="inlineStr">
        <is>
          <t>0 sec</t>
        </is>
      </c>
      <c r="N41" s="21" t="inlineStr">
        <is>
          <t xml:space="preserve">         12K            12K            18K</t>
        </is>
      </c>
      <c r="O41" s="21" t="inlineStr">
        <is>
          <t>EQ27hD1WGY61HVEKkLZKnG4npHXa396HNnGkRMCApump</t>
        </is>
      </c>
      <c r="P41" s="21">
        <f>HYPERLINK("https://photon-sol.tinyastro.io/en/lp/EQ27hD1WGY61HVEKkLZKnG4npHXa396HNnGkRMCApump?handle=676050794bc1b1657a56b", "View")</f>
        <v/>
      </c>
    </row>
    <row r="42">
      <c r="A42" s="16" t="inlineStr">
        <is>
          <t>FATSHO</t>
        </is>
      </c>
      <c r="B42" s="17" t="n">
        <v>3833091</v>
      </c>
      <c r="C42" s="17" t="n">
        <v>0</v>
      </c>
      <c r="D42" s="17" t="inlineStr">
        <is>
          <t>0.001010</t>
        </is>
      </c>
      <c r="E42" s="17" t="inlineStr">
        <is>
          <t>0.509 SOL</t>
        </is>
      </c>
      <c r="F42" s="17" t="inlineStr">
        <is>
          <t>0.000 SOL</t>
        </is>
      </c>
      <c r="G42" s="18" t="inlineStr">
        <is>
          <t>-0.510 SOL</t>
        </is>
      </c>
      <c r="H42" s="18" t="inlineStr">
        <is>
          <t>0.00%</t>
        </is>
      </c>
      <c r="I42" s="17" t="inlineStr">
        <is>
          <t>3,833,091</t>
        </is>
      </c>
      <c r="J42" s="17" t="n">
        <v>1</v>
      </c>
      <c r="K42" s="17" t="n">
        <v>0</v>
      </c>
      <c r="L42" s="17" t="inlineStr">
        <is>
          <t>29.10.2024 18:48:28</t>
        </is>
      </c>
      <c r="M42" s="19" t="inlineStr">
        <is>
          <t>0 sec</t>
        </is>
      </c>
      <c r="N42" s="17" t="inlineStr">
        <is>
          <t xml:space="preserve">        N/A           N/A           N/A</t>
        </is>
      </c>
      <c r="O42" s="17" t="inlineStr">
        <is>
          <t>53sUsF22vNAP2CfQux41ttoVbcQGrbtbXhBVtYbrpump</t>
        </is>
      </c>
      <c r="P42" s="17">
        <f>HYPERLINK("https://photon-sol.tinyastro.io/en/lp/53sUsF22vNAP2CfQux41ttoVbcQGrbtbXhBVtYbrpump?handle=676050794bc1b1657a56b", "View")</f>
        <v/>
      </c>
    </row>
    <row r="43">
      <c r="A43" s="20" t="inlineStr">
        <is>
          <t>Luce</t>
        </is>
      </c>
      <c r="B43" s="21" t="n">
        <v>4566463</v>
      </c>
      <c r="C43" s="21" t="n">
        <v>4566463</v>
      </c>
      <c r="D43" s="21" t="inlineStr">
        <is>
          <t>0.002010</t>
        </is>
      </c>
      <c r="E43" s="21" t="inlineStr">
        <is>
          <t>0.417 SOL</t>
        </is>
      </c>
      <c r="F43" s="21" t="inlineStr">
        <is>
          <t>0.269 SOL</t>
        </is>
      </c>
      <c r="G43" s="25" t="inlineStr">
        <is>
          <t>-0.150 SOL</t>
        </is>
      </c>
      <c r="H43" s="25" t="inlineStr">
        <is>
          <t>-35.75%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29.10.2024 18:03:30</t>
        </is>
      </c>
      <c r="M43" s="21" t="inlineStr">
        <is>
          <t>30 min</t>
        </is>
      </c>
      <c r="N43" s="21" t="inlineStr">
        <is>
          <t xml:space="preserve">         16K            11K             5K</t>
        </is>
      </c>
      <c r="O43" s="21" t="inlineStr">
        <is>
          <t>DN68nbrbeaBwSYjPGuopLqkFhdDvEKCFKNJp3T73N4Gn</t>
        </is>
      </c>
      <c r="P43" s="21">
        <f>HYPERLINK("https://photon-sol.tinyastro.io/en/lp/DN68nbrbeaBwSYjPGuopLqkFhdDvEKCFKNJp3T73N4Gn?handle=676050794bc1b1657a56b", "View")</f>
        <v/>
      </c>
    </row>
    <row r="44">
      <c r="A44" s="16" t="inlineStr">
        <is>
          <t>St.Peter</t>
        </is>
      </c>
      <c r="B44" s="17" t="n">
        <v>7791128</v>
      </c>
      <c r="C44" s="17" t="n">
        <v>7791128</v>
      </c>
      <c r="D44" s="17" t="inlineStr">
        <is>
          <t>0.002010</t>
        </is>
      </c>
      <c r="E44" s="17" t="inlineStr">
        <is>
          <t>0.622 SOL</t>
        </is>
      </c>
      <c r="F44" s="17" t="inlineStr">
        <is>
          <t>1.019 SOL</t>
        </is>
      </c>
      <c r="G44" s="24" t="inlineStr">
        <is>
          <t>0.395 SOL</t>
        </is>
      </c>
      <c r="H44" s="24" t="inlineStr">
        <is>
          <t>63.19%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29.10.2024 17:59:08</t>
        </is>
      </c>
      <c r="M44" s="17" t="inlineStr">
        <is>
          <t>7 min</t>
        </is>
      </c>
      <c r="N44" s="17" t="inlineStr">
        <is>
          <t xml:space="preserve">         14K            23K             8K</t>
        </is>
      </c>
      <c r="O44" s="17" t="inlineStr">
        <is>
          <t>BCSPxwZKRYZF5iEsze6VfG29efj5i9oQx2REBw5ivaFz</t>
        </is>
      </c>
      <c r="P44" s="17">
        <f>HYPERLINK("https://photon-sol.tinyastro.io/en/lp/BCSPxwZKRYZF5iEsze6VfG29efj5i9oQx2REBw5ivaFz?handle=676050794bc1b1657a56b", "View")</f>
        <v/>
      </c>
    </row>
    <row r="45">
      <c r="A45" s="20" t="inlineStr">
        <is>
          <t>BURNIE</t>
        </is>
      </c>
      <c r="B45" s="21" t="n">
        <v>4606111</v>
      </c>
      <c r="C45" s="21" t="n">
        <v>4794999</v>
      </c>
      <c r="D45" s="21" t="inlineStr">
        <is>
          <t>0.005010</t>
        </is>
      </c>
      <c r="E45" s="21" t="inlineStr">
        <is>
          <t>0.509 SOL</t>
        </is>
      </c>
      <c r="F45" s="21" t="inlineStr">
        <is>
          <t>0.937 SOL</t>
        </is>
      </c>
      <c r="G45" s="24" t="inlineStr">
        <is>
          <t>0.423 SOL</t>
        </is>
      </c>
      <c r="H45" s="24" t="inlineStr">
        <is>
          <t>82.21%</t>
        </is>
      </c>
      <c r="I45" s="21" t="inlineStr">
        <is>
          <t>N/A</t>
        </is>
      </c>
      <c r="J45" s="21" t="n">
        <v>1</v>
      </c>
      <c r="K45" s="21" t="n">
        <v>2</v>
      </c>
      <c r="L45" s="21" t="inlineStr">
        <is>
          <t>29.10.2024 17:39:36</t>
        </is>
      </c>
      <c r="M45" s="21" t="inlineStr">
        <is>
          <t>1 hours</t>
        </is>
      </c>
      <c r="N45" s="21" t="inlineStr">
        <is>
          <t xml:space="preserve">         19K            16K             7K</t>
        </is>
      </c>
      <c r="O45" s="21" t="inlineStr">
        <is>
          <t>BBcAUu7t6o6CqFVngM1pSBiGF42HPNxiStWkBoKmpump</t>
        </is>
      </c>
      <c r="P45" s="21">
        <f>HYPERLINK("https://photon-sol.tinyastro.io/en/lp/BBcAUu7t6o6CqFVngM1pSBiGF42HPNxiStWkBoKmpump?handle=676050794bc1b1657a56b", "View")</f>
        <v/>
      </c>
    </row>
    <row r="46">
      <c r="A46" s="16" t="inlineStr">
        <is>
          <t>YES</t>
        </is>
      </c>
      <c r="B46" s="17" t="n">
        <v>6580312</v>
      </c>
      <c r="C46" s="17" t="n">
        <v>6580312</v>
      </c>
      <c r="D46" s="17" t="inlineStr">
        <is>
          <t>0.002010</t>
        </is>
      </c>
      <c r="E46" s="17" t="inlineStr">
        <is>
          <t>0.521 SOL</t>
        </is>
      </c>
      <c r="F46" s="17" t="inlineStr">
        <is>
          <t>0.379 SOL</t>
        </is>
      </c>
      <c r="G46" s="25" t="inlineStr">
        <is>
          <t>-0.144 SOL</t>
        </is>
      </c>
      <c r="H46" s="25" t="inlineStr">
        <is>
          <t>-27.56%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29.10.2024 04:27:30</t>
        </is>
      </c>
      <c r="M46" s="17" t="inlineStr">
        <is>
          <t>12 min</t>
        </is>
      </c>
      <c r="N46" s="17" t="inlineStr">
        <is>
          <t xml:space="preserve">         14K            11K             5K</t>
        </is>
      </c>
      <c r="O46" s="17" t="inlineStr">
        <is>
          <t>5NMszeyEcDdrWuRVog2UiJAdA7gN9WEttFrkcaiLpump</t>
        </is>
      </c>
      <c r="P46" s="17">
        <f>HYPERLINK("https://photon-sol.tinyastro.io/en/lp/5NMszeyEcDdrWuRVog2UiJAdA7gN9WEttFrkcaiLpump?handle=676050794bc1b1657a56b", "View")</f>
        <v/>
      </c>
    </row>
    <row r="47">
      <c r="A47" s="20" t="inlineStr">
        <is>
          <t>TAY</t>
        </is>
      </c>
      <c r="B47" s="21" t="n">
        <v>5116056</v>
      </c>
      <c r="C47" s="21" t="n">
        <v>4569636</v>
      </c>
      <c r="D47" s="21" t="inlineStr">
        <is>
          <t>0.046080</t>
        </is>
      </c>
      <c r="E47" s="21" t="inlineStr">
        <is>
          <t>0.511 SOL</t>
        </is>
      </c>
      <c r="F47" s="21" t="inlineStr">
        <is>
          <t>3.799 SOL</t>
        </is>
      </c>
      <c r="G47" s="24" t="inlineStr">
        <is>
          <t>3.242 SOL</t>
        </is>
      </c>
      <c r="H47" s="24" t="inlineStr">
        <is>
          <t>582.06%</t>
        </is>
      </c>
      <c r="I47" s="21" t="inlineStr">
        <is>
          <t>N/A</t>
        </is>
      </c>
      <c r="J47" s="21" t="n">
        <v>1</v>
      </c>
      <c r="K47" s="21" t="n">
        <v>15</v>
      </c>
      <c r="L47" s="21" t="inlineStr">
        <is>
          <t>29.10.2024 03:04:42</t>
        </is>
      </c>
      <c r="M47" s="21" t="inlineStr">
        <is>
          <t>25 min</t>
        </is>
      </c>
      <c r="N47" s="21" t="inlineStr">
        <is>
          <t xml:space="preserve">         18K            18K             7K</t>
        </is>
      </c>
      <c r="O47" s="21" t="inlineStr">
        <is>
          <t>9FyvApf4t4BXhtT35LqHCeX2oewR1tcP2cNBbqkhpump</t>
        </is>
      </c>
      <c r="P47" s="21">
        <f>HYPERLINK("https://photon-sol.tinyastro.io/en/lp/9FyvApf4t4BXhtT35LqHCeX2oewR1tcP2cNBbqkhpump?handle=676050794bc1b1657a56b", "View")</f>
        <v/>
      </c>
    </row>
    <row r="48">
      <c r="A48" s="16" t="inlineStr">
        <is>
          <t>Maga47</t>
        </is>
      </c>
      <c r="B48" s="17" t="n">
        <v>5319600</v>
      </c>
      <c r="C48" s="17" t="n">
        <v>5319600</v>
      </c>
      <c r="D48" s="17" t="inlineStr">
        <is>
          <t>0.002010</t>
        </is>
      </c>
      <c r="E48" s="17" t="inlineStr">
        <is>
          <t>0.509 SOL</t>
        </is>
      </c>
      <c r="F48" s="17" t="inlineStr">
        <is>
          <t>0.640 SOL</t>
        </is>
      </c>
      <c r="G48" s="22" t="inlineStr">
        <is>
          <t>0.129 SOL</t>
        </is>
      </c>
      <c r="H48" s="22" t="inlineStr">
        <is>
          <t>25.17%</t>
        </is>
      </c>
      <c r="I48" s="17" t="inlineStr">
        <is>
          <t>N/A</t>
        </is>
      </c>
      <c r="J48" s="17" t="n">
        <v>1</v>
      </c>
      <c r="K48" s="17" t="n">
        <v>1</v>
      </c>
      <c r="L48" s="17" t="inlineStr">
        <is>
          <t>28.10.2024 20:16:45</t>
        </is>
      </c>
      <c r="M48" s="17" t="inlineStr">
        <is>
          <t>23 min</t>
        </is>
      </c>
      <c r="N48" s="17" t="inlineStr">
        <is>
          <t xml:space="preserve">         18K            18K             5K</t>
        </is>
      </c>
      <c r="O48" s="17" t="inlineStr">
        <is>
          <t>5y66vd1wqCoYsZyqJnY17PY7CZz11j6iwWaR3W8mpump</t>
        </is>
      </c>
      <c r="P48" s="17">
        <f>HYPERLINK("https://photon-sol.tinyastro.io/en/lp/5y66vd1wqCoYsZyqJnY17PY7CZz11j6iwWaR3W8mpump?handle=676050794bc1b1657a56b", "View")</f>
        <v/>
      </c>
    </row>
    <row r="49">
      <c r="A49" s="20" t="inlineStr">
        <is>
          <t>UNICORNO</t>
        </is>
      </c>
      <c r="B49" s="21" t="n">
        <v>8346418</v>
      </c>
      <c r="C49" s="21" t="n">
        <v>8346418</v>
      </c>
      <c r="D49" s="21" t="inlineStr">
        <is>
          <t>0.002010</t>
        </is>
      </c>
      <c r="E49" s="21" t="inlineStr">
        <is>
          <t>0.509 SOL</t>
        </is>
      </c>
      <c r="F49" s="21" t="inlineStr">
        <is>
          <t>0.390 SOL</t>
        </is>
      </c>
      <c r="G49" s="25" t="inlineStr">
        <is>
          <t>-0.121 SOL</t>
        </is>
      </c>
      <c r="H49" s="25" t="inlineStr">
        <is>
          <t>-23.67%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28.10.2024 18:35:27</t>
        </is>
      </c>
      <c r="M49" s="21" t="inlineStr">
        <is>
          <t>37 min</t>
        </is>
      </c>
      <c r="N49" s="21" t="inlineStr">
        <is>
          <t xml:space="preserve">         11K             9K             7K</t>
        </is>
      </c>
      <c r="O49" s="21" t="inlineStr">
        <is>
          <t>5YXqAzvGbNDdVaxKWBUw8JCrvSJpmtoqWpCsU3HWpump</t>
        </is>
      </c>
      <c r="P49" s="21">
        <f>HYPERLINK("https://photon-sol.tinyastro.io/en/lp/5YXqAzvGbNDdVaxKWBUw8JCrvSJpmtoqWpCsU3HWpump?handle=676050794bc1b1657a56b", "View")</f>
        <v/>
      </c>
    </row>
    <row r="50">
      <c r="A50" s="16" t="inlineStr">
        <is>
          <t>CatholicAI</t>
        </is>
      </c>
      <c r="B50" s="17" t="n">
        <v>6821388</v>
      </c>
      <c r="C50" s="17" t="n">
        <v>6821388</v>
      </c>
      <c r="D50" s="17" t="inlineStr">
        <is>
          <t>0.002010</t>
        </is>
      </c>
      <c r="E50" s="17" t="inlineStr">
        <is>
          <t>0.509 SOL</t>
        </is>
      </c>
      <c r="F50" s="17" t="inlineStr">
        <is>
          <t>0.346 SOL</t>
        </is>
      </c>
      <c r="G50" s="25" t="inlineStr">
        <is>
          <t>-0.165 SOL</t>
        </is>
      </c>
      <c r="H50" s="25" t="inlineStr">
        <is>
          <t>-32.37%</t>
        </is>
      </c>
      <c r="I50" s="17" t="inlineStr">
        <is>
          <t>N/A</t>
        </is>
      </c>
      <c r="J50" s="17" t="n">
        <v>1</v>
      </c>
      <c r="K50" s="17" t="n">
        <v>1</v>
      </c>
      <c r="L50" s="17" t="inlineStr">
        <is>
          <t>28.10.2024 18:06:51</t>
        </is>
      </c>
      <c r="M50" s="17" t="inlineStr">
        <is>
          <t>1 min</t>
        </is>
      </c>
      <c r="N50" s="17" t="inlineStr">
        <is>
          <t xml:space="preserve">         12K             9K             5K</t>
        </is>
      </c>
      <c r="O50" s="17" t="inlineStr">
        <is>
          <t>mL8kMm3BPRox7TNTFDXeZjWBriDAExKJXeWKCfupump</t>
        </is>
      </c>
      <c r="P50" s="17">
        <f>HYPERLINK("https://photon-sol.tinyastro.io/en/lp/mL8kMm3BPRox7TNTFDXeZjWBriDAExKJXeWKCfupump?handle=676050794bc1b1657a56b", "View")</f>
        <v/>
      </c>
    </row>
    <row r="51">
      <c r="A51" s="20" t="inlineStr">
        <is>
          <t>LUCY</t>
        </is>
      </c>
      <c r="B51" s="21" t="n">
        <v>8048635</v>
      </c>
      <c r="C51" s="21" t="n">
        <v>8048635</v>
      </c>
      <c r="D51" s="21" t="inlineStr">
        <is>
          <t>0.004010</t>
        </is>
      </c>
      <c r="E51" s="21" t="inlineStr">
        <is>
          <t>0.509 SOL</t>
        </is>
      </c>
      <c r="F51" s="21" t="inlineStr">
        <is>
          <t>0.489 SOL</t>
        </is>
      </c>
      <c r="G51" s="25" t="inlineStr">
        <is>
          <t>-0.024 SOL</t>
        </is>
      </c>
      <c r="H51" s="25" t="inlineStr">
        <is>
          <t>-4.68%</t>
        </is>
      </c>
      <c r="I51" s="21" t="inlineStr">
        <is>
          <t>N/A</t>
        </is>
      </c>
      <c r="J51" s="21" t="n">
        <v>1</v>
      </c>
      <c r="K51" s="21" t="n">
        <v>1</v>
      </c>
      <c r="L51" s="21" t="inlineStr">
        <is>
          <t>28.10.2024 17:50:44</t>
        </is>
      </c>
      <c r="M51" s="21" t="inlineStr">
        <is>
          <t>8 hours</t>
        </is>
      </c>
      <c r="N51" s="21" t="inlineStr">
        <is>
          <t xml:space="preserve">         11K            11K             5K</t>
        </is>
      </c>
      <c r="O51" s="21" t="inlineStr">
        <is>
          <t>C4wmtaHg8aaKf2b8rsR564hcJJ7HRUmpyJdcHdWHpump</t>
        </is>
      </c>
      <c r="P51" s="21">
        <f>HYPERLINK("https://photon-sol.tinyastro.io/en/lp/C4wmtaHg8aaKf2b8rsR564hcJJ7HRUmpyJdcHdWHpump?handle=676050794bc1b1657a56b", "View")</f>
        <v/>
      </c>
    </row>
    <row r="52">
      <c r="A52" s="16" t="inlineStr">
        <is>
          <t>JohnAI</t>
        </is>
      </c>
      <c r="B52" s="17" t="n">
        <v>8027625</v>
      </c>
      <c r="C52" s="17" t="n">
        <v>8027625</v>
      </c>
      <c r="D52" s="17" t="inlineStr">
        <is>
          <t>0.004010</t>
        </is>
      </c>
      <c r="E52" s="17" t="inlineStr">
        <is>
          <t>0.529 SOL</t>
        </is>
      </c>
      <c r="F52" s="17" t="inlineStr">
        <is>
          <t>1.533 SOL</t>
        </is>
      </c>
      <c r="G52" s="24" t="inlineStr">
        <is>
          <t>1.000 SOL</t>
        </is>
      </c>
      <c r="H52" s="24" t="inlineStr">
        <is>
          <t>187.68%</t>
        </is>
      </c>
      <c r="I52" s="17" t="inlineStr">
        <is>
          <t>N/A</t>
        </is>
      </c>
      <c r="J52" s="17" t="n">
        <v>1</v>
      </c>
      <c r="K52" s="17" t="n">
        <v>1</v>
      </c>
      <c r="L52" s="17" t="inlineStr">
        <is>
          <t>28.10.2024 17:48:27</t>
        </is>
      </c>
      <c r="M52" s="17" t="inlineStr">
        <is>
          <t>1 hours</t>
        </is>
      </c>
      <c r="N52" s="17" t="inlineStr">
        <is>
          <t xml:space="preserve">         12K            12K            22K</t>
        </is>
      </c>
      <c r="O52" s="17" t="inlineStr">
        <is>
          <t>3WbARz9yrrPeNvxYTAqodqgmxsTS1fceKcuzep2Apump</t>
        </is>
      </c>
      <c r="P52" s="17">
        <f>HYPERLINK("https://photon-sol.tinyastro.io/en/lp/3WbARz9yrrPeNvxYTAqodqgmxsTS1fceKcuzep2Apump?handle=676050794bc1b1657a56b", "View")</f>
        <v/>
      </c>
    </row>
    <row r="53">
      <c r="A53" s="20" t="inlineStr">
        <is>
          <t>$BATAI</t>
        </is>
      </c>
      <c r="B53" s="21" t="n">
        <v>3621760</v>
      </c>
      <c r="C53" s="21" t="n">
        <v>3621760</v>
      </c>
      <c r="D53" s="21" t="inlineStr">
        <is>
          <t>0.002010</t>
        </is>
      </c>
      <c r="E53" s="21" t="inlineStr">
        <is>
          <t>0.307 SOL</t>
        </is>
      </c>
      <c r="F53" s="21" t="inlineStr">
        <is>
          <t>0.152 SOL</t>
        </is>
      </c>
      <c r="G53" s="23" t="inlineStr">
        <is>
          <t>-0.157 SOL</t>
        </is>
      </c>
      <c r="H53" s="23" t="inlineStr">
        <is>
          <t>-50.87%</t>
        </is>
      </c>
      <c r="I53" s="21" t="inlineStr">
        <is>
          <t>N/A</t>
        </is>
      </c>
      <c r="J53" s="21" t="n">
        <v>1</v>
      </c>
      <c r="K53" s="21" t="n">
        <v>1</v>
      </c>
      <c r="L53" s="21" t="inlineStr">
        <is>
          <t>28.10.2024 16:25:10</t>
        </is>
      </c>
      <c r="M53" s="21" t="inlineStr">
        <is>
          <t>12 hours</t>
        </is>
      </c>
      <c r="N53" s="21" t="inlineStr">
        <is>
          <t xml:space="preserve">         14K            14K             5K</t>
        </is>
      </c>
      <c r="O53" s="21" t="inlineStr">
        <is>
          <t>ETzg8JFyCPzceKhFMvJB6AZw1fx6fytxHEkK3k9qpump</t>
        </is>
      </c>
      <c r="P53" s="21">
        <f>HYPERLINK("https://photon-sol.tinyastro.io/en/lp/ETzg8JFyCPzceKhFMvJB6AZw1fx6fytxHEkK3k9qpump?handle=676050794bc1b1657a56b", "View")</f>
        <v/>
      </c>
    </row>
    <row r="54">
      <c r="A54" s="16" t="inlineStr">
        <is>
          <t>Hullipop</t>
        </is>
      </c>
      <c r="B54" s="17" t="n">
        <v>2998129</v>
      </c>
      <c r="C54" s="17" t="n">
        <v>0</v>
      </c>
      <c r="D54" s="17" t="inlineStr">
        <is>
          <t>0.001010</t>
        </is>
      </c>
      <c r="E54" s="17" t="inlineStr">
        <is>
          <t>0.519 SOL</t>
        </is>
      </c>
      <c r="F54" s="17" t="inlineStr">
        <is>
          <t>0.000 SOL</t>
        </is>
      </c>
      <c r="G54" s="18" t="inlineStr">
        <is>
          <t>-0.520 SOL</t>
        </is>
      </c>
      <c r="H54" s="18" t="inlineStr">
        <is>
          <t>0.00%</t>
        </is>
      </c>
      <c r="I54" s="17" t="inlineStr">
        <is>
          <t>2,998,129</t>
        </is>
      </c>
      <c r="J54" s="17" t="n">
        <v>1</v>
      </c>
      <c r="K54" s="17" t="n">
        <v>0</v>
      </c>
      <c r="L54" s="17" t="inlineStr">
        <is>
          <t>28.10.2024 14:35:26</t>
        </is>
      </c>
      <c r="M54" s="19" t="inlineStr">
        <is>
          <t>0 sec</t>
        </is>
      </c>
      <c r="N54" s="17" t="inlineStr">
        <is>
          <t xml:space="preserve">        N/A           N/A           N/A</t>
        </is>
      </c>
      <c r="O54" s="17" t="inlineStr">
        <is>
          <t>7Fm9ziUSwBHVMpexMGtyNRUda3WJjX8QnvuEr6xLpump</t>
        </is>
      </c>
      <c r="P54" s="17">
        <f>HYPERLINK("https://photon-sol.tinyastro.io/en/lp/7Fm9ziUSwBHVMpexMGtyNRUda3WJjX8QnvuEr6xLpump?handle=676050794bc1b1657a56b", "View")</f>
        <v/>
      </c>
    </row>
    <row r="55">
      <c r="A55" s="20" t="inlineStr">
        <is>
          <t>STINGYJACK</t>
        </is>
      </c>
      <c r="B55" s="21" t="n">
        <v>4577010</v>
      </c>
      <c r="C55" s="21" t="n">
        <v>4577010</v>
      </c>
      <c r="D55" s="21" t="inlineStr">
        <is>
          <t>0.002010</t>
        </is>
      </c>
      <c r="E55" s="21" t="inlineStr">
        <is>
          <t>0.307 SOL</t>
        </is>
      </c>
      <c r="F55" s="21" t="inlineStr">
        <is>
          <t>0.484 SOL</t>
        </is>
      </c>
      <c r="G55" s="24" t="inlineStr">
        <is>
          <t>0.175 SOL</t>
        </is>
      </c>
      <c r="H55" s="24" t="inlineStr">
        <is>
          <t>56.77%</t>
        </is>
      </c>
      <c r="I55" s="21" t="inlineStr">
        <is>
          <t>N/A</t>
        </is>
      </c>
      <c r="J55" s="21" t="n">
        <v>1</v>
      </c>
      <c r="K55" s="21" t="n">
        <v>1</v>
      </c>
      <c r="L55" s="21" t="inlineStr">
        <is>
          <t>28.10.2024 12:48:01</t>
        </is>
      </c>
      <c r="M55" s="21" t="inlineStr">
        <is>
          <t>3 hours</t>
        </is>
      </c>
      <c r="N55" s="21" t="inlineStr">
        <is>
          <t xml:space="preserve">         12K            12K             6K</t>
        </is>
      </c>
      <c r="O55" s="21" t="inlineStr">
        <is>
          <t>UXqo4U63Sjo8YpQf9LhYErsWWVwVDirH2D3eHbTpump</t>
        </is>
      </c>
      <c r="P55" s="21">
        <f>HYPERLINK("https://photon-sol.tinyastro.io/en/lp/UXqo4U63Sjo8YpQf9LhYErsWWVwVDirH2D3eHbTpump?handle=676050794bc1b1657a56b", "View")</f>
        <v/>
      </c>
    </row>
    <row r="56">
      <c r="A56" s="16" t="inlineStr">
        <is>
          <t>DOOLY</t>
        </is>
      </c>
      <c r="B56" s="17" t="n">
        <v>7529732</v>
      </c>
      <c r="C56" s="17" t="n">
        <v>0</v>
      </c>
      <c r="D56" s="17" t="inlineStr">
        <is>
          <t>0.001010</t>
        </is>
      </c>
      <c r="E56" s="17" t="inlineStr">
        <is>
          <t>0.610 SOL</t>
        </is>
      </c>
      <c r="F56" s="17" t="inlineStr">
        <is>
          <t>0.000 SOL</t>
        </is>
      </c>
      <c r="G56" s="18" t="inlineStr">
        <is>
          <t>-0.611 SOL</t>
        </is>
      </c>
      <c r="H56" s="18" t="inlineStr">
        <is>
          <t>0.00%</t>
        </is>
      </c>
      <c r="I56" s="17" t="inlineStr">
        <is>
          <t>7,529,732</t>
        </is>
      </c>
      <c r="J56" s="17" t="n">
        <v>1</v>
      </c>
      <c r="K56" s="17" t="n">
        <v>0</v>
      </c>
      <c r="L56" s="17" t="inlineStr">
        <is>
          <t>28.10.2024 10:48:38</t>
        </is>
      </c>
      <c r="M56" s="19" t="inlineStr">
        <is>
          <t>0 sec</t>
        </is>
      </c>
      <c r="N56" s="17" t="inlineStr">
        <is>
          <t xml:space="preserve">         14K            14K            14K</t>
        </is>
      </c>
      <c r="O56" s="17" t="inlineStr">
        <is>
          <t>BZwNVravPuo3dtrTDWJLAktf5sCXq7eeA9UXk1LPpump</t>
        </is>
      </c>
      <c r="P56" s="17">
        <f>HYPERLINK("https://photon-sol.tinyastro.io/en/lp/BZwNVravPuo3dtrTDWJLAktf5sCXq7eeA9UXk1LPpump?handle=676050794bc1b1657a56b", "View")</f>
        <v/>
      </c>
    </row>
    <row r="57">
      <c r="A57" s="20" t="inlineStr">
        <is>
          <t>MAGA69420</t>
        </is>
      </c>
      <c r="B57" s="21" t="n">
        <v>2902999</v>
      </c>
      <c r="C57" s="21" t="n">
        <v>2902999</v>
      </c>
      <c r="D57" s="21" t="inlineStr">
        <is>
          <t>0.002010</t>
        </is>
      </c>
      <c r="E57" s="21" t="inlineStr">
        <is>
          <t>0.307 SOL</t>
        </is>
      </c>
      <c r="F57" s="21" t="inlineStr">
        <is>
          <t>0.319 SOL</t>
        </is>
      </c>
      <c r="G57" s="22" t="inlineStr">
        <is>
          <t>0.010 SOL</t>
        </is>
      </c>
      <c r="H57" s="22" t="inlineStr">
        <is>
          <t>3.20%</t>
        </is>
      </c>
      <c r="I57" s="21" t="inlineStr">
        <is>
          <t>N/A</t>
        </is>
      </c>
      <c r="J57" s="21" t="n">
        <v>1</v>
      </c>
      <c r="K57" s="21" t="n">
        <v>1</v>
      </c>
      <c r="L57" s="21" t="inlineStr">
        <is>
          <t>28.10.2024 09:44:11</t>
        </is>
      </c>
      <c r="M57" s="21" t="inlineStr">
        <is>
          <t>1 hours</t>
        </is>
      </c>
      <c r="N57" s="21" t="inlineStr">
        <is>
          <t xml:space="preserve">         19K            19K            73K</t>
        </is>
      </c>
      <c r="O57" s="21" t="inlineStr">
        <is>
          <t>DsjBx22vTtqoH1BWYDscMfM5zNm7DAQAG4CJhpPbpump</t>
        </is>
      </c>
      <c r="P57" s="21">
        <f>HYPERLINK("https://photon-sol.tinyastro.io/en/lp/DsjBx22vTtqoH1BWYDscMfM5zNm7DAQAG4CJhpPbpump?handle=676050794bc1b1657a56b", "View")</f>
        <v/>
      </c>
    </row>
    <row r="58">
      <c r="A58" s="16" t="inlineStr">
        <is>
          <t>minecreft</t>
        </is>
      </c>
      <c r="B58" s="17" t="n">
        <v>3784473</v>
      </c>
      <c r="C58" s="17" t="n">
        <v>3784473</v>
      </c>
      <c r="D58" s="17" t="inlineStr">
        <is>
          <t>0.002010</t>
        </is>
      </c>
      <c r="E58" s="17" t="inlineStr">
        <is>
          <t>0.509 SOL</t>
        </is>
      </c>
      <c r="F58" s="17" t="inlineStr">
        <is>
          <t>0.931 SOL</t>
        </is>
      </c>
      <c r="G58" s="24" t="inlineStr">
        <is>
          <t>0.420 SOL</t>
        </is>
      </c>
      <c r="H58" s="24" t="inlineStr">
        <is>
          <t>82.15%</t>
        </is>
      </c>
      <c r="I58" s="17" t="inlineStr">
        <is>
          <t>N/A</t>
        </is>
      </c>
      <c r="J58" s="17" t="n">
        <v>1</v>
      </c>
      <c r="K58" s="17" t="n">
        <v>1</v>
      </c>
      <c r="L58" s="17" t="inlineStr">
        <is>
          <t>28.10.2024 03:43:28</t>
        </is>
      </c>
      <c r="M58" s="17" t="inlineStr">
        <is>
          <t>8 hours</t>
        </is>
      </c>
      <c r="N58" s="17" t="inlineStr">
        <is>
          <t xml:space="preserve">         23K            23K             3K</t>
        </is>
      </c>
      <c r="O58" s="17" t="inlineStr">
        <is>
          <t>HAg512eZxtCnAAVTd2UXY5PkqKYxAeoG32TjMNMpump</t>
        </is>
      </c>
      <c r="P58" s="17">
        <f>HYPERLINK("https://photon-sol.tinyastro.io/en/lp/HAg512eZxtCnAAVTd2UXY5PkqKYxAeoG32TjMNMpump?handle=676050794bc1b1657a56b", "View")</f>
        <v/>
      </c>
    </row>
    <row r="59">
      <c r="A59" s="20" t="inlineStr">
        <is>
          <t>TANIC</t>
        </is>
      </c>
      <c r="B59" s="21" t="n">
        <v>3787268</v>
      </c>
      <c r="C59" s="21" t="n">
        <v>3787268</v>
      </c>
      <c r="D59" s="21" t="inlineStr">
        <is>
          <t>0.002010</t>
        </is>
      </c>
      <c r="E59" s="21" t="inlineStr">
        <is>
          <t>0.509 SOL</t>
        </is>
      </c>
      <c r="F59" s="21" t="inlineStr">
        <is>
          <t>0.468 SOL</t>
        </is>
      </c>
      <c r="G59" s="25" t="inlineStr">
        <is>
          <t>-0.043 SOL</t>
        </is>
      </c>
      <c r="H59" s="25" t="inlineStr">
        <is>
          <t>-8.46%</t>
        </is>
      </c>
      <c r="I59" s="21" t="inlineStr">
        <is>
          <t>N/A</t>
        </is>
      </c>
      <c r="J59" s="21" t="n">
        <v>1</v>
      </c>
      <c r="K59" s="21" t="n">
        <v>1</v>
      </c>
      <c r="L59" s="21" t="inlineStr">
        <is>
          <t>27.10.2024 23:28:31</t>
        </is>
      </c>
      <c r="M59" s="21" t="inlineStr">
        <is>
          <t>8 min</t>
        </is>
      </c>
      <c r="N59" s="21" t="inlineStr">
        <is>
          <t xml:space="preserve">         23K            21K             6K</t>
        </is>
      </c>
      <c r="O59" s="21" t="inlineStr">
        <is>
          <t>7qpK5UyX16JskttFF6gqujFe7dYpCjXGFYqfCVFtpump</t>
        </is>
      </c>
      <c r="P59" s="21">
        <f>HYPERLINK("https://photon-sol.tinyastro.io/en/lp/7qpK5UyX16JskttFF6gqujFe7dYpCjXGFYqfCVFtpump?handle=676050794bc1b1657a56b", "View")</f>
        <v/>
      </c>
    </row>
    <row r="60">
      <c r="A60" s="16" t="inlineStr">
        <is>
          <t>HANK</t>
        </is>
      </c>
      <c r="B60" s="17" t="n">
        <v>8845318</v>
      </c>
      <c r="C60" s="17" t="n">
        <v>8845318</v>
      </c>
      <c r="D60" s="17" t="inlineStr">
        <is>
          <t>0.005020</t>
        </is>
      </c>
      <c r="E60" s="17" t="inlineStr">
        <is>
          <t>0.713 SOL</t>
        </is>
      </c>
      <c r="F60" s="17" t="inlineStr">
        <is>
          <t>2.786 SOL</t>
        </is>
      </c>
      <c r="G60" s="24" t="inlineStr">
        <is>
          <t>2.068 SOL</t>
        </is>
      </c>
      <c r="H60" s="24" t="inlineStr">
        <is>
          <t>288.07%</t>
        </is>
      </c>
      <c r="I60" s="17" t="inlineStr">
        <is>
          <t>N/A</t>
        </is>
      </c>
      <c r="J60" s="17" t="n">
        <v>2</v>
      </c>
      <c r="K60" s="17" t="n">
        <v>3</v>
      </c>
      <c r="L60" s="17" t="inlineStr">
        <is>
          <t>27.10.2024 23:11:02</t>
        </is>
      </c>
      <c r="M60" s="17" t="inlineStr">
        <is>
          <t>14 min</t>
        </is>
      </c>
      <c r="N60" s="17" t="inlineStr">
        <is>
          <t xml:space="preserve">         14K            51K             4K</t>
        </is>
      </c>
      <c r="O60" s="17" t="inlineStr">
        <is>
          <t>FrbTvy9eRBHzCGNyuc3KqwGKYx9vk2soDTzBAafNpump</t>
        </is>
      </c>
      <c r="P60" s="17">
        <f>HYPERLINK("https://photon-sol.tinyastro.io/en/lp/FrbTvy9eRBHzCGNyuc3KqwGKYx9vk2soDTzBAafNpump?handle=676050794bc1b1657a56b", "View")</f>
        <v/>
      </c>
    </row>
    <row r="61">
      <c r="A61" s="20" t="inlineStr">
        <is>
          <t>ds</t>
        </is>
      </c>
      <c r="B61" s="21" t="n">
        <v>5849292</v>
      </c>
      <c r="C61" s="21" t="n">
        <v>5849292</v>
      </c>
      <c r="D61" s="21" t="inlineStr">
        <is>
          <t>0.002010</t>
        </is>
      </c>
      <c r="E61" s="21" t="inlineStr">
        <is>
          <t>0.509 SOL</t>
        </is>
      </c>
      <c r="F61" s="21" t="inlineStr">
        <is>
          <t>0.844 SOL</t>
        </is>
      </c>
      <c r="G61" s="24" t="inlineStr">
        <is>
          <t>0.333 SOL</t>
        </is>
      </c>
      <c r="H61" s="24" t="inlineStr">
        <is>
          <t>65.22%</t>
        </is>
      </c>
      <c r="I61" s="21" t="inlineStr">
        <is>
          <t>N/A</t>
        </is>
      </c>
      <c r="J61" s="21" t="n">
        <v>1</v>
      </c>
      <c r="K61" s="21" t="n">
        <v>1</v>
      </c>
      <c r="L61" s="21" t="inlineStr">
        <is>
          <t>27.10.2024 22:33:30</t>
        </is>
      </c>
      <c r="M61" s="21" t="inlineStr">
        <is>
          <t>15 min</t>
        </is>
      </c>
      <c r="N61" s="21" t="inlineStr">
        <is>
          <t xml:space="preserve">         16K            25K             6K</t>
        </is>
      </c>
      <c r="O61" s="21" t="inlineStr">
        <is>
          <t>43m2NMQXobysHVjtSAL7x8sBcyxLrZW7tUr3YXf7pump</t>
        </is>
      </c>
      <c r="P61" s="21">
        <f>HYPERLINK("https://photon-sol.tinyastro.io/en/lp/43m2NMQXobysHVjtSAL7x8sBcyxLrZW7tUr3YXf7pump?handle=676050794bc1b1657a56b", "View")</f>
        <v/>
      </c>
    </row>
    <row r="62">
      <c r="A62" s="16" t="inlineStr">
        <is>
          <t>AIJAK</t>
        </is>
      </c>
      <c r="B62" s="17" t="n">
        <v>4537770</v>
      </c>
      <c r="C62" s="17" t="n">
        <v>4537770</v>
      </c>
      <c r="D62" s="17" t="inlineStr">
        <is>
          <t>0.002010</t>
        </is>
      </c>
      <c r="E62" s="17" t="inlineStr">
        <is>
          <t>0.311 SOL</t>
        </is>
      </c>
      <c r="F62" s="17" t="inlineStr">
        <is>
          <t>0.171 SOL</t>
        </is>
      </c>
      <c r="G62" s="25" t="inlineStr">
        <is>
          <t>-0.142 SOL</t>
        </is>
      </c>
      <c r="H62" s="25" t="inlineStr">
        <is>
          <t>-45.29%</t>
        </is>
      </c>
      <c r="I62" s="17" t="inlineStr">
        <is>
          <t>N/A</t>
        </is>
      </c>
      <c r="J62" s="17" t="n">
        <v>1</v>
      </c>
      <c r="K62" s="17" t="n">
        <v>1</v>
      </c>
      <c r="L62" s="17" t="inlineStr">
        <is>
          <t>27.10.2024 22:08:05</t>
        </is>
      </c>
      <c r="M62" s="17" t="inlineStr">
        <is>
          <t>52 min</t>
        </is>
      </c>
      <c r="N62" s="17" t="inlineStr">
        <is>
          <t xml:space="preserve">         12K            12K             6K</t>
        </is>
      </c>
      <c r="O62" s="17" t="inlineStr">
        <is>
          <t>cqrA1s1UVkA7QZyfdPr2hLbdApY5JJZL15QE8Hzpump</t>
        </is>
      </c>
      <c r="P62" s="17">
        <f>HYPERLINK("https://photon-sol.tinyastro.io/en/lp/cqrA1s1UVkA7QZyfdPr2hLbdApY5JJZL15QE8Hzpump?handle=676050794bc1b1657a56b", "View")</f>
        <v/>
      </c>
    </row>
    <row r="63">
      <c r="A63" s="20" t="inlineStr">
        <is>
          <t>Dance</t>
        </is>
      </c>
      <c r="B63" s="21" t="n">
        <v>3664117</v>
      </c>
      <c r="C63" s="21" t="n">
        <v>3664117</v>
      </c>
      <c r="D63" s="21" t="inlineStr">
        <is>
          <t>0.002010</t>
        </is>
      </c>
      <c r="E63" s="21" t="inlineStr">
        <is>
          <t>0.307 SOL</t>
        </is>
      </c>
      <c r="F63" s="21" t="inlineStr">
        <is>
          <t>0.800 SOL</t>
        </is>
      </c>
      <c r="G63" s="24" t="inlineStr">
        <is>
          <t>0.490 SOL</t>
        </is>
      </c>
      <c r="H63" s="24" t="inlineStr">
        <is>
          <t>158.72%</t>
        </is>
      </c>
      <c r="I63" s="21" t="inlineStr">
        <is>
          <t>N/A</t>
        </is>
      </c>
      <c r="J63" s="21" t="n">
        <v>1</v>
      </c>
      <c r="K63" s="21" t="n">
        <v>1</v>
      </c>
      <c r="L63" s="21" t="inlineStr">
        <is>
          <t>27.10.2024 21:42:12</t>
        </is>
      </c>
      <c r="M63" s="21" t="inlineStr">
        <is>
          <t>21 min</t>
        </is>
      </c>
      <c r="N63" s="21" t="inlineStr">
        <is>
          <t xml:space="preserve">         14K            14K             3K</t>
        </is>
      </c>
      <c r="O63" s="21" t="inlineStr">
        <is>
          <t>4p81yDzS2MxRkk4S67mhBHWVCiQoCkGeaEPJhXpSpump</t>
        </is>
      </c>
      <c r="P63" s="21">
        <f>HYPERLINK("https://photon-sol.tinyastro.io/en/lp/4p81yDzS2MxRkk4S67mhBHWVCiQoCkGeaEPJhXpSpump?handle=676050794bc1b1657a56b", "View")</f>
        <v/>
      </c>
    </row>
    <row r="64">
      <c r="A64" s="16" t="inlineStr">
        <is>
          <t>deathAI</t>
        </is>
      </c>
      <c r="B64" s="17" t="n">
        <v>7963360</v>
      </c>
      <c r="C64" s="17" t="n">
        <v>7963360</v>
      </c>
      <c r="D64" s="17" t="inlineStr">
        <is>
          <t>0.015080</t>
        </is>
      </c>
      <c r="E64" s="17" t="inlineStr">
        <is>
          <t>0.841 SOL</t>
        </is>
      </c>
      <c r="F64" s="17" t="inlineStr">
        <is>
          <t>9.136 SOL</t>
        </is>
      </c>
      <c r="G64" s="24" t="inlineStr">
        <is>
          <t>8.280 SOL</t>
        </is>
      </c>
      <c r="H64" s="24" t="inlineStr">
        <is>
          <t>967.27%</t>
        </is>
      </c>
      <c r="I64" s="17" t="inlineStr">
        <is>
          <t>N/A</t>
        </is>
      </c>
      <c r="J64" s="17" t="n">
        <v>1</v>
      </c>
      <c r="K64" s="17" t="n">
        <v>14</v>
      </c>
      <c r="L64" s="17" t="inlineStr">
        <is>
          <t>27.10.2024 20:52:13</t>
        </is>
      </c>
      <c r="M64" s="17" t="inlineStr">
        <is>
          <t>3 hours</t>
        </is>
      </c>
      <c r="N64" s="17" t="inlineStr">
        <is>
          <t xml:space="preserve">         19K           662K             7K</t>
        </is>
      </c>
      <c r="O64" s="17" t="inlineStr">
        <is>
          <t>GQVfAmab4hFJQdqBHMWGcQ48xa8QuWeQos6hpFSGpump</t>
        </is>
      </c>
      <c r="P64" s="17">
        <f>HYPERLINK("https://photon-sol.tinyastro.io/en/lp/GQVfAmab4hFJQdqBHMWGcQ48xa8QuWeQos6hpFSGpump?handle=676050794bc1b1657a56b", "View")</f>
        <v/>
      </c>
    </row>
    <row r="65">
      <c r="A65" s="20" t="inlineStr">
        <is>
          <t>MESSI#DIEZ</t>
        </is>
      </c>
      <c r="B65" s="21" t="n">
        <v>2971940</v>
      </c>
      <c r="C65" s="21" t="n">
        <v>0</v>
      </c>
      <c r="D65" s="21" t="inlineStr">
        <is>
          <t>0.001010</t>
        </is>
      </c>
      <c r="E65" s="21" t="inlineStr">
        <is>
          <t>0.206 SOL</t>
        </is>
      </c>
      <c r="F65" s="21" t="inlineStr">
        <is>
          <t>0.000 SOL</t>
        </is>
      </c>
      <c r="G65" s="18" t="inlineStr">
        <is>
          <t>-0.207 SOL</t>
        </is>
      </c>
      <c r="H65" s="18" t="inlineStr">
        <is>
          <t>0.00%</t>
        </is>
      </c>
      <c r="I65" s="21" t="inlineStr">
        <is>
          <t>2,971,940</t>
        </is>
      </c>
      <c r="J65" s="21" t="n">
        <v>1</v>
      </c>
      <c r="K65" s="21" t="n">
        <v>0</v>
      </c>
      <c r="L65" s="21" t="inlineStr">
        <is>
          <t>27.10.2024 19:53:23</t>
        </is>
      </c>
      <c r="M65" s="19" t="inlineStr">
        <is>
          <t>0 sec</t>
        </is>
      </c>
      <c r="N65" s="21" t="inlineStr">
        <is>
          <t xml:space="preserve">         12K            12K            13K</t>
        </is>
      </c>
      <c r="O65" s="21" t="inlineStr">
        <is>
          <t>2TpLEqnCgEMmj5JLLxkrAsK3GZ614ZV3XSxyGm1Hpump</t>
        </is>
      </c>
      <c r="P65" s="21">
        <f>HYPERLINK("https://photon-sol.tinyastro.io/en/lp/2TpLEqnCgEMmj5JLLxkrAsK3GZ614ZV3XSxyGm1Hpump?handle=676050794bc1b1657a56b", "View")</f>
        <v/>
      </c>
    </row>
    <row r="66">
      <c r="A66" s="16" t="inlineStr">
        <is>
          <t>WISP</t>
        </is>
      </c>
      <c r="B66" s="17" t="n">
        <v>8007614</v>
      </c>
      <c r="C66" s="17" t="n">
        <v>8007614</v>
      </c>
      <c r="D66" s="17" t="inlineStr">
        <is>
          <t>0.002010</t>
        </is>
      </c>
      <c r="E66" s="17" t="inlineStr">
        <is>
          <t>0.509 SOL</t>
        </is>
      </c>
      <c r="F66" s="17" t="inlineStr">
        <is>
          <t>0.989 SOL</t>
        </is>
      </c>
      <c r="G66" s="24" t="inlineStr">
        <is>
          <t>0.477 SOL</t>
        </is>
      </c>
      <c r="H66" s="24" t="inlineStr">
        <is>
          <t>93.44%</t>
        </is>
      </c>
      <c r="I66" s="17" t="inlineStr">
        <is>
          <t>N/A</t>
        </is>
      </c>
      <c r="J66" s="17" t="n">
        <v>1</v>
      </c>
      <c r="K66" s="17" t="n">
        <v>1</v>
      </c>
      <c r="L66" s="17" t="inlineStr">
        <is>
          <t>27.10.2024 19:40:09</t>
        </is>
      </c>
      <c r="M66" s="17" t="inlineStr">
        <is>
          <t>53 min</t>
        </is>
      </c>
      <c r="N66" s="17" t="inlineStr">
        <is>
          <t xml:space="preserve">         11K            11K             5K</t>
        </is>
      </c>
      <c r="O66" s="17" t="inlineStr">
        <is>
          <t>A9VqA2UtejVve5TWeT18F5TwgxLG9v7AafcSfMY3Sk3U</t>
        </is>
      </c>
      <c r="P66" s="17">
        <f>HYPERLINK("https://photon-sol.tinyastro.io/en/lp/A9VqA2UtejVve5TWeT18F5TwgxLG9v7AafcSfMY3Sk3U?handle=676050794bc1b1657a56b", "View")</f>
        <v/>
      </c>
    </row>
    <row r="67">
      <c r="A67" s="20" t="inlineStr">
        <is>
          <t>Fatcatmeme</t>
        </is>
      </c>
      <c r="B67" s="21" t="n">
        <v>3669133</v>
      </c>
      <c r="C67" s="21" t="n">
        <v>0</v>
      </c>
      <c r="D67" s="21" t="inlineStr">
        <is>
          <t>0.001010</t>
        </is>
      </c>
      <c r="E67" s="21" t="inlineStr">
        <is>
          <t>0.610 SOL</t>
        </is>
      </c>
      <c r="F67" s="21" t="inlineStr">
        <is>
          <t>0.000 SOL</t>
        </is>
      </c>
      <c r="G67" s="18" t="inlineStr">
        <is>
          <t>-0.611 SOL</t>
        </is>
      </c>
      <c r="H67" s="18" t="inlineStr">
        <is>
          <t>0.00%</t>
        </is>
      </c>
      <c r="I67" s="21" t="inlineStr">
        <is>
          <t>3,669,133</t>
        </is>
      </c>
      <c r="J67" s="21" t="n">
        <v>1</v>
      </c>
      <c r="K67" s="21" t="n">
        <v>0</v>
      </c>
      <c r="L67" s="21" t="inlineStr">
        <is>
          <t>27.10.2024 19:32:45</t>
        </is>
      </c>
      <c r="M67" s="19" t="inlineStr">
        <is>
          <t>0 sec</t>
        </is>
      </c>
      <c r="N67" s="21" t="inlineStr">
        <is>
          <t xml:space="preserve">         30K            30K            34K</t>
        </is>
      </c>
      <c r="O67" s="21" t="inlineStr">
        <is>
          <t>CWvieV9nqzkJRbypdpa2BB7RdJEd3oU7dumjekqupump</t>
        </is>
      </c>
      <c r="P67" s="21">
        <f>HYPERLINK("https://photon-sol.tinyastro.io/en/lp/CWvieV9nqzkJRbypdpa2BB7RdJEd3oU7dumjekqupump?handle=676050794bc1b1657a56b", "View")</f>
        <v/>
      </c>
    </row>
    <row r="68">
      <c r="A68" s="16" t="inlineStr">
        <is>
          <t>SHEETS</t>
        </is>
      </c>
      <c r="B68" s="17" t="n">
        <v>7773356</v>
      </c>
      <c r="C68" s="17" t="n">
        <v>7773356</v>
      </c>
      <c r="D68" s="17" t="inlineStr">
        <is>
          <t>0.002010</t>
        </is>
      </c>
      <c r="E68" s="17" t="inlineStr">
        <is>
          <t>0.509 SOL</t>
        </is>
      </c>
      <c r="F68" s="17" t="inlineStr">
        <is>
          <t>0.243 SOL</t>
        </is>
      </c>
      <c r="G68" s="23" t="inlineStr">
        <is>
          <t>-0.268 SOL</t>
        </is>
      </c>
      <c r="H68" s="23" t="inlineStr">
        <is>
          <t>-52.38%</t>
        </is>
      </c>
      <c r="I68" s="17" t="inlineStr">
        <is>
          <t>N/A</t>
        </is>
      </c>
      <c r="J68" s="17" t="n">
        <v>1</v>
      </c>
      <c r="K68" s="17" t="n">
        <v>1</v>
      </c>
      <c r="L68" s="17" t="inlineStr">
        <is>
          <t>27.10.2024 18:40:42</t>
        </is>
      </c>
      <c r="M68" s="17" t="inlineStr">
        <is>
          <t>5 min</t>
        </is>
      </c>
      <c r="N68" s="17" t="inlineStr">
        <is>
          <t xml:space="preserve">        N/A           N/A           N/A</t>
        </is>
      </c>
      <c r="O68" s="17" t="inlineStr">
        <is>
          <t>76Jwkdz5oea39vgimt6UDS95ZAkvXjeHqBf4QdkFpump</t>
        </is>
      </c>
      <c r="P68" s="17">
        <f>HYPERLINK("https://photon-sol.tinyastro.io/en/lp/76Jwkdz5oea39vgimt6UDS95ZAkvXjeHqBf4QdkFpump?handle=676050794bc1b1657a56b", "View")</f>
        <v/>
      </c>
    </row>
    <row r="69">
      <c r="A69" s="20" t="inlineStr">
        <is>
          <t>KATE</t>
        </is>
      </c>
      <c r="B69" s="21" t="n">
        <v>1361375</v>
      </c>
      <c r="C69" s="21" t="n">
        <v>1361375</v>
      </c>
      <c r="D69" s="21" t="inlineStr">
        <is>
          <t>0.003020</t>
        </is>
      </c>
      <c r="E69" s="21" t="inlineStr">
        <is>
          <t>0.206 SOL</t>
        </is>
      </c>
      <c r="F69" s="21" t="inlineStr">
        <is>
          <t>0.516 SOL</t>
        </is>
      </c>
      <c r="G69" s="24" t="inlineStr">
        <is>
          <t>0.307 SOL</t>
        </is>
      </c>
      <c r="H69" s="24" t="inlineStr">
        <is>
          <t>146.76%</t>
        </is>
      </c>
      <c r="I69" s="21" t="inlineStr">
        <is>
          <t>N/A</t>
        </is>
      </c>
      <c r="J69" s="21" t="n">
        <v>1</v>
      </c>
      <c r="K69" s="21" t="n">
        <v>2</v>
      </c>
      <c r="L69" s="21" t="inlineStr">
        <is>
          <t>27.10.2024 18:05:09</t>
        </is>
      </c>
      <c r="M69" s="21" t="inlineStr">
        <is>
          <t>7 min</t>
        </is>
      </c>
      <c r="N69" s="21" t="inlineStr">
        <is>
          <t xml:space="preserve">         26K            37K             4K</t>
        </is>
      </c>
      <c r="O69" s="21" t="inlineStr">
        <is>
          <t>5DyDEtnf47iGNgb1Tqxc34BtPXo4M6Ta8L8cacMZpump</t>
        </is>
      </c>
      <c r="P69" s="21">
        <f>HYPERLINK("https://photon-sol.tinyastro.io/en/lp/5DyDEtnf47iGNgb1Tqxc34BtPXo4M6Ta8L8cacMZpump?handle=676050794bc1b1657a56b", "View")</f>
        <v/>
      </c>
    </row>
    <row r="70">
      <c r="A70" s="16" t="inlineStr">
        <is>
          <t>BanDoge</t>
        </is>
      </c>
      <c r="B70" s="17" t="n">
        <v>3551020</v>
      </c>
      <c r="C70" s="17" t="n">
        <v>3551020</v>
      </c>
      <c r="D70" s="17" t="inlineStr">
        <is>
          <t>0.002010</t>
        </is>
      </c>
      <c r="E70" s="17" t="inlineStr">
        <is>
          <t>0.497 SOL</t>
        </is>
      </c>
      <c r="F70" s="17" t="inlineStr">
        <is>
          <t>0.112 SOL</t>
        </is>
      </c>
      <c r="G70" s="23" t="inlineStr">
        <is>
          <t>-0.387 SOL</t>
        </is>
      </c>
      <c r="H70" s="23" t="inlineStr">
        <is>
          <t>-77.56%</t>
        </is>
      </c>
      <c r="I70" s="17" t="inlineStr">
        <is>
          <t>N/A</t>
        </is>
      </c>
      <c r="J70" s="17" t="n">
        <v>1</v>
      </c>
      <c r="K70" s="17" t="n">
        <v>1</v>
      </c>
      <c r="L70" s="17" t="inlineStr">
        <is>
          <t>27.10.2024 17:55:13</t>
        </is>
      </c>
      <c r="M70" s="17" t="inlineStr">
        <is>
          <t>2 min</t>
        </is>
      </c>
      <c r="N70" s="17" t="inlineStr">
        <is>
          <t xml:space="preserve">         25K             5K             5K</t>
        </is>
      </c>
      <c r="O70" s="17" t="inlineStr">
        <is>
          <t>AapNGxDqwSiqNAvLdLZR9yuyenaNPKjisnh5oPMepump</t>
        </is>
      </c>
      <c r="P70" s="17">
        <f>HYPERLINK("https://photon-sol.tinyastro.io/en/lp/AapNGxDqwSiqNAvLdLZR9yuyenaNPKjisnh5oPMepump?handle=676050794bc1b1657a56b", "View")</f>
        <v/>
      </c>
    </row>
    <row r="71">
      <c r="A71" s="20" t="inlineStr">
        <is>
          <t>TWA2024</t>
        </is>
      </c>
      <c r="B71" s="21" t="n">
        <v>5775811</v>
      </c>
      <c r="C71" s="21" t="n">
        <v>5775811</v>
      </c>
      <c r="D71" s="21" t="inlineStr">
        <is>
          <t>0.002010</t>
        </is>
      </c>
      <c r="E71" s="21" t="inlineStr">
        <is>
          <t>0.509 SOL</t>
        </is>
      </c>
      <c r="F71" s="21" t="inlineStr">
        <is>
          <t>0.295 SOL</t>
        </is>
      </c>
      <c r="G71" s="25" t="inlineStr">
        <is>
          <t>-0.216 SOL</t>
        </is>
      </c>
      <c r="H71" s="25" t="inlineStr">
        <is>
          <t>-42.21%</t>
        </is>
      </c>
      <c r="I71" s="21" t="inlineStr">
        <is>
          <t>N/A</t>
        </is>
      </c>
      <c r="J71" s="21" t="n">
        <v>1</v>
      </c>
      <c r="K71" s="21" t="n">
        <v>1</v>
      </c>
      <c r="L71" s="21" t="inlineStr">
        <is>
          <t>27.10.2024 16:49:23</t>
        </is>
      </c>
      <c r="M71" s="21" t="inlineStr">
        <is>
          <t>3 hours</t>
        </is>
      </c>
      <c r="N71" s="21" t="inlineStr">
        <is>
          <t xml:space="preserve">         16K             9K             5K</t>
        </is>
      </c>
      <c r="O71" s="21" t="inlineStr">
        <is>
          <t>FmpwM96nYw2sGUqvrPDJDWjXmvPFGRyvVVataBZxpump</t>
        </is>
      </c>
      <c r="P71" s="21">
        <f>HYPERLINK("https://photon-sol.tinyastro.io/en/lp/FmpwM96nYw2sGUqvrPDJDWjXmvPFGRyvVVataBZxpump?handle=676050794bc1b1657a56b", "View")</f>
        <v/>
      </c>
    </row>
    <row r="72">
      <c r="A72" s="16" t="inlineStr">
        <is>
          <t>T1</t>
        </is>
      </c>
      <c r="B72" s="17" t="n">
        <v>1967568</v>
      </c>
      <c r="C72" s="17" t="n">
        <v>0</v>
      </c>
      <c r="D72" s="17" t="inlineStr">
        <is>
          <t>0.001010</t>
        </is>
      </c>
      <c r="E72" s="17" t="inlineStr">
        <is>
          <t>0.105 SOL</t>
        </is>
      </c>
      <c r="F72" s="17" t="inlineStr">
        <is>
          <t>0.000 SOL</t>
        </is>
      </c>
      <c r="G72" s="18" t="inlineStr">
        <is>
          <t>-0.106 SOL</t>
        </is>
      </c>
      <c r="H72" s="18" t="inlineStr">
        <is>
          <t>0.00%</t>
        </is>
      </c>
      <c r="I72" s="17" t="inlineStr">
        <is>
          <t>1,967,568</t>
        </is>
      </c>
      <c r="J72" s="17" t="n">
        <v>1</v>
      </c>
      <c r="K72" s="17" t="n">
        <v>0</v>
      </c>
      <c r="L72" s="17" t="inlineStr">
        <is>
          <t>27.10.2024 16:24:25</t>
        </is>
      </c>
      <c r="M72" s="19" t="inlineStr">
        <is>
          <t>0 sec</t>
        </is>
      </c>
      <c r="N72" s="17" t="inlineStr">
        <is>
          <t xml:space="preserve">          9K             9K            11K</t>
        </is>
      </c>
      <c r="O72" s="17" t="inlineStr">
        <is>
          <t>XbVkny6kZtrts6RBghbGFM6nqZxXZkhJYfg9vq2pump</t>
        </is>
      </c>
      <c r="P72" s="17">
        <f>HYPERLINK("https://photon-sol.tinyastro.io/en/lp/XbVkny6kZtrts6RBghbGFM6nqZxXZkhJYfg9vq2pump?handle=676050794bc1b1657a56b", "View")</f>
        <v/>
      </c>
    </row>
    <row r="73">
      <c r="A73" s="20" t="inlineStr">
        <is>
          <t>PIC</t>
        </is>
      </c>
      <c r="B73" s="21" t="n">
        <v>2148291</v>
      </c>
      <c r="C73" s="21" t="n">
        <v>2148291</v>
      </c>
      <c r="D73" s="21" t="inlineStr">
        <is>
          <t>0.003020</t>
        </is>
      </c>
      <c r="E73" s="21" t="inlineStr">
        <is>
          <t>0.207 SOL</t>
        </is>
      </c>
      <c r="F73" s="21" t="inlineStr">
        <is>
          <t>0.064 SOL</t>
        </is>
      </c>
      <c r="G73" s="23" t="inlineStr">
        <is>
          <t>-0.146 SOL</t>
        </is>
      </c>
      <c r="H73" s="23" t="inlineStr">
        <is>
          <t>-69.30%</t>
        </is>
      </c>
      <c r="I73" s="21" t="inlineStr">
        <is>
          <t>N/A</t>
        </is>
      </c>
      <c r="J73" s="21" t="n">
        <v>2</v>
      </c>
      <c r="K73" s="21" t="n">
        <v>1</v>
      </c>
      <c r="L73" s="21" t="inlineStr">
        <is>
          <t>27.10.2024 16:17:40</t>
        </is>
      </c>
      <c r="M73" s="21" t="inlineStr">
        <is>
          <t>20 min</t>
        </is>
      </c>
      <c r="N73" s="21" t="inlineStr">
        <is>
          <t xml:space="preserve">         19K             5K             3K</t>
        </is>
      </c>
      <c r="O73" s="21" t="inlineStr">
        <is>
          <t>GSe5d5ZetEKp2AzJ6VUqSsbFC6UhUVDZYGXtTGRQpump</t>
        </is>
      </c>
      <c r="P73" s="21">
        <f>HYPERLINK("https://photon-sol.tinyastro.io/en/lp/GSe5d5ZetEKp2AzJ6VUqSsbFC6UhUVDZYGXtTGRQpump?handle=676050794bc1b1657a56b", "View")</f>
        <v/>
      </c>
    </row>
    <row r="74">
      <c r="A74" s="16" t="inlineStr">
        <is>
          <t>NAV</t>
        </is>
      </c>
      <c r="B74" s="17" t="n">
        <v>3288149</v>
      </c>
      <c r="C74" s="17" t="n">
        <v>3288149</v>
      </c>
      <c r="D74" s="17" t="inlineStr">
        <is>
          <t>0.004010</t>
        </is>
      </c>
      <c r="E74" s="17" t="inlineStr">
        <is>
          <t>0.509 SOL</t>
        </is>
      </c>
      <c r="F74" s="17" t="inlineStr">
        <is>
          <t>0.317 SOL</t>
        </is>
      </c>
      <c r="G74" s="25" t="inlineStr">
        <is>
          <t>-0.196 SOL</t>
        </is>
      </c>
      <c r="H74" s="25" t="inlineStr">
        <is>
          <t>-38.26%</t>
        </is>
      </c>
      <c r="I74" s="17" t="inlineStr">
        <is>
          <t>N/A</t>
        </is>
      </c>
      <c r="J74" s="17" t="n">
        <v>1</v>
      </c>
      <c r="K74" s="17" t="n">
        <v>1</v>
      </c>
      <c r="L74" s="17" t="inlineStr">
        <is>
          <t>27.10.2024 15:07:13</t>
        </is>
      </c>
      <c r="M74" s="17" t="inlineStr">
        <is>
          <t>1 hours</t>
        </is>
      </c>
      <c r="N74" s="17" t="inlineStr">
        <is>
          <t xml:space="preserve">         26K            18K             5K</t>
        </is>
      </c>
      <c r="O74" s="17" t="inlineStr">
        <is>
          <t>ENHbnNEyUQJpbGVCzqoaw572PLpeakpLebtAaZw5pump</t>
        </is>
      </c>
      <c r="P74" s="17">
        <f>HYPERLINK("https://photon-sol.tinyastro.io/en/lp/ENHbnNEyUQJpbGVCzqoaw572PLpeakpLebtAaZw5pump?handle=676050794bc1b1657a56b", "View")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HYPERLINK("https://gmgn.ai/sol/address/GbZsEfC5krJMa1gQHvVuBCVGeSbsqR2Sxr151nCfLKa8", "GMGN")</f>
        <v/>
      </c>
    </row>
    <row r="2">
      <c r="A2" s="3" t="inlineStr">
        <is>
          <t>GbZsEfC5krJMa1gQHvVuBCVGeSbsqR2Sxr151nCfLKa8</t>
        </is>
      </c>
      <c r="B2" s="3" t="inlineStr">
        <is>
          <t>8.55 SOL</t>
        </is>
      </c>
      <c r="C2" s="3" t="inlineStr">
        <is>
          <t>80%</t>
        </is>
      </c>
      <c r="D2" s="3" t="inlineStr">
        <is>
          <t>197%</t>
        </is>
      </c>
      <c r="E2" s="3" t="inlineStr">
        <is>
          <t>8.06 SOL</t>
        </is>
      </c>
      <c r="F2" s="3" t="inlineStr">
        <is>
          <t>0 (0%)</t>
        </is>
      </c>
      <c r="G2" s="3" t="inlineStr">
        <is>
          <t>0 (0%)</t>
        </is>
      </c>
      <c r="H2" s="3" t="n">
        <v>5</v>
      </c>
      <c r="I2" s="3" t="n">
        <v>0</v>
      </c>
      <c r="J2" s="3" t="inlineStr">
        <is>
          <t>23 h</t>
        </is>
      </c>
      <c r="K2" s="3" t="inlineStr">
        <is>
          <t>7 min</t>
        </is>
      </c>
      <c r="L2" s="3" t="n">
        <v>5</v>
      </c>
      <c r="M2" s="3" t="n">
        <v>2</v>
      </c>
      <c r="N2" s="3">
        <f>HYPERLINK("https://solscan.io/account/GbZsEfC5krJMa1gQHvVuBCVGeSbsqR2Sxr151nCfLKa8", "Solscan")</f>
        <v/>
      </c>
    </row>
    <row r="3">
      <c r="A3" s="7" t="inlineStr">
        <is>
          <t>Median ROI</t>
        </is>
      </c>
      <c r="B3" s="4" t="inlineStr">
        <is>
          <t>72.34%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HYPERLINK("https://birdeye.so/profile/GbZsEfC5krJMa1gQHvVuBCVGeSbsqR2Sxr151nCfLKa8", "Birdeye")</f>
        <v/>
      </c>
    </row>
    <row r="4">
      <c r="A4" s="7" t="inlineStr">
        <is>
          <t>Rockets percent</t>
        </is>
      </c>
      <c r="B4" s="4" t="inlineStr">
        <is>
          <t>40%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20.0%</t>
        </is>
      </c>
      <c r="C11" s="7" t="inlineStr">
        <is>
          <t>20.0%</t>
        </is>
      </c>
      <c r="D11" s="7" t="inlineStr">
        <is>
          <t>20.0%</t>
        </is>
      </c>
      <c r="E11" s="7" t="inlineStr">
        <is>
          <t>20.0%</t>
        </is>
      </c>
      <c r="F11" s="7" t="inlineStr">
        <is>
          <t>20.0%</t>
        </is>
      </c>
      <c r="G11" s="7" t="inlineStr">
        <is>
          <t>0.0%</t>
        </is>
      </c>
      <c r="H11" s="3" t="n"/>
      <c r="I11" s="3" t="inlineStr">
        <is>
          <t>5k-30k</t>
        </is>
      </c>
      <c r="J11" s="3" t="inlineStr">
        <is>
          <t>4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6.5 SOL</t>
        </is>
      </c>
      <c r="C12" s="7" t="inlineStr">
        <is>
          <t>1.1 SOL</t>
        </is>
      </c>
      <c r="D12" s="7" t="inlineStr">
        <is>
          <t>0.6 SOL</t>
        </is>
      </c>
      <c r="E12" s="7" t="inlineStr">
        <is>
          <t>0.3 SOL</t>
        </is>
      </c>
      <c r="F12" s="7" t="inlineStr">
        <is>
          <t>-0.4 SOL</t>
        </is>
      </c>
      <c r="G12" s="7" t="inlineStr">
        <is>
          <t>0.0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9.0K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Liberty</t>
        </is>
      </c>
      <c r="B20" s="17" t="n">
        <v>8959841</v>
      </c>
      <c r="C20" s="17" t="n">
        <v>8959841</v>
      </c>
      <c r="D20" s="17" t="inlineStr">
        <is>
          <t>0.160080</t>
        </is>
      </c>
      <c r="E20" s="17" t="inlineStr">
        <is>
          <t>0.601 SOL</t>
        </is>
      </c>
      <c r="F20" s="17" t="inlineStr">
        <is>
          <t>1.311 SOL</t>
        </is>
      </c>
      <c r="G20" s="24" t="inlineStr">
        <is>
          <t>0.551 SOL</t>
        </is>
      </c>
      <c r="H20" s="24" t="inlineStr">
        <is>
          <t>72.34%</t>
        </is>
      </c>
      <c r="I20" s="17" t="inlineStr">
        <is>
          <t>N/A</t>
        </is>
      </c>
      <c r="J20" s="17" t="n">
        <v>1</v>
      </c>
      <c r="K20" s="17" t="n">
        <v>15</v>
      </c>
      <c r="L20" s="17" t="inlineStr">
        <is>
          <t>30.10.2024 13:20:51</t>
        </is>
      </c>
      <c r="M20" s="17" t="inlineStr">
        <is>
          <t>4 min</t>
        </is>
      </c>
      <c r="N20" s="17" t="inlineStr">
        <is>
          <t xml:space="preserve">         12K            14K             5K</t>
        </is>
      </c>
      <c r="O20" s="17" t="inlineStr">
        <is>
          <t>CqBmg5ZUoaPg5Yx5uAKYzpyRcXme2UpVmZ8U5iotpump</t>
        </is>
      </c>
      <c r="P20" s="17">
        <f>HYPERLINK("https://photon-sol.tinyastro.io/en/lp/CqBmg5ZUoaPg5Yx5uAKYzpyRcXme2UpVmZ8U5iotpump?handle=676050794bc1b1657a56b", "View")</f>
        <v/>
      </c>
    </row>
    <row r="21">
      <c r="A21" s="20" t="inlineStr">
        <is>
          <t>Torin</t>
        </is>
      </c>
      <c r="B21" s="21" t="n">
        <v>10163367</v>
      </c>
      <c r="C21" s="21" t="n">
        <v>10163367</v>
      </c>
      <c r="D21" s="21" t="inlineStr">
        <is>
          <t>0.120060</t>
        </is>
      </c>
      <c r="E21" s="21" t="inlineStr">
        <is>
          <t>0.520 SOL</t>
        </is>
      </c>
      <c r="F21" s="21" t="inlineStr">
        <is>
          <t>1.722 SOL</t>
        </is>
      </c>
      <c r="G21" s="24" t="inlineStr">
        <is>
          <t>1.082 SOL</t>
        </is>
      </c>
      <c r="H21" s="24" t="inlineStr">
        <is>
          <t>168.89%</t>
        </is>
      </c>
      <c r="I21" s="21" t="inlineStr">
        <is>
          <t>N/A</t>
        </is>
      </c>
      <c r="J21" s="21" t="n">
        <v>1</v>
      </c>
      <c r="K21" s="21" t="n">
        <v>11</v>
      </c>
      <c r="L21" s="21" t="inlineStr">
        <is>
          <t>30.10.2024 06:27:45</t>
        </is>
      </c>
      <c r="M21" s="21" t="inlineStr">
        <is>
          <t>7 min</t>
        </is>
      </c>
      <c r="N21" s="21" t="inlineStr">
        <is>
          <t xml:space="preserve">          9K            16K             3K</t>
        </is>
      </c>
      <c r="O21" s="21" t="inlineStr">
        <is>
          <t>HxdzGHd2jLF12UHjgFKCb6zMzgfqGnwRvwKweXmXpump</t>
        </is>
      </c>
      <c r="P21" s="21">
        <f>HYPERLINK("https://photon-sol.tinyastro.io/en/lp/HxdzGHd2jLF12UHjgFKCb6zMzgfqGnwRvwKweXmXpump?handle=676050794bc1b1657a56b", "View")</f>
        <v/>
      </c>
    </row>
    <row r="22">
      <c r="A22" s="16" t="inlineStr">
        <is>
          <t>Torin</t>
        </is>
      </c>
      <c r="B22" s="17" t="n">
        <v>8831328</v>
      </c>
      <c r="C22" s="17" t="n">
        <v>8831328</v>
      </c>
      <c r="D22" s="17" t="inlineStr">
        <is>
          <t>0.590290</t>
        </is>
      </c>
      <c r="E22" s="17" t="inlineStr">
        <is>
          <t>0.480 SOL</t>
        </is>
      </c>
      <c r="F22" s="17" t="inlineStr">
        <is>
          <t>7.530 SOL</t>
        </is>
      </c>
      <c r="G22" s="24" t="inlineStr">
        <is>
          <t>6.460 SOL</t>
        </is>
      </c>
      <c r="H22" s="24" t="inlineStr">
        <is>
          <t>603.34%</t>
        </is>
      </c>
      <c r="I22" s="17" t="inlineStr">
        <is>
          <t>N/A</t>
        </is>
      </c>
      <c r="J22" s="17" t="n">
        <v>1</v>
      </c>
      <c r="K22" s="17" t="n">
        <v>58</v>
      </c>
      <c r="L22" s="17" t="inlineStr">
        <is>
          <t>30.10.2024 06:17:47</t>
        </is>
      </c>
      <c r="M22" s="17" t="inlineStr">
        <is>
          <t>7 min</t>
        </is>
      </c>
      <c r="N22" s="17" t="inlineStr">
        <is>
          <t xml:space="preserve">          9K           100K             7K</t>
        </is>
      </c>
      <c r="O22" s="17" t="inlineStr">
        <is>
          <t>ALKTKLRTyF3P83KMCAvGEtY4CsoMzvh1k38uixCgpump</t>
        </is>
      </c>
      <c r="P22" s="17">
        <f>HYPERLINK("https://photon-sol.tinyastro.io/en/lp/ALKTKLRTyF3P83KMCAvGEtY4CsoMzvh1k38uixCgpump?handle=676050794bc1b1657a56b", "View")</f>
        <v/>
      </c>
    </row>
    <row r="23">
      <c r="A23" s="20" t="inlineStr">
        <is>
          <t>MOLANG</t>
        </is>
      </c>
      <c r="B23" s="21" t="n">
        <v>1793028</v>
      </c>
      <c r="C23" s="21" t="n">
        <v>1793028</v>
      </c>
      <c r="D23" s="21" t="inlineStr">
        <is>
          <t>0.220020</t>
        </is>
      </c>
      <c r="E23" s="21" t="inlineStr">
        <is>
          <t>0.570 SOL</t>
        </is>
      </c>
      <c r="F23" s="21" t="inlineStr">
        <is>
          <t>0.425 SOL</t>
        </is>
      </c>
      <c r="G23" s="25" t="inlineStr">
        <is>
          <t>-0.365 SOL</t>
        </is>
      </c>
      <c r="H23" s="25" t="inlineStr">
        <is>
          <t>-46.16%</t>
        </is>
      </c>
      <c r="I23" s="21" t="inlineStr">
        <is>
          <t>N/A</t>
        </is>
      </c>
      <c r="J23" s="21" t="n">
        <v>2</v>
      </c>
      <c r="K23" s="21" t="n">
        <v>2</v>
      </c>
      <c r="L23" s="21" t="inlineStr">
        <is>
          <t>29.10.2024 14:48:15</t>
        </is>
      </c>
      <c r="M23" s="21" t="inlineStr">
        <is>
          <t>10 min</t>
        </is>
      </c>
      <c r="N23" s="21" t="inlineStr">
        <is>
          <t xml:space="preserve">         58K            32K             4K</t>
        </is>
      </c>
      <c r="O23" s="21" t="inlineStr">
        <is>
          <t>BPFXTGBjoARa89gbSvbp7Dy6cQwgGc7efW1jE8nTpump</t>
        </is>
      </c>
      <c r="P23" s="21">
        <f>HYPERLINK("https://photon-sol.tinyastro.io/en/lp/BPFXTGBjoARa89gbSvbp7Dy6cQwgGc7efW1jE8nTpump?handle=676050794bc1b1657a56b", "View")</f>
        <v/>
      </c>
    </row>
    <row r="24">
      <c r="A24" s="16" t="inlineStr">
        <is>
          <t>Trina</t>
        </is>
      </c>
      <c r="B24" s="17" t="n">
        <v>11384893</v>
      </c>
      <c r="C24" s="17" t="n">
        <v>11384893</v>
      </c>
      <c r="D24" s="17" t="inlineStr">
        <is>
          <t>0.350130</t>
        </is>
      </c>
      <c r="E24" s="17" t="inlineStr">
        <is>
          <t>0.487 SOL</t>
        </is>
      </c>
      <c r="F24" s="17" t="inlineStr">
        <is>
          <t>1.170 SOL</t>
        </is>
      </c>
      <c r="G24" s="22" t="inlineStr">
        <is>
          <t>0.333 SOL</t>
        </is>
      </c>
      <c r="H24" s="22" t="inlineStr">
        <is>
          <t>39.79%</t>
        </is>
      </c>
      <c r="I24" s="17" t="inlineStr">
        <is>
          <t>N/A</t>
        </is>
      </c>
      <c r="J24" s="17" t="n">
        <v>1</v>
      </c>
      <c r="K24" s="17" t="n">
        <v>25</v>
      </c>
      <c r="L24" s="17" t="inlineStr">
        <is>
          <t>29.10.2024 13:33:37</t>
        </is>
      </c>
      <c r="M24" s="17" t="inlineStr">
        <is>
          <t>9 min</t>
        </is>
      </c>
      <c r="N24" s="17" t="inlineStr">
        <is>
          <t xml:space="preserve">          7K            11K             4K</t>
        </is>
      </c>
      <c r="O24" s="17" t="inlineStr">
        <is>
          <t>DirQ7FDi1C5SZCy8ai1GTSvnm9o8MDf9s4C4cExzpump</t>
        </is>
      </c>
      <c r="P24" s="17">
        <f>HYPERLINK("https://photon-sol.tinyastro.io/en/lp/DirQ7FDi1C5SZCy8ai1GTSvnm9o8MDf9s4C4cExzpump?handle=676050794bc1b1657a56b", "View")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7" t="inlineStr">
        <is>
          <t>Wallet</t>
        </is>
      </c>
      <c r="B1" s="7" t="inlineStr">
        <is>
          <t>Balance</t>
        </is>
      </c>
      <c r="C1" s="7" t="inlineStr">
        <is>
          <t>WinRate</t>
        </is>
      </c>
      <c r="D1" s="7" t="inlineStr">
        <is>
          <t>ROI</t>
        </is>
      </c>
      <c r="E1" s="7" t="inlineStr">
        <is>
          <t>PnL</t>
        </is>
      </c>
      <c r="F1" s="7" t="inlineStr">
        <is>
          <t>Fast Trades</t>
        </is>
      </c>
      <c r="G1" s="7" t="inlineStr">
        <is>
          <t>Sold More Than Bought</t>
        </is>
      </c>
      <c r="H1" s="7" t="inlineStr">
        <is>
          <t>Tokens Total</t>
        </is>
      </c>
      <c r="I1" s="7" t="inlineStr">
        <is>
          <t>Scam Tokens</t>
        </is>
      </c>
      <c r="J1" s="7" t="inlineStr">
        <is>
          <t>Trades Period</t>
        </is>
      </c>
      <c r="K1" s="7" t="inlineStr">
        <is>
          <t>Duration Avg</t>
        </is>
      </c>
      <c r="L1" s="7" t="inlineStr">
        <is>
          <t>PumpFun Tokens</t>
        </is>
      </c>
      <c r="M1" s="7" t="inlineStr">
        <is>
          <t>Not Swap Tx</t>
        </is>
      </c>
      <c r="N1" s="7">
        <f>HYPERLINK("https://gmgn.ai/sol/address/55V4hMbPjQDQcGM4RM4hQWJwbgMvPD1SKRGunMDkrZJy", "GMGN")</f>
        <v/>
      </c>
    </row>
    <row r="2">
      <c r="A2" s="3" t="inlineStr">
        <is>
          <t>55V4hMbPjQDQcGM4RM4hQWJwbgMvPD1SKRGunMDkrZJy</t>
        </is>
      </c>
      <c r="B2" s="3" t="inlineStr">
        <is>
          <t>1.69 SOL</t>
        </is>
      </c>
      <c r="C2" s="3" t="inlineStr">
        <is>
          <t>67%</t>
        </is>
      </c>
      <c r="D2" s="3" t="inlineStr">
        <is>
          <t>81%</t>
        </is>
      </c>
      <c r="E2" s="3" t="inlineStr">
        <is>
          <t>26.74 SOL</t>
        </is>
      </c>
      <c r="F2" s="3" t="inlineStr">
        <is>
          <t>4 (13%)</t>
        </is>
      </c>
      <c r="G2" s="3" t="inlineStr">
        <is>
          <t>0 (0%)</t>
        </is>
      </c>
      <c r="H2" s="3" t="n">
        <v>30</v>
      </c>
      <c r="I2" s="3" t="n">
        <v>0</v>
      </c>
      <c r="J2" s="3" t="inlineStr">
        <is>
          <t>13 days</t>
        </is>
      </c>
      <c r="K2" s="3" t="inlineStr">
        <is>
          <t>8 min</t>
        </is>
      </c>
      <c r="L2" s="3" t="n">
        <v>18</v>
      </c>
      <c r="M2" s="3" t="n">
        <v>84</v>
      </c>
      <c r="N2" s="3">
        <f>HYPERLINK("https://solscan.io/account/55V4hMbPjQDQcGM4RM4hQWJwbgMvPD1SKRGunMDkrZJy", "Solscan")</f>
        <v/>
      </c>
    </row>
    <row r="3">
      <c r="A3" s="7" t="inlineStr">
        <is>
          <t>Median ROI</t>
        </is>
      </c>
      <c r="B3" s="4" t="inlineStr">
        <is>
          <t>8.43%</t>
        </is>
      </c>
      <c r="C3" s="3" t="inlineStr"/>
      <c r="D3" s="7" t="inlineStr">
        <is>
          <t>Unrealized ROI</t>
        </is>
      </c>
      <c r="E3" s="7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HYPERLINK("https://birdeye.so/profile/55V4hMbPjQDQcGM4RM4hQWJwbgMvPD1SKRGunMDkrZJy", "Birdeye")</f>
        <v/>
      </c>
    </row>
    <row r="4">
      <c r="A4" s="7" t="inlineStr">
        <is>
          <t>Rockets percent</t>
        </is>
      </c>
      <c r="B4" s="3" t="inlineStr">
        <is>
          <t>7%</t>
        </is>
      </c>
      <c r="C4" s="3" t="inlineStr"/>
      <c r="D4" s="3" t="inlineStr">
        <is>
          <t>1%</t>
        </is>
      </c>
      <c r="E4" s="3" t="inlineStr">
        <is>
          <t>0.17 SOL</t>
        </is>
      </c>
      <c r="F4" s="3" t="inlineStr"/>
      <c r="G4" s="3" t="inlineStr"/>
      <c r="H4" s="3" t="inlineStr"/>
      <c r="I4" s="7" t="inlineStr"/>
      <c r="J4" s="3" t="inlineStr"/>
      <c r="K4" s="3" t="inlineStr"/>
      <c r="L4" s="3" t="inlineStr"/>
      <c r="M4" s="3" t="inlineStr"/>
      <c r="N4" s="8">
        <f>HYPERLINK("#Summary!A1", "Back")</f>
        <v/>
      </c>
    </row>
    <row r="5">
      <c r="A5" s="7" t="inlineStr">
        <is>
          <t>Wallet days creation:</t>
        </is>
      </c>
      <c r="B5" s="3" t="inlineStr">
        <is>
          <t>-1</t>
        </is>
      </c>
      <c r="C5" s="3" t="n"/>
      <c r="D5" s="3" t="n"/>
      <c r="E5" s="3" t="n"/>
      <c r="F5" s="3" t="n"/>
      <c r="G5" s="3" t="n"/>
      <c r="H5" s="3" t="n"/>
      <c r="I5" s="7" t="n"/>
      <c r="J5" s="3" t="n"/>
      <c r="K5" s="3" t="n"/>
      <c r="L5" s="3" t="n"/>
      <c r="M5" s="3" t="n"/>
      <c r="N5" s="3" t="n"/>
    </row>
    <row r="6">
      <c r="A6" s="7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7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7" t="n"/>
      <c r="J7" s="3" t="n"/>
      <c r="K7" s="3" t="n"/>
      <c r="L7" s="3" t="n"/>
      <c r="M7" s="3" t="n"/>
      <c r="N7" s="3" t="n"/>
    </row>
    <row r="8">
      <c r="A8" s="7" t="n"/>
      <c r="B8" s="3" t="n"/>
      <c r="C8" s="3" t="n"/>
      <c r="D8" s="3" t="n"/>
      <c r="E8" s="3" t="n"/>
      <c r="F8" s="3" t="n"/>
      <c r="G8" s="3" t="n"/>
      <c r="H8" s="3" t="n"/>
      <c r="I8" s="7" t="n"/>
      <c r="J8" s="3" t="n"/>
      <c r="K8" s="3" t="n"/>
      <c r="L8" s="3" t="n"/>
      <c r="M8" s="3" t="n"/>
      <c r="N8" s="3" t="n"/>
    </row>
    <row r="9">
      <c r="A9" s="7" t="inlineStr">
        <is>
          <t>Profit / Distribution</t>
        </is>
      </c>
      <c r="B9" s="9" t="inlineStr">
        <is>
          <t>500%&gt;</t>
        </is>
      </c>
      <c r="C9" s="10" t="inlineStr">
        <is>
          <t>500%-100%</t>
        </is>
      </c>
      <c r="D9" s="11" t="inlineStr">
        <is>
          <t>100%-50%</t>
        </is>
      </c>
      <c r="E9" s="12" t="inlineStr">
        <is>
          <t>50%-0%</t>
        </is>
      </c>
      <c r="F9" s="13" t="inlineStr">
        <is>
          <t>0%--50%</t>
        </is>
      </c>
      <c r="G9" s="14" t="inlineStr">
        <is>
          <t>-50%--100%</t>
        </is>
      </c>
      <c r="H9" s="3" t="n"/>
      <c r="I9" s="7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7" t="inlineStr">
        <is>
          <t>Count</t>
        </is>
      </c>
      <c r="B10" s="7" t="n">
        <v>1</v>
      </c>
      <c r="C10" s="7" t="n">
        <v>1</v>
      </c>
      <c r="D10" s="7" t="n">
        <v>6</v>
      </c>
      <c r="E10" s="7" t="n">
        <v>12</v>
      </c>
      <c r="F10" s="7" t="n">
        <v>8</v>
      </c>
      <c r="G10" s="7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7" t="inlineStr">
        <is>
          <t>Percent %</t>
        </is>
      </c>
      <c r="B11" s="7" t="inlineStr">
        <is>
          <t>3.3%</t>
        </is>
      </c>
      <c r="C11" s="7" t="inlineStr">
        <is>
          <t>3.3%</t>
        </is>
      </c>
      <c r="D11" s="7" t="inlineStr">
        <is>
          <t>20.0%</t>
        </is>
      </c>
      <c r="E11" s="7" t="inlineStr">
        <is>
          <t>40.0%</t>
        </is>
      </c>
      <c r="F11" s="7" t="inlineStr">
        <is>
          <t>26.7%</t>
        </is>
      </c>
      <c r="G11" s="7" t="inlineStr">
        <is>
          <t>6.7%</t>
        </is>
      </c>
      <c r="H11" s="3" t="n"/>
      <c r="I11" s="3" t="inlineStr">
        <is>
          <t>5k-30k</t>
        </is>
      </c>
      <c r="J11" s="3" t="inlineStr">
        <is>
          <t>18</t>
        </is>
      </c>
      <c r="K11" s="3" t="n"/>
      <c r="L11" s="3" t="n"/>
      <c r="M11" s="3" t="n"/>
      <c r="N11" s="3" t="n"/>
    </row>
    <row r="12">
      <c r="A12" s="7" t="inlineStr">
        <is>
          <t>PnL (SOL)</t>
        </is>
      </c>
      <c r="B12" s="7" t="inlineStr">
        <is>
          <t>18.3 SOL</t>
        </is>
      </c>
      <c r="C12" s="7" t="inlineStr">
        <is>
          <t>1.6 SOL</t>
        </is>
      </c>
      <c r="D12" s="7" t="inlineStr">
        <is>
          <t>6.3 SOL</t>
        </is>
      </c>
      <c r="E12" s="7" t="inlineStr">
        <is>
          <t>2.3 SOL</t>
        </is>
      </c>
      <c r="F12" s="7" t="inlineStr">
        <is>
          <t>-0.8 SOL</t>
        </is>
      </c>
      <c r="G12" s="7" t="inlineStr">
        <is>
          <t>-0.9 SOL</t>
        </is>
      </c>
      <c r="H12" s="3" t="n"/>
      <c r="I12" s="3" t="inlineStr">
        <is>
          <t>30k-100k</t>
        </is>
      </c>
      <c r="J12" s="3" t="inlineStr">
        <is>
          <t>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7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5" t="inlineStr">
        <is>
          <t>Token</t>
        </is>
      </c>
      <c r="B19" s="15" t="inlineStr">
        <is>
          <t>SPL Income</t>
        </is>
      </c>
      <c r="C19" s="15" t="inlineStr">
        <is>
          <t>SPL Outcome</t>
        </is>
      </c>
      <c r="D19" s="15" t="inlineStr">
        <is>
          <t>Fee</t>
        </is>
      </c>
      <c r="E19" s="15" t="inlineStr">
        <is>
          <t>Spent Sol</t>
        </is>
      </c>
      <c r="F19" s="15" t="inlineStr">
        <is>
          <t>Earned Sol</t>
        </is>
      </c>
      <c r="G19" s="15" t="inlineStr">
        <is>
          <t>Delta Sol</t>
        </is>
      </c>
      <c r="H19" s="15" t="inlineStr">
        <is>
          <t>Delta %</t>
        </is>
      </c>
      <c r="I19" s="15" t="inlineStr">
        <is>
          <t>Left Position</t>
        </is>
      </c>
      <c r="J19" s="15" t="inlineStr">
        <is>
          <t>Buys</t>
        </is>
      </c>
      <c r="K19" s="15" t="inlineStr">
        <is>
          <t>Sells</t>
        </is>
      </c>
      <c r="L19" s="15" t="inlineStr">
        <is>
          <t>Last Trade</t>
        </is>
      </c>
      <c r="M19" s="15" t="inlineStr">
        <is>
          <t>Duration</t>
        </is>
      </c>
      <c r="N19" s="15" t="inlineStr">
        <is>
          <t>MCAP 1st Buy / Last Tx / Now</t>
        </is>
      </c>
      <c r="O19" s="15" t="inlineStr">
        <is>
          <t>Contract</t>
        </is>
      </c>
    </row>
    <row r="20">
      <c r="A20" s="16" t="inlineStr">
        <is>
          <t>capcore</t>
        </is>
      </c>
      <c r="B20" s="17" t="n">
        <v>18118699</v>
      </c>
      <c r="C20" s="17" t="n">
        <v>18118699</v>
      </c>
      <c r="D20" s="17" t="inlineStr">
        <is>
          <t>0.001210</t>
        </is>
      </c>
      <c r="E20" s="17" t="inlineStr">
        <is>
          <t>0.614 SOL</t>
        </is>
      </c>
      <c r="F20" s="17" t="inlineStr">
        <is>
          <t>0.717 SOL</t>
        </is>
      </c>
      <c r="G20" s="22" t="inlineStr">
        <is>
          <t>0.102 SOL</t>
        </is>
      </c>
      <c r="H20" s="22" t="inlineStr">
        <is>
          <t>16.57%</t>
        </is>
      </c>
      <c r="I20" s="17" t="inlineStr">
        <is>
          <t>N/A</t>
        </is>
      </c>
      <c r="J20" s="17" t="n">
        <v>1</v>
      </c>
      <c r="K20" s="17" t="n">
        <v>1</v>
      </c>
      <c r="L20" s="17" t="inlineStr">
        <is>
          <t>30.10.2024 00:46:23</t>
        </is>
      </c>
      <c r="M20" s="17" t="inlineStr">
        <is>
          <t>52 min</t>
        </is>
      </c>
      <c r="N20" s="17" t="inlineStr">
        <is>
          <t xml:space="preserve">        N/A           N/A           N/A</t>
        </is>
      </c>
      <c r="O20" s="17" t="inlineStr">
        <is>
          <t>5kQ4r5fERmhhQZjTp7ULkVpeKRwSx9QigwRLeGwvpump</t>
        </is>
      </c>
      <c r="P20" s="17">
        <f>HYPERLINK("https://photon-sol.tinyastro.io/en/lp/5kQ4r5fERmhhQZjTp7ULkVpeKRwSx9QigwRLeGwvpump?handle=676050794bc1b1657a56b", "View")</f>
        <v/>
      </c>
    </row>
    <row r="21">
      <c r="A21" s="20" t="inlineStr">
        <is>
          <t>ct</t>
        </is>
      </c>
      <c r="B21" s="21" t="n">
        <v>7581104</v>
      </c>
      <c r="C21" s="21" t="n">
        <v>7581104</v>
      </c>
      <c r="D21" s="21" t="inlineStr">
        <is>
          <t>0.001210</t>
        </is>
      </c>
      <c r="E21" s="21" t="inlineStr">
        <is>
          <t>0.614 SOL</t>
        </is>
      </c>
      <c r="F21" s="21" t="inlineStr">
        <is>
          <t>0.677 SOL</t>
        </is>
      </c>
      <c r="G21" s="22" t="inlineStr">
        <is>
          <t>0.062 SOL</t>
        </is>
      </c>
      <c r="H21" s="22" t="inlineStr">
        <is>
          <t>10.00%</t>
        </is>
      </c>
      <c r="I21" s="21" t="inlineStr">
        <is>
          <t>N/A</t>
        </is>
      </c>
      <c r="J21" s="21" t="n">
        <v>1</v>
      </c>
      <c r="K21" s="21" t="n">
        <v>1</v>
      </c>
      <c r="L21" s="21" t="inlineStr">
        <is>
          <t>29.10.2024 23:50:18</t>
        </is>
      </c>
      <c r="M21" s="21" t="inlineStr">
        <is>
          <t>1 min</t>
        </is>
      </c>
      <c r="N21" s="21" t="inlineStr">
        <is>
          <t xml:space="preserve">         14K            16K            13K</t>
        </is>
      </c>
      <c r="O21" s="21" t="inlineStr">
        <is>
          <t>GimSK2arRBpobD8WNs63m3pZWUZx2953nUgSLdDRpump</t>
        </is>
      </c>
      <c r="P21" s="21">
        <f>HYPERLINK("https://photon-sol.tinyastro.io/en/lp/GimSK2arRBpobD8WNs63m3pZWUZx2953nUgSLdDRpump?handle=676050794bc1b1657a56b", "View")</f>
        <v/>
      </c>
    </row>
    <row r="22">
      <c r="A22" s="16" t="inlineStr">
        <is>
          <t>Louis XIV</t>
        </is>
      </c>
      <c r="B22" s="17" t="n">
        <v>5134001</v>
      </c>
      <c r="C22" s="17" t="n">
        <v>5134001</v>
      </c>
      <c r="D22" s="17" t="inlineStr">
        <is>
          <t>0.001210</t>
        </is>
      </c>
      <c r="E22" s="17" t="inlineStr">
        <is>
          <t>0.608 SOL</t>
        </is>
      </c>
      <c r="F22" s="17" t="inlineStr">
        <is>
          <t>0.505 SOL</t>
        </is>
      </c>
      <c r="G22" s="25" t="inlineStr">
        <is>
          <t>-0.104 SOL</t>
        </is>
      </c>
      <c r="H22" s="25" t="inlineStr">
        <is>
          <t>-17.04%</t>
        </is>
      </c>
      <c r="I22" s="17" t="inlineStr">
        <is>
          <t>N/A</t>
        </is>
      </c>
      <c r="J22" s="17" t="n">
        <v>1</v>
      </c>
      <c r="K22" s="17" t="n">
        <v>1</v>
      </c>
      <c r="L22" s="17" t="inlineStr">
        <is>
          <t>29.10.2024 23:48:07</t>
        </is>
      </c>
      <c r="M22" s="17" t="inlineStr">
        <is>
          <t>14 min</t>
        </is>
      </c>
      <c r="N22" s="17" t="inlineStr">
        <is>
          <t xml:space="preserve">         21K            18K            13K</t>
        </is>
      </c>
      <c r="O22" s="17" t="inlineStr">
        <is>
          <t>34b3pMvjMC8s1R6dNEEKRn2WSRbo9BB1v9hDKzeSDgEC</t>
        </is>
      </c>
      <c r="P22" s="17">
        <f>HYPERLINK("https://dexscreener.com/solana/34b3pMvjMC8s1R6dNEEKRn2WSRbo9BB1v9hDKzeSDgEC", "View")</f>
        <v/>
      </c>
    </row>
    <row r="23">
      <c r="A23" s="20" t="inlineStr">
        <is>
          <t>ShoeCoin</t>
        </is>
      </c>
      <c r="B23" s="21" t="n">
        <v>17267508</v>
      </c>
      <c r="C23" s="21" t="n">
        <v>17267508</v>
      </c>
      <c r="D23" s="21" t="inlineStr">
        <is>
          <t>0.001210</t>
        </is>
      </c>
      <c r="E23" s="21" t="inlineStr">
        <is>
          <t>1.022 SOL</t>
        </is>
      </c>
      <c r="F23" s="21" t="inlineStr">
        <is>
          <t>0.932 SOL</t>
        </is>
      </c>
      <c r="G23" s="25" t="inlineStr">
        <is>
          <t>-0.091 SOL</t>
        </is>
      </c>
      <c r="H23" s="25" t="inlineStr">
        <is>
          <t>-8.87%</t>
        </is>
      </c>
      <c r="I23" s="21" t="inlineStr">
        <is>
          <t>N/A</t>
        </is>
      </c>
      <c r="J23" s="21" t="n">
        <v>1</v>
      </c>
      <c r="K23" s="21" t="n">
        <v>1</v>
      </c>
      <c r="L23" s="21" t="inlineStr">
        <is>
          <t>29.10.2024 22:09:16</t>
        </is>
      </c>
      <c r="M23" s="21" t="inlineStr">
        <is>
          <t>8 min</t>
        </is>
      </c>
      <c r="N23" s="21" t="inlineStr">
        <is>
          <t xml:space="preserve">        N/A           N/A           N/A</t>
        </is>
      </c>
      <c r="O23" s="21" t="inlineStr">
        <is>
          <t>8aPYTjptzaRcL56QGoZSUW5bB3Vs8d5rpRgSLWMFpump</t>
        </is>
      </c>
      <c r="P23" s="21">
        <f>HYPERLINK("https://photon-sol.tinyastro.io/en/lp/8aPYTjptzaRcL56QGoZSUW5bB3Vs8d5rpRgSLWMFpump?handle=676050794bc1b1657a56b", "View")</f>
        <v/>
      </c>
    </row>
    <row r="24">
      <c r="A24" s="16" t="inlineStr">
        <is>
          <t>gw</t>
        </is>
      </c>
      <c r="B24" s="17" t="n">
        <v>12528978</v>
      </c>
      <c r="C24" s="17" t="n">
        <v>12528978</v>
      </c>
      <c r="D24" s="17" t="inlineStr">
        <is>
          <t>0.001210</t>
        </is>
      </c>
      <c r="E24" s="17" t="inlineStr">
        <is>
          <t>1.012 SOL</t>
        </is>
      </c>
      <c r="F24" s="17" t="inlineStr">
        <is>
          <t>0.748 SOL</t>
        </is>
      </c>
      <c r="G24" s="25" t="inlineStr">
        <is>
          <t>-0.266 SOL</t>
        </is>
      </c>
      <c r="H24" s="25" t="inlineStr">
        <is>
          <t>-26.23%</t>
        </is>
      </c>
      <c r="I24" s="17" t="inlineStr">
        <is>
          <t>N/A</t>
        </is>
      </c>
      <c r="J24" s="17" t="n">
        <v>1</v>
      </c>
      <c r="K24" s="17" t="n">
        <v>1</v>
      </c>
      <c r="L24" s="17" t="inlineStr">
        <is>
          <t>29.10.2024 20:22:52</t>
        </is>
      </c>
      <c r="M24" s="17" t="inlineStr">
        <is>
          <t>7 min</t>
        </is>
      </c>
      <c r="N24" s="17" t="inlineStr">
        <is>
          <t xml:space="preserve">         14K            11K             5K</t>
        </is>
      </c>
      <c r="O24" s="17" t="inlineStr">
        <is>
          <t>AbhYZvSXK5V6URzfQcnoL23h5BhusQB2H2RVtqbVpump</t>
        </is>
      </c>
      <c r="P24" s="17">
        <f>HYPERLINK("https://photon-sol.tinyastro.io/en/lp/AbhYZvSXK5V6URzfQcnoL23h5BhusQB2H2RVtqbVpump?handle=676050794bc1b1657a56b", "View")</f>
        <v/>
      </c>
    </row>
    <row r="25">
      <c r="A25" s="20" t="inlineStr">
        <is>
          <t>WRM</t>
        </is>
      </c>
      <c r="B25" s="21" t="n">
        <v>26206401</v>
      </c>
      <c r="C25" s="21" t="n">
        <v>22643063</v>
      </c>
      <c r="D25" s="21" t="inlineStr">
        <is>
          <t>0.049090</t>
        </is>
      </c>
      <c r="E25" s="21" t="inlineStr">
        <is>
          <t>0.800 SOL</t>
        </is>
      </c>
      <c r="F25" s="21" t="inlineStr">
        <is>
          <t>19.124 SOL</t>
        </is>
      </c>
      <c r="G25" s="24" t="inlineStr">
        <is>
          <t>18.275 SOL</t>
        </is>
      </c>
      <c r="H25" s="24" t="inlineStr">
        <is>
          <t>2152.35%</t>
        </is>
      </c>
      <c r="I25" s="21" t="inlineStr">
        <is>
          <t>N/A</t>
        </is>
      </c>
      <c r="J25" s="21" t="n">
        <v>1</v>
      </c>
      <c r="K25" s="21" t="n">
        <v>16</v>
      </c>
      <c r="L25" s="21" t="inlineStr">
        <is>
          <t>29.10.2024 18:55:29</t>
        </is>
      </c>
      <c r="M25" s="21" t="inlineStr">
        <is>
          <t>1 hours</t>
        </is>
      </c>
      <c r="N25" s="21" t="inlineStr">
        <is>
          <t xml:space="preserve">          5K           100K             8K</t>
        </is>
      </c>
      <c r="O25" s="21" t="inlineStr">
        <is>
          <t>73y2d48ndV9fwGgL99iYagD27a2UMxCxLcNaDKzpump</t>
        </is>
      </c>
      <c r="P25" s="21">
        <f>HYPERLINK("https://dexscreener.com/solana/73y2d48ndV9fwGgL99iYagD27a2UMxCxLcNaDKzpump", "View")</f>
        <v/>
      </c>
    </row>
    <row r="26">
      <c r="A26" s="16" t="inlineStr">
        <is>
          <t>SIMON</t>
        </is>
      </c>
      <c r="B26" s="17" t="n">
        <v>5231038</v>
      </c>
      <c r="C26" s="17" t="n">
        <v>5231038</v>
      </c>
      <c r="D26" s="17" t="inlineStr">
        <is>
          <t>0.040010</t>
        </is>
      </c>
      <c r="E26" s="17" t="inlineStr">
        <is>
          <t>1.100 SOL</t>
        </is>
      </c>
      <c r="F26" s="17" t="inlineStr">
        <is>
          <t>1.592 SOL</t>
        </is>
      </c>
      <c r="G26" s="22" t="inlineStr">
        <is>
          <t>0.452 SOL</t>
        </is>
      </c>
      <c r="H26" s="22" t="inlineStr">
        <is>
          <t>39.62%</t>
        </is>
      </c>
      <c r="I26" s="17" t="inlineStr">
        <is>
          <t>N/A</t>
        </is>
      </c>
      <c r="J26" s="17" t="n">
        <v>1</v>
      </c>
      <c r="K26" s="17" t="n">
        <v>1</v>
      </c>
      <c r="L26" s="17" t="inlineStr">
        <is>
          <t>29.10.2024 17:17:29</t>
        </is>
      </c>
      <c r="M26" s="17" t="inlineStr">
        <is>
          <t>5 min</t>
        </is>
      </c>
      <c r="N26" s="17" t="inlineStr">
        <is>
          <t xml:space="preserve">         37K            53K             3K</t>
        </is>
      </c>
      <c r="O26" s="17" t="inlineStr">
        <is>
          <t>Dw5ztHRA55p51qmffB64jKgh8HMT7yEpkiKmbwL6N5ie</t>
        </is>
      </c>
      <c r="P26" s="17">
        <f>HYPERLINK("https://photon-sol.tinyastro.io/en/lp/Dw5ztHRA55p51qmffB64jKgh8HMT7yEpkiKmbwL6N5ie?handle=676050794bc1b1657a56b", "View")</f>
        <v/>
      </c>
    </row>
    <row r="27">
      <c r="A27" s="20" t="inlineStr">
        <is>
          <t>HS</t>
        </is>
      </c>
      <c r="B27" s="21" t="n">
        <v>36437993</v>
      </c>
      <c r="C27" s="21" t="n">
        <v>36437993</v>
      </c>
      <c r="D27" s="21" t="inlineStr">
        <is>
          <t>0.003630</t>
        </is>
      </c>
      <c r="E27" s="21" t="inlineStr">
        <is>
          <t>3.300 SOL</t>
        </is>
      </c>
      <c r="F27" s="21" t="inlineStr">
        <is>
          <t>5.040 SOL</t>
        </is>
      </c>
      <c r="G27" s="24" t="inlineStr">
        <is>
          <t>1.736 SOL</t>
        </is>
      </c>
      <c r="H27" s="24" t="inlineStr">
        <is>
          <t>52.55%</t>
        </is>
      </c>
      <c r="I27" s="21" t="inlineStr">
        <is>
          <t>N/A</t>
        </is>
      </c>
      <c r="J27" s="21" t="n">
        <v>3</v>
      </c>
      <c r="K27" s="21" t="n">
        <v>3</v>
      </c>
      <c r="L27" s="21" t="inlineStr">
        <is>
          <t>29.10.2024 17:00:54</t>
        </is>
      </c>
      <c r="M27" s="21" t="inlineStr">
        <is>
          <t>10 min</t>
        </is>
      </c>
      <c r="N27" s="21" t="inlineStr">
        <is>
          <t xml:space="preserve">         11K            30K             7K</t>
        </is>
      </c>
      <c r="O27" s="21" t="inlineStr">
        <is>
          <t>7KXJouu7ET4CLiBEd83RpuUGPhWgsHNsSRr5WFCgpump</t>
        </is>
      </c>
      <c r="P27" s="21">
        <f>HYPERLINK("https://dexscreener.com/solana/7KXJouu7ET4CLiBEd83RpuUGPhWgsHNsSRr5WFCgpump", "View")</f>
        <v/>
      </c>
    </row>
    <row r="28">
      <c r="A28" s="16" t="inlineStr">
        <is>
          <t>SAVIOR</t>
        </is>
      </c>
      <c r="B28" s="17" t="n">
        <v>23443930</v>
      </c>
      <c r="C28" s="17" t="n">
        <v>23443930</v>
      </c>
      <c r="D28" s="17" t="inlineStr">
        <is>
          <t>0.001210</t>
        </is>
      </c>
      <c r="E28" s="17" t="inlineStr">
        <is>
          <t>0.843 SOL</t>
        </is>
      </c>
      <c r="F28" s="17" t="inlineStr">
        <is>
          <t>0.829 SOL</t>
        </is>
      </c>
      <c r="G28" s="25" t="inlineStr">
        <is>
          <t>-0.015 SOL</t>
        </is>
      </c>
      <c r="H28" s="25" t="inlineStr">
        <is>
          <t>-1.83%</t>
        </is>
      </c>
      <c r="I28" s="17" t="inlineStr">
        <is>
          <t>N/A</t>
        </is>
      </c>
      <c r="J28" s="17" t="n">
        <v>1</v>
      </c>
      <c r="K28" s="17" t="n">
        <v>1</v>
      </c>
      <c r="L28" s="17" t="inlineStr">
        <is>
          <t>29.10.2024 16:43:34</t>
        </is>
      </c>
      <c r="M28" s="17" t="inlineStr">
        <is>
          <t>1 min</t>
        </is>
      </c>
      <c r="N28" s="17" t="inlineStr">
        <is>
          <t xml:space="preserve">          7K             7K             5K</t>
        </is>
      </c>
      <c r="O28" s="17" t="inlineStr">
        <is>
          <t>8i2g8yN8opaNma9XhZZMxLNRyj5gqUAx9szJVuHSpump</t>
        </is>
      </c>
      <c r="P28" s="17">
        <f>HYPERLINK("https://photon-sol.tinyastro.io/en/lp/8i2g8yN8opaNma9XhZZMxLNRyj5gqUAx9szJVuHSpump?handle=676050794bc1b1657a56b", "View")</f>
        <v/>
      </c>
    </row>
    <row r="29">
      <c r="A29" s="20" t="inlineStr">
        <is>
          <t>PUFF</t>
        </is>
      </c>
      <c r="B29" s="21" t="n">
        <v>12917916</v>
      </c>
      <c r="C29" s="21" t="n">
        <v>12917916</v>
      </c>
      <c r="D29" s="21" t="inlineStr">
        <is>
          <t>0.020610</t>
        </is>
      </c>
      <c r="E29" s="21" t="inlineStr">
        <is>
          <t>0.783 SOL</t>
        </is>
      </c>
      <c r="F29" s="21" t="inlineStr">
        <is>
          <t>0.696 SOL</t>
        </is>
      </c>
      <c r="G29" s="25" t="inlineStr">
        <is>
          <t>-0.108 SOL</t>
        </is>
      </c>
      <c r="H29" s="25" t="inlineStr">
        <is>
          <t>-13.44%</t>
        </is>
      </c>
      <c r="I29" s="21" t="inlineStr">
        <is>
          <t>N/A</t>
        </is>
      </c>
      <c r="J29" s="21" t="n">
        <v>1</v>
      </c>
      <c r="K29" s="21" t="n">
        <v>1</v>
      </c>
      <c r="L29" s="21" t="inlineStr">
        <is>
          <t>29.10.2024 07:43:16</t>
        </is>
      </c>
      <c r="M29" s="21" t="inlineStr">
        <is>
          <t>7 min</t>
        </is>
      </c>
      <c r="N29" s="21" t="inlineStr">
        <is>
          <t xml:space="preserve">         11K             9K             5K</t>
        </is>
      </c>
      <c r="O29" s="21" t="inlineStr">
        <is>
          <t>5PWxKbFuertFREmF49jeMqhLLLomhjfzRKnCg9Jgpump</t>
        </is>
      </c>
      <c r="P29" s="21">
        <f>HYPERLINK("https://photon-sol.tinyastro.io/en/lp/5PWxKbFuertFREmF49jeMqhLLLomhjfzRKnCg9Jgpump?handle=676050794bc1b1657a56b", "View")</f>
        <v/>
      </c>
    </row>
    <row r="30">
      <c r="A30" s="16" t="inlineStr">
        <is>
          <t>CHIWIWI</t>
        </is>
      </c>
      <c r="B30" s="17" t="n">
        <v>21634418</v>
      </c>
      <c r="C30" s="17" t="n">
        <v>21634418</v>
      </c>
      <c r="D30" s="17" t="inlineStr">
        <is>
          <t>0.001820</t>
        </is>
      </c>
      <c r="E30" s="17" t="inlineStr">
        <is>
          <t>1.327 SOL</t>
        </is>
      </c>
      <c r="F30" s="17" t="inlineStr">
        <is>
          <t>2.963 SOL</t>
        </is>
      </c>
      <c r="G30" s="24" t="inlineStr">
        <is>
          <t>1.634 SOL</t>
        </is>
      </c>
      <c r="H30" s="24" t="inlineStr">
        <is>
          <t>122.93%</t>
        </is>
      </c>
      <c r="I30" s="17" t="inlineStr">
        <is>
          <t>N/A</t>
        </is>
      </c>
      <c r="J30" s="17" t="n">
        <v>1</v>
      </c>
      <c r="K30" s="17" t="n">
        <v>2</v>
      </c>
      <c r="L30" s="17" t="inlineStr">
        <is>
          <t>29.10.2024 06:28:02</t>
        </is>
      </c>
      <c r="M30" s="17" t="inlineStr">
        <is>
          <t>10 min</t>
        </is>
      </c>
      <c r="N30" s="17" t="inlineStr">
        <is>
          <t xml:space="preserve">         11K            19K             5K</t>
        </is>
      </c>
      <c r="O30" s="17" t="inlineStr">
        <is>
          <t>BBbu3EUE9SgvnyqdLASXEc5unvgAN27TyYtv4ne2pump</t>
        </is>
      </c>
      <c r="P30" s="17">
        <f>HYPERLINK("https://photon-sol.tinyastro.io/en/lp/BBbu3EUE9SgvnyqdLASXEc5unvgAN27TyYtv4ne2pump?handle=676050794bc1b1657a56b", "View")</f>
        <v/>
      </c>
    </row>
    <row r="31">
      <c r="A31" s="20" t="inlineStr">
        <is>
          <t>GMOD</t>
        </is>
      </c>
      <c r="B31" s="21" t="n">
        <v>15063765</v>
      </c>
      <c r="C31" s="21" t="n">
        <v>15063765</v>
      </c>
      <c r="D31" s="21" t="inlineStr">
        <is>
          <t>0.001210</t>
        </is>
      </c>
      <c r="E31" s="21" t="inlineStr">
        <is>
          <t>0.890 SOL</t>
        </is>
      </c>
      <c r="F31" s="21" t="inlineStr">
        <is>
          <t>0.753 SOL</t>
        </is>
      </c>
      <c r="G31" s="25" t="inlineStr">
        <is>
          <t>-0.138 SOL</t>
        </is>
      </c>
      <c r="H31" s="25" t="inlineStr">
        <is>
          <t>-15.51%</t>
        </is>
      </c>
      <c r="I31" s="21" t="inlineStr">
        <is>
          <t>N/A</t>
        </is>
      </c>
      <c r="J31" s="21" t="n">
        <v>1</v>
      </c>
      <c r="K31" s="21" t="n">
        <v>1</v>
      </c>
      <c r="L31" s="21" t="inlineStr">
        <is>
          <t>29.10.2024 05:42:14</t>
        </is>
      </c>
      <c r="M31" s="19" t="inlineStr">
        <is>
          <t>44 sec</t>
        </is>
      </c>
      <c r="N31" s="21" t="inlineStr">
        <is>
          <t xml:space="preserve">         11K             9K             5K</t>
        </is>
      </c>
      <c r="O31" s="21" t="inlineStr">
        <is>
          <t>FQ16dVpcAngR75HdNxBWhBwtTbVSZtofbTZC5Kgnpump</t>
        </is>
      </c>
      <c r="P31" s="21">
        <f>HYPERLINK("https://photon-sol.tinyastro.io/en/lp/FQ16dVpcAngR75HdNxBWhBwtTbVSZtofbTZC5Kgnpump?handle=676050794bc1b1657a56b", "View")</f>
        <v/>
      </c>
    </row>
    <row r="32">
      <c r="A32" s="16" t="inlineStr">
        <is>
          <t>bibleus</t>
        </is>
      </c>
      <c r="B32" s="17" t="n">
        <v>44109564</v>
      </c>
      <c r="C32" s="17" t="n">
        <v>44109564</v>
      </c>
      <c r="D32" s="17" t="inlineStr">
        <is>
          <t>0.002420</t>
        </is>
      </c>
      <c r="E32" s="17" t="inlineStr">
        <is>
          <t>2.143 SOL</t>
        </is>
      </c>
      <c r="F32" s="17" t="inlineStr">
        <is>
          <t>2.735 SOL</t>
        </is>
      </c>
      <c r="G32" s="22" t="inlineStr">
        <is>
          <t>0.589 SOL</t>
        </is>
      </c>
      <c r="H32" s="22" t="inlineStr">
        <is>
          <t>27.46%</t>
        </is>
      </c>
      <c r="I32" s="17" t="inlineStr">
        <is>
          <t>N/A</t>
        </is>
      </c>
      <c r="J32" s="17" t="n">
        <v>2</v>
      </c>
      <c r="K32" s="17" t="n">
        <v>2</v>
      </c>
      <c r="L32" s="17" t="inlineStr">
        <is>
          <t>29.10.2024 04:50:21</t>
        </is>
      </c>
      <c r="M32" s="17" t="inlineStr">
        <is>
          <t>23 min</t>
        </is>
      </c>
      <c r="N32" s="17" t="inlineStr">
        <is>
          <t xml:space="preserve">          7K            11K             5K</t>
        </is>
      </c>
      <c r="O32" s="17" t="inlineStr">
        <is>
          <t>CBRkk36QxrtRXahN7QEBsG2ik1ucq1tpSfssdkKZpump</t>
        </is>
      </c>
      <c r="P32" s="17">
        <f>HYPERLINK("https://photon-sol.tinyastro.io/en/lp/CBRkk36QxrtRXahN7QEBsG2ik1ucq1tpSfssdkKZpump?handle=676050794bc1b1657a56b", "View")</f>
        <v/>
      </c>
    </row>
    <row r="33">
      <c r="A33" s="20" t="inlineStr">
        <is>
          <t>GLIM</t>
        </is>
      </c>
      <c r="B33" s="21" t="n">
        <v>2827936</v>
      </c>
      <c r="C33" s="21" t="n">
        <v>2827936</v>
      </c>
      <c r="D33" s="21" t="inlineStr">
        <is>
          <t>0.001210</t>
        </is>
      </c>
      <c r="E33" s="21" t="inlineStr">
        <is>
          <t>1.300 SOL</t>
        </is>
      </c>
      <c r="F33" s="21" t="inlineStr">
        <is>
          <t>1.279 SOL</t>
        </is>
      </c>
      <c r="G33" s="25" t="inlineStr">
        <is>
          <t>-0.022 SOL</t>
        </is>
      </c>
      <c r="H33" s="25" t="inlineStr">
        <is>
          <t>-1.71%</t>
        </is>
      </c>
      <c r="I33" s="21" t="inlineStr">
        <is>
          <t>N/A</t>
        </is>
      </c>
      <c r="J33" s="21" t="n">
        <v>1</v>
      </c>
      <c r="K33" s="21" t="n">
        <v>1</v>
      </c>
      <c r="L33" s="21" t="inlineStr">
        <is>
          <t>29.10.2024 04:19:56</t>
        </is>
      </c>
      <c r="M33" s="19" t="inlineStr">
        <is>
          <t>47 sec</t>
        </is>
      </c>
      <c r="N33" s="21" t="inlineStr">
        <is>
          <t xml:space="preserve">         81K            79K             3K</t>
        </is>
      </c>
      <c r="O33" s="21" t="inlineStr">
        <is>
          <t>AjqNDnWMb7W1dnMsmPdMWaPjTn2hidAT5GVERCdApump</t>
        </is>
      </c>
      <c r="P33" s="21">
        <f>HYPERLINK("https://dexscreener.com/solana/AjqNDnWMb7W1dnMsmPdMWaPjTn2hidAT5GVERCdApump", "View")</f>
        <v/>
      </c>
    </row>
    <row r="34">
      <c r="A34" s="16" t="inlineStr">
        <is>
          <t>Domo</t>
        </is>
      </c>
      <c r="B34" s="17" t="n">
        <v>18434383</v>
      </c>
      <c r="C34" s="17" t="n">
        <v>18434383</v>
      </c>
      <c r="D34" s="17" t="inlineStr">
        <is>
          <t>0.020610</t>
        </is>
      </c>
      <c r="E34" s="17" t="inlineStr">
        <is>
          <t>1.088 SOL</t>
        </is>
      </c>
      <c r="F34" s="17" t="inlineStr">
        <is>
          <t>1.185 SOL</t>
        </is>
      </c>
      <c r="G34" s="22" t="inlineStr">
        <is>
          <t>0.076 SOL</t>
        </is>
      </c>
      <c r="H34" s="22" t="inlineStr">
        <is>
          <t>6.85%</t>
        </is>
      </c>
      <c r="I34" s="17" t="inlineStr">
        <is>
          <t>N/A</t>
        </is>
      </c>
      <c r="J34" s="17" t="n">
        <v>1</v>
      </c>
      <c r="K34" s="17" t="n">
        <v>1</v>
      </c>
      <c r="L34" s="17" t="inlineStr">
        <is>
          <t>29.10.2024 04:14:38</t>
        </is>
      </c>
      <c r="M34" s="17" t="inlineStr">
        <is>
          <t>4 min</t>
        </is>
      </c>
      <c r="N34" s="17" t="inlineStr">
        <is>
          <t xml:space="preserve">         11K            11K             5K</t>
        </is>
      </c>
      <c r="O34" s="17" t="inlineStr">
        <is>
          <t>9yEuEhWPAYjy2wAGhArs5rMgmbgz18tqvuPgGHVvpump</t>
        </is>
      </c>
      <c r="P34" s="17">
        <f>HYPERLINK("https://photon-sol.tinyastro.io/en/lp/9yEuEhWPAYjy2wAGhArs5rMgmbgz18tqvuPgGHVvpump?handle=676050794bc1b1657a56b", "View")</f>
        <v/>
      </c>
    </row>
    <row r="35">
      <c r="A35" s="20" t="inlineStr">
        <is>
          <t>Soohorang</t>
        </is>
      </c>
      <c r="B35" s="21" t="n">
        <v>25344388</v>
      </c>
      <c r="C35" s="21" t="n">
        <v>25344388</v>
      </c>
      <c r="D35" s="21" t="inlineStr">
        <is>
          <t>0.002420</t>
        </is>
      </c>
      <c r="E35" s="21" t="inlineStr">
        <is>
          <t>2.007 SOL</t>
        </is>
      </c>
      <c r="F35" s="21" t="inlineStr">
        <is>
          <t>3.098 SOL</t>
        </is>
      </c>
      <c r="G35" s="24" t="inlineStr">
        <is>
          <t>1.088 SOL</t>
        </is>
      </c>
      <c r="H35" s="24" t="inlineStr">
        <is>
          <t>54.16%</t>
        </is>
      </c>
      <c r="I35" s="21" t="inlineStr">
        <is>
          <t>N/A</t>
        </is>
      </c>
      <c r="J35" s="21" t="n">
        <v>2</v>
      </c>
      <c r="K35" s="21" t="n">
        <v>2</v>
      </c>
      <c r="L35" s="21" t="inlineStr">
        <is>
          <t>29.10.2024 04:05:11</t>
        </is>
      </c>
      <c r="M35" s="21" t="inlineStr">
        <is>
          <t>3 min</t>
        </is>
      </c>
      <c r="N35" s="21" t="inlineStr">
        <is>
          <t xml:space="preserve">         12K            16K             5K</t>
        </is>
      </c>
      <c r="O35" s="21" t="inlineStr">
        <is>
          <t>HjeaZXEkE8f6GtWKjsRsLmGiixGxtFeaY7ryFxHjpump</t>
        </is>
      </c>
      <c r="P35" s="21">
        <f>HYPERLINK("https://photon-sol.tinyastro.io/en/lp/HjeaZXEkE8f6GtWKjsRsLmGiixGxtFeaY7ryFxHjpump?handle=676050794bc1b1657a56b", "View")</f>
        <v/>
      </c>
    </row>
    <row r="36">
      <c r="A36" s="16" t="inlineStr">
        <is>
          <t>1991</t>
        </is>
      </c>
      <c r="B36" s="17" t="n">
        <v>31985635</v>
      </c>
      <c r="C36" s="17" t="n">
        <v>31985635</v>
      </c>
      <c r="D36" s="17" t="inlineStr">
        <is>
          <t>0.021820</t>
        </is>
      </c>
      <c r="E36" s="17" t="inlineStr">
        <is>
          <t>1.600 SOL</t>
        </is>
      </c>
      <c r="F36" s="17" t="inlineStr">
        <is>
          <t>2.813 SOL</t>
        </is>
      </c>
      <c r="G36" s="24" t="inlineStr">
        <is>
          <t>1.191 SOL</t>
        </is>
      </c>
      <c r="H36" s="24" t="inlineStr">
        <is>
          <t>73.45%</t>
        </is>
      </c>
      <c r="I36" s="17" t="inlineStr">
        <is>
          <t>N/A</t>
        </is>
      </c>
      <c r="J36" s="17" t="n">
        <v>3</v>
      </c>
      <c r="K36" s="17" t="n">
        <v>1</v>
      </c>
      <c r="L36" s="17" t="inlineStr">
        <is>
          <t>29.10.2024 03:44:39</t>
        </is>
      </c>
      <c r="M36" s="17" t="inlineStr">
        <is>
          <t>21 min</t>
        </is>
      </c>
      <c r="N36" s="17" t="inlineStr">
        <is>
          <t xml:space="preserve">          7K            16K             4K</t>
        </is>
      </c>
      <c r="O36" s="17" t="inlineStr">
        <is>
          <t>GcP5RKfcNHoweAKz1D2nQ3MUwug3FGSKceacK88Epump</t>
        </is>
      </c>
      <c r="P36" s="17">
        <f>HYPERLINK("https://dexscreener.com/solana/GcP5RKfcNHoweAKz1D2nQ3MUwug3FGSKceacK88Epump", "View")</f>
        <v/>
      </c>
    </row>
    <row r="37">
      <c r="A37" s="20" t="inlineStr">
        <is>
          <t>/higher</t>
        </is>
      </c>
      <c r="B37" s="21" t="n">
        <v>4299311</v>
      </c>
      <c r="C37" s="21" t="n">
        <v>4299311</v>
      </c>
      <c r="D37" s="21" t="inlineStr">
        <is>
          <t>0.001210</t>
        </is>
      </c>
      <c r="E37" s="21" t="inlineStr">
        <is>
          <t>1.300 SOL</t>
        </is>
      </c>
      <c r="F37" s="21" t="inlineStr">
        <is>
          <t>2.018 SOL</t>
        </is>
      </c>
      <c r="G37" s="24" t="inlineStr">
        <is>
          <t>0.717 SOL</t>
        </is>
      </c>
      <c r="H37" s="24" t="inlineStr">
        <is>
          <t>55.12%</t>
        </is>
      </c>
      <c r="I37" s="21" t="inlineStr">
        <is>
          <t>N/A</t>
        </is>
      </c>
      <c r="J37" s="21" t="n">
        <v>1</v>
      </c>
      <c r="K37" s="21" t="n">
        <v>1</v>
      </c>
      <c r="L37" s="21" t="inlineStr">
        <is>
          <t>29.10.2024 03:26:32</t>
        </is>
      </c>
      <c r="M37" s="21" t="inlineStr">
        <is>
          <t>8 min</t>
        </is>
      </c>
      <c r="N37" s="21" t="inlineStr">
        <is>
          <t xml:space="preserve">         53K            83K             4K</t>
        </is>
      </c>
      <c r="O37" s="21" t="inlineStr">
        <is>
          <t>DwGJNktdqxH2n6rvQ2MYbMFNzxp8zD5EEGEU59Qapump</t>
        </is>
      </c>
      <c r="P37" s="21">
        <f>HYPERLINK("https://dexscreener.com/solana/DwGJNktdqxH2n6rvQ2MYbMFNzxp8zD5EEGEU59Qapump", "View")</f>
        <v/>
      </c>
    </row>
    <row r="38">
      <c r="A38" s="16" t="inlineStr">
        <is>
          <t>HONEY</t>
        </is>
      </c>
      <c r="B38" s="17" t="n">
        <v>9619696</v>
      </c>
      <c r="C38" s="17" t="n">
        <v>9619696</v>
      </c>
      <c r="D38" s="17" t="inlineStr">
        <is>
          <t>0.001210</t>
        </is>
      </c>
      <c r="E38" s="17" t="inlineStr">
        <is>
          <t>1.000 SOL</t>
        </is>
      </c>
      <c r="F38" s="17" t="inlineStr">
        <is>
          <t>1.254 SOL</t>
        </is>
      </c>
      <c r="G38" s="22" t="inlineStr">
        <is>
          <t>0.253 SOL</t>
        </is>
      </c>
      <c r="H38" s="22" t="inlineStr">
        <is>
          <t>25.29%</t>
        </is>
      </c>
      <c r="I38" s="17" t="inlineStr">
        <is>
          <t>N/A</t>
        </is>
      </c>
      <c r="J38" s="17" t="n">
        <v>1</v>
      </c>
      <c r="K38" s="17" t="n">
        <v>1</v>
      </c>
      <c r="L38" s="17" t="inlineStr">
        <is>
          <t>29.10.2024 03:22:30</t>
        </is>
      </c>
      <c r="M38" s="19" t="inlineStr">
        <is>
          <t>19 sec</t>
        </is>
      </c>
      <c r="N38" s="17" t="inlineStr">
        <is>
          <t xml:space="preserve">         18K            23K            10K</t>
        </is>
      </c>
      <c r="O38" s="17" t="inlineStr">
        <is>
          <t>265sKc6C7wRcEkuLqzPCWUziHCqsp2Q1gXJo2H9Bpump</t>
        </is>
      </c>
      <c r="P38" s="17">
        <f>HYPERLINK("https://dexscreener.com/solana/265sKc6C7wRcEkuLqzPCWUziHCqsp2Q1gXJo2H9Bpump", "View")</f>
        <v/>
      </c>
    </row>
    <row r="39">
      <c r="A39" s="20" t="inlineStr">
        <is>
          <t>ASCII</t>
        </is>
      </c>
      <c r="B39" s="21" t="n">
        <v>9205703</v>
      </c>
      <c r="C39" s="21" t="n">
        <v>9205703</v>
      </c>
      <c r="D39" s="21" t="inlineStr">
        <is>
          <t>0.001210</t>
        </is>
      </c>
      <c r="E39" s="21" t="inlineStr">
        <is>
          <t>1.057 SOL</t>
        </is>
      </c>
      <c r="F39" s="21" t="inlineStr">
        <is>
          <t>0.509 SOL</t>
        </is>
      </c>
      <c r="G39" s="23" t="inlineStr">
        <is>
          <t>-0.549 SOL</t>
        </is>
      </c>
      <c r="H39" s="23" t="inlineStr">
        <is>
          <t>-51.87%</t>
        </is>
      </c>
      <c r="I39" s="21" t="inlineStr">
        <is>
          <t>N/A</t>
        </is>
      </c>
      <c r="J39" s="21" t="n">
        <v>1</v>
      </c>
      <c r="K39" s="21" t="n">
        <v>1</v>
      </c>
      <c r="L39" s="21" t="inlineStr">
        <is>
          <t>29.10.2024 02:46:37</t>
        </is>
      </c>
      <c r="M39" s="21" t="inlineStr">
        <is>
          <t>13 min</t>
        </is>
      </c>
      <c r="N39" s="21" t="inlineStr">
        <is>
          <t xml:space="preserve">         19K            11K             4K</t>
        </is>
      </c>
      <c r="O39" s="21" t="inlineStr">
        <is>
          <t>fRR2kmbzcpKJffYApnbsDR5sneYe6XHAQc9zbNypump</t>
        </is>
      </c>
      <c r="P39" s="21">
        <f>HYPERLINK("https://photon-sol.tinyastro.io/en/lp/fRR2kmbzcpKJffYApnbsDR5sneYe6XHAQc9zbNypump?handle=676050794bc1b1657a56b", "View")</f>
        <v/>
      </c>
    </row>
    <row r="40">
      <c r="A40" s="16" t="inlineStr">
        <is>
          <t>2025</t>
        </is>
      </c>
      <c r="B40" s="17" t="n">
        <v>7777684</v>
      </c>
      <c r="C40" s="17" t="n">
        <v>7777684</v>
      </c>
      <c r="D40" s="17" t="inlineStr">
        <is>
          <t>0.000840</t>
        </is>
      </c>
      <c r="E40" s="17" t="inlineStr">
        <is>
          <t>0.512 SOL</t>
        </is>
      </c>
      <c r="F40" s="17" t="inlineStr">
        <is>
          <t>0.547 SOL</t>
        </is>
      </c>
      <c r="G40" s="22" t="inlineStr">
        <is>
          <t>0.034 SOL</t>
        </is>
      </c>
      <c r="H40" s="22" t="inlineStr">
        <is>
          <t>6.63%</t>
        </is>
      </c>
      <c r="I40" s="17" t="inlineStr">
        <is>
          <t>N/A</t>
        </is>
      </c>
      <c r="J40" s="17" t="n">
        <v>1</v>
      </c>
      <c r="K40" s="17" t="n">
        <v>1</v>
      </c>
      <c r="L40" s="17" t="inlineStr">
        <is>
          <t>29.10.2024 02:26:37</t>
        </is>
      </c>
      <c r="M40" s="17" t="inlineStr">
        <is>
          <t>3 days</t>
        </is>
      </c>
      <c r="N40" s="17" t="inlineStr">
        <is>
          <t xml:space="preserve">        N/A           N/A           N/A</t>
        </is>
      </c>
      <c r="O40" s="17" t="inlineStr">
        <is>
          <t>5cNyrS8y33RwMVBAUTi9VcNZnGDbmwqHUK5NN8jVJH9N</t>
        </is>
      </c>
      <c r="P40" s="17">
        <f>HYPERLINK("https://photon-sol.tinyastro.io/en/lp/5cNyrS8y33RwMVBAUTi9VcNZnGDbmwqHUK5NN8jVJH9N?handle=676050794bc1b1657a56b", "View")</f>
        <v/>
      </c>
    </row>
    <row r="41">
      <c r="A41" s="20" t="inlineStr">
        <is>
          <t>maneki</t>
        </is>
      </c>
      <c r="B41" s="21" t="n">
        <v>11680113</v>
      </c>
      <c r="C41" s="21" t="n">
        <v>11680113</v>
      </c>
      <c r="D41" s="21" t="inlineStr">
        <is>
          <t>0.001210</t>
        </is>
      </c>
      <c r="E41" s="21" t="inlineStr">
        <is>
          <t>1.200 SOL</t>
        </is>
      </c>
      <c r="F41" s="21" t="inlineStr">
        <is>
          <t>1.478 SOL</t>
        </is>
      </c>
      <c r="G41" s="22" t="inlineStr">
        <is>
          <t>0.277 SOL</t>
        </is>
      </c>
      <c r="H41" s="22" t="inlineStr">
        <is>
          <t>23.06%</t>
        </is>
      </c>
      <c r="I41" s="21" t="inlineStr">
        <is>
          <t>N/A</t>
        </is>
      </c>
      <c r="J41" s="21" t="n">
        <v>1</v>
      </c>
      <c r="K41" s="21" t="n">
        <v>1</v>
      </c>
      <c r="L41" s="21" t="inlineStr">
        <is>
          <t>29.10.2024 02:26:20</t>
        </is>
      </c>
      <c r="M41" s="21" t="inlineStr">
        <is>
          <t>29 min</t>
        </is>
      </c>
      <c r="N41" s="21" t="inlineStr">
        <is>
          <t xml:space="preserve">         18K            23K             8K</t>
        </is>
      </c>
      <c r="O41" s="21" t="inlineStr">
        <is>
          <t>4CL3LCcKnixvys5yyxdFQyPeAX72aA2pGYxfxFY6pump</t>
        </is>
      </c>
      <c r="P41" s="21">
        <f>HYPERLINK("https://dexscreener.com/solana/4CL3LCcKnixvys5yyxdFQyPeAX72aA2pGYxfxFY6pump", "View")</f>
        <v/>
      </c>
    </row>
    <row r="42">
      <c r="A42" s="16" t="inlineStr">
        <is>
          <t>biblical</t>
        </is>
      </c>
      <c r="B42" s="17" t="n">
        <v>19546096</v>
      </c>
      <c r="C42" s="17" t="n">
        <v>19546096</v>
      </c>
      <c r="D42" s="17" t="inlineStr">
        <is>
          <t>0.001210</t>
        </is>
      </c>
      <c r="E42" s="17" t="inlineStr">
        <is>
          <t>1.022 SOL</t>
        </is>
      </c>
      <c r="F42" s="17" t="inlineStr">
        <is>
          <t>1.416 SOL</t>
        </is>
      </c>
      <c r="G42" s="22" t="inlineStr">
        <is>
          <t>0.393 SOL</t>
        </is>
      </c>
      <c r="H42" s="22" t="inlineStr">
        <is>
          <t>38.39%</t>
        </is>
      </c>
      <c r="I42" s="17" t="inlineStr">
        <is>
          <t>N/A</t>
        </is>
      </c>
      <c r="J42" s="17" t="n">
        <v>1</v>
      </c>
      <c r="K42" s="17" t="n">
        <v>1</v>
      </c>
      <c r="L42" s="17" t="inlineStr">
        <is>
          <t>28.10.2024 21:24:47</t>
        </is>
      </c>
      <c r="M42" s="17" t="inlineStr">
        <is>
          <t>2 min</t>
        </is>
      </c>
      <c r="N42" s="17" t="inlineStr">
        <is>
          <t xml:space="preserve">          9K            12K             6K</t>
        </is>
      </c>
      <c r="O42" s="17" t="inlineStr">
        <is>
          <t>Fd1MDcNFVr68mgraB2t2q8o1XsCseFt5nwnEHDtMpump</t>
        </is>
      </c>
      <c r="P42" s="17">
        <f>HYPERLINK("https://photon-sol.tinyastro.io/en/lp/Fd1MDcNFVr68mgraB2t2q8o1XsCseFt5nwnEHDtMpump?handle=676050794bc1b1657a56b", "View")</f>
        <v/>
      </c>
    </row>
    <row r="43">
      <c r="A43" s="20" t="inlineStr">
        <is>
          <t>MONK</t>
        </is>
      </c>
      <c r="B43" s="21" t="n">
        <v>1289766</v>
      </c>
      <c r="C43" s="21" t="n">
        <v>1289766</v>
      </c>
      <c r="D43" s="21" t="inlineStr">
        <is>
          <t>0.007740</t>
        </is>
      </c>
      <c r="E43" s="21" t="inlineStr">
        <is>
          <t>0.508 SOL</t>
        </is>
      </c>
      <c r="F43" s="21" t="inlineStr">
        <is>
          <t>0.416 SOL</t>
        </is>
      </c>
      <c r="G43" s="25" t="inlineStr">
        <is>
          <t>-0.100 SOL</t>
        </is>
      </c>
      <c r="H43" s="25" t="inlineStr">
        <is>
          <t>-19.32%</t>
        </is>
      </c>
      <c r="I43" s="21" t="inlineStr">
        <is>
          <t>N/A</t>
        </is>
      </c>
      <c r="J43" s="21" t="n">
        <v>1</v>
      </c>
      <c r="K43" s="21" t="n">
        <v>1</v>
      </c>
      <c r="L43" s="21" t="inlineStr">
        <is>
          <t>25.10.2024 22:27:24</t>
        </is>
      </c>
      <c r="M43" s="21" t="inlineStr">
        <is>
          <t>7 min</t>
        </is>
      </c>
      <c r="N43" s="21" t="inlineStr">
        <is>
          <t xml:space="preserve">         68K            56K             6K</t>
        </is>
      </c>
      <c r="O43" s="21" t="inlineStr">
        <is>
          <t>Monkv6a5h2hrfpQzyKdWp9vUxTRGbzWX89zsZ1QTj4F</t>
        </is>
      </c>
      <c r="P43" s="21">
        <f>HYPERLINK("https://photon-sol.tinyastro.io/en/lp/Monkv6a5h2hrfpQzyKdWp9vUxTRGbzWX89zsZ1QTj4F?handle=676050794bc1b1657a56b", "View")</f>
        <v/>
      </c>
    </row>
    <row r="44">
      <c r="A44" s="16" t="inlineStr">
        <is>
          <t>BRC</t>
        </is>
      </c>
      <c r="B44" s="17" t="n">
        <v>1224602</v>
      </c>
      <c r="C44" s="17" t="n">
        <v>1224602</v>
      </c>
      <c r="D44" s="17" t="inlineStr">
        <is>
          <t>0.007520</t>
        </is>
      </c>
      <c r="E44" s="17" t="inlineStr">
        <is>
          <t>1.000 SOL</t>
        </is>
      </c>
      <c r="F44" s="17" t="inlineStr">
        <is>
          <t>1.551 SOL</t>
        </is>
      </c>
      <c r="G44" s="24" t="inlineStr">
        <is>
          <t>0.543 SOL</t>
        </is>
      </c>
      <c r="H44" s="24" t="inlineStr">
        <is>
          <t>53.93%</t>
        </is>
      </c>
      <c r="I44" s="17" t="inlineStr">
        <is>
          <t>N/A</t>
        </is>
      </c>
      <c r="J44" s="17" t="n">
        <v>1</v>
      </c>
      <c r="K44" s="17" t="n">
        <v>1</v>
      </c>
      <c r="L44" s="17" t="inlineStr">
        <is>
          <t>23.10.2024 17:53:11</t>
        </is>
      </c>
      <c r="M44" s="17" t="inlineStr">
        <is>
          <t>9 min</t>
        </is>
      </c>
      <c r="N44" s="17" t="inlineStr">
        <is>
          <t xml:space="preserve">        144K           223K            59K</t>
        </is>
      </c>
      <c r="O44" s="17" t="inlineStr">
        <is>
          <t>9MnSGZn2PMMpo21SiMjCMnUnhh8JpFWE8xy9gtzGpump</t>
        </is>
      </c>
      <c r="P44" s="17">
        <f>HYPERLINK("https://dexscreener.com/solana/9MnSGZn2PMMpo21SiMjCMnUnhh8JpFWE8xy9gtzGpump", "View")</f>
        <v/>
      </c>
    </row>
    <row r="45">
      <c r="A45" s="20" t="inlineStr">
        <is>
          <t>Fbb4</t>
        </is>
      </c>
      <c r="B45" s="21" t="n">
        <v>3159256</v>
      </c>
      <c r="C45" s="21" t="n">
        <v>3159256</v>
      </c>
      <c r="D45" s="21" t="inlineStr">
        <is>
          <t>0.015010</t>
        </is>
      </c>
      <c r="E45" s="21" t="inlineStr">
        <is>
          <t>0.825 SOL</t>
        </is>
      </c>
      <c r="F45" s="21" t="inlineStr">
        <is>
          <t>0.869 SOL</t>
        </is>
      </c>
      <c r="G45" s="22" t="inlineStr">
        <is>
          <t>0.029 SOL</t>
        </is>
      </c>
      <c r="H45" s="22" t="inlineStr">
        <is>
          <t>3.48%</t>
        </is>
      </c>
      <c r="I45" s="21" t="inlineStr">
        <is>
          <t>N/A</t>
        </is>
      </c>
      <c r="J45" s="21" t="n">
        <v>1</v>
      </c>
      <c r="K45" s="21" t="n">
        <v>1</v>
      </c>
      <c r="L45" s="21" t="inlineStr">
        <is>
          <t>21.10.2024 16:12:55</t>
        </is>
      </c>
      <c r="M45" s="19" t="inlineStr">
        <is>
          <t>47 sec</t>
        </is>
      </c>
      <c r="N45" s="21" t="inlineStr">
        <is>
          <t xml:space="preserve">         46K            49K            22K</t>
        </is>
      </c>
      <c r="O45" s="21" t="inlineStr">
        <is>
          <t>HTz8NdeEZEGNT7niWdkAohgqpFeMZAXmTTP7zkEtpump</t>
        </is>
      </c>
      <c r="P45" s="21">
        <f>HYPERLINK("https://photon-sol.tinyastro.io/en/lp/HTz8NdeEZEGNT7niWdkAohgqpFeMZAXmTTP7zkEtpump?handle=676050794bc1b1657a56b", "View")</f>
        <v/>
      </c>
    </row>
    <row r="46">
      <c r="A46" s="16" t="inlineStr">
        <is>
          <t>BACK</t>
        </is>
      </c>
      <c r="B46" s="17" t="n">
        <v>1549542</v>
      </c>
      <c r="C46" s="17" t="n">
        <v>1549542</v>
      </c>
      <c r="D46" s="17" t="inlineStr">
        <is>
          <t>0.007520</t>
        </is>
      </c>
      <c r="E46" s="17" t="inlineStr">
        <is>
          <t>0.500 SOL</t>
        </is>
      </c>
      <c r="F46" s="17" t="inlineStr">
        <is>
          <t>0.192 SOL</t>
        </is>
      </c>
      <c r="G46" s="23" t="inlineStr">
        <is>
          <t>-0.315 SOL</t>
        </is>
      </c>
      <c r="H46" s="23" t="inlineStr">
        <is>
          <t>-62.10%</t>
        </is>
      </c>
      <c r="I46" s="17" t="inlineStr">
        <is>
          <t>N/A</t>
        </is>
      </c>
      <c r="J46" s="17" t="n">
        <v>1</v>
      </c>
      <c r="K46" s="17" t="n">
        <v>1</v>
      </c>
      <c r="L46" s="17" t="inlineStr">
        <is>
          <t>21.10.2024 15:39:50</t>
        </is>
      </c>
      <c r="M46" s="17" t="inlineStr">
        <is>
          <t>6 hours</t>
        </is>
      </c>
      <c r="N46" s="17" t="inlineStr">
        <is>
          <t xml:space="preserve">        N/A           N/A           N/A</t>
        </is>
      </c>
      <c r="O46" s="17" t="inlineStr">
        <is>
          <t>ETcyc5aEdHFRXjQsuXqGDMxMJYRGHPaGhbAf1oFKDZgU</t>
        </is>
      </c>
      <c r="P46" s="17">
        <f>HYPERLINK("https://dexscreener.com/solana/ETcyc5aEdHFRXjQsuXqGDMxMJYRGHPaGhbAf1oFKDZgU", "View")</f>
        <v/>
      </c>
    </row>
    <row r="47">
      <c r="A47" s="20" t="inlineStr">
        <is>
          <t>MEME</t>
        </is>
      </c>
      <c r="B47" s="21" t="n">
        <v>1765497</v>
      </c>
      <c r="C47" s="21" t="n">
        <v>1765497</v>
      </c>
      <c r="D47" s="21" t="inlineStr">
        <is>
          <t>0.000020</t>
        </is>
      </c>
      <c r="E47" s="21" t="inlineStr">
        <is>
          <t>1.000 SOL</t>
        </is>
      </c>
      <c r="F47" s="21" t="inlineStr">
        <is>
          <t>1.978 SOL</t>
        </is>
      </c>
      <c r="G47" s="24" t="inlineStr">
        <is>
          <t>0.978 SOL</t>
        </is>
      </c>
      <c r="H47" s="24" t="inlineStr">
        <is>
          <t>97.78%</t>
        </is>
      </c>
      <c r="I47" s="21" t="inlineStr">
        <is>
          <t>N/A</t>
        </is>
      </c>
      <c r="J47" s="21" t="n">
        <v>1</v>
      </c>
      <c r="K47" s="21" t="n">
        <v>1</v>
      </c>
      <c r="L47" s="21" t="inlineStr">
        <is>
          <t>20.10.2024 06:05:41</t>
        </is>
      </c>
      <c r="M47" s="21" t="inlineStr">
        <is>
          <t>11 min</t>
        </is>
      </c>
      <c r="N47" s="21" t="inlineStr">
        <is>
          <t xml:space="preserve">        100K           197K            66K</t>
        </is>
      </c>
      <c r="O47" s="21" t="inlineStr">
        <is>
          <t>EWy1HPEUq4Lgm6H4pQ8augEuJ7WRwJgENZMTAUzrpump</t>
        </is>
      </c>
      <c r="P47" s="21">
        <f>HYPERLINK("https://dexscreener.com/solana/EWy1HPEUq4Lgm6H4pQ8augEuJ7WRwJgENZMTAUzrpump", "View")</f>
        <v/>
      </c>
    </row>
    <row r="48">
      <c r="A48" s="16" t="inlineStr">
        <is>
          <t>MATILDA</t>
        </is>
      </c>
      <c r="B48" s="17" t="n">
        <v>8088452</v>
      </c>
      <c r="C48" s="17" t="n">
        <v>8088452</v>
      </c>
      <c r="D48" s="17" t="inlineStr">
        <is>
          <t>0.000020</t>
        </is>
      </c>
      <c r="E48" s="17" t="inlineStr">
        <is>
          <t>0.500 SOL</t>
        </is>
      </c>
      <c r="F48" s="17" t="inlineStr">
        <is>
          <t>0.508 SOL</t>
        </is>
      </c>
      <c r="G48" s="22" t="inlineStr">
        <is>
          <t>0.008 SOL</t>
        </is>
      </c>
      <c r="H48" s="22" t="inlineStr">
        <is>
          <t>1.58%</t>
        </is>
      </c>
      <c r="I48" s="17" t="inlineStr">
        <is>
          <t>N/A</t>
        </is>
      </c>
      <c r="J48" s="17" t="n">
        <v>1</v>
      </c>
      <c r="K48" s="17" t="n">
        <v>1</v>
      </c>
      <c r="L48" s="17" t="inlineStr">
        <is>
          <t>16.10.2024 18:55:49</t>
        </is>
      </c>
      <c r="M48" s="17" t="inlineStr">
        <is>
          <t>8 min</t>
        </is>
      </c>
      <c r="N48" s="17" t="inlineStr">
        <is>
          <t xml:space="preserve">         11K            11K             3K</t>
        </is>
      </c>
      <c r="O48" s="17" t="inlineStr">
        <is>
          <t>FE3ZEyfJ86c4eH6pTHwHu2m1gyQPBxdirTeroUXGpump</t>
        </is>
      </c>
      <c r="P48" s="17">
        <f>HYPERLINK("https://dexscreener.com/solana/FE3ZEyfJ86c4eH6pTHwHu2m1gyQPBxdirTeroUXGpump", "View")</f>
        <v/>
      </c>
    </row>
    <row r="49">
      <c r="A49" s="20" t="inlineStr">
        <is>
          <t>Milla</t>
        </is>
      </c>
      <c r="B49" s="21" t="n">
        <v>32408216</v>
      </c>
      <c r="C49" s="21" t="n">
        <v>32408216</v>
      </c>
      <c r="D49" s="21" t="inlineStr">
        <is>
          <t>0.000020</t>
        </is>
      </c>
      <c r="E49" s="21" t="inlineStr">
        <is>
          <t>1.084 SOL</t>
        </is>
      </c>
      <c r="F49" s="21" t="inlineStr">
        <is>
          <t>1.093 SOL</t>
        </is>
      </c>
      <c r="G49" s="22" t="inlineStr">
        <is>
          <t>0.010 SOL</t>
        </is>
      </c>
      <c r="H49" s="22" t="inlineStr">
        <is>
          <t>0.90%</t>
        </is>
      </c>
      <c r="I49" s="21" t="inlineStr">
        <is>
          <t>N/A</t>
        </is>
      </c>
      <c r="J49" s="21" t="n">
        <v>1</v>
      </c>
      <c r="K49" s="21" t="n">
        <v>1</v>
      </c>
      <c r="L49" s="21" t="inlineStr">
        <is>
          <t>16.10.2024 18:03:19</t>
        </is>
      </c>
      <c r="M49" s="21" t="inlineStr">
        <is>
          <t>41 min</t>
        </is>
      </c>
      <c r="N49" s="21" t="inlineStr">
        <is>
          <t xml:space="preserve">        N/A           N/A           N/A</t>
        </is>
      </c>
      <c r="O49" s="21" t="inlineStr">
        <is>
          <t>CxWrRKENNyVi5guZrD8Q5yurTy4mGKS8cYe11sRCpump</t>
        </is>
      </c>
      <c r="P49" s="21">
        <f>HYPERLINK("https://photon-sol.tinyastro.io/en/lp/CxWrRKENNyVi5guZrD8Q5yurTy4mGKS8cYe11sRCpump?handle=676050794bc1b1657a56b", "View")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2024-10-30T21:34:24Z</dcterms:created>
  <dcterms:modified xsi:type="dcterms:W3CDTF">2024-10-30T21:34:28Z</dcterms:modified>
</cp:coreProperties>
</file>