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allet_HmfBnpiF" sheetId="2" state="visible" r:id="rId2"/>
    <sheet name="Wallet_2XRQxY5r" sheetId="3" state="visible" r:id="rId3"/>
    <sheet name="Wallet_FdS3pqXX" sheetId="4" state="visible" r:id="rId4"/>
    <sheet name="Wallet_GzQnJvr8" sheetId="5" state="visible" r:id="rId5"/>
    <sheet name="Wallet_FCo3MNdr" sheetId="6" state="visible" r:id="rId6"/>
    <sheet name="Wallet_67XYw3Wn" sheetId="7" state="visible" r:id="rId7"/>
    <sheet name="Wallet_GBUvKJp5" sheetId="8" state="visible" r:id="rId8"/>
    <sheet name="Wallet_8vys1QHh" sheetId="9" state="visible" r:id="rId9"/>
    <sheet name="Wallet_GbZsEfC5" sheetId="10" state="visible" r:id="rId10"/>
    <sheet name="Wallet_Hhm82jsf" sheetId="11" state="visible" r:id="rId11"/>
    <sheet name="Wallet_7DAMCyYS" sheetId="12" state="visible" r:id="rId12"/>
    <sheet name="Wallet_AKtLvJx2" sheetId="13" state="visible" r:id="rId13"/>
    <sheet name="Wallet_QsKPitHp" sheetId="14" state="visible" r:id="rId14"/>
    <sheet name="Wallet_5L2VdnbQ" sheetId="15" state="visible" r:id="rId15"/>
    <sheet name="Wallet_DSsSCWgC" sheetId="16" state="visible" r:id="rId16"/>
    <sheet name="Wallet_EwMT7ygv" sheetId="17" state="visible" r:id="rId17"/>
    <sheet name="Wallet_8h9qMcPD" sheetId="18" state="visible" r:id="rId18"/>
    <sheet name="Wallet_GatWquUn" sheetId="19" state="visible" r:id="rId19"/>
    <sheet name="Wallet_H9AcEk9z" sheetId="20" state="visible" r:id="rId20"/>
    <sheet name="Wallet_2FaNRoiX" sheetId="21" state="visible" r:id="rId21"/>
    <sheet name="Wallet_A4w9U4xD" sheetId="22" state="visible" r:id="rId22"/>
    <sheet name="Wallet_DbGhxzA5" sheetId="23" state="visible" r:id="rId23"/>
    <sheet name="Wallet_47KdXtjk" sheetId="24" state="visible" r:id="rId24"/>
    <sheet name="Wallet_8vQjS83m" sheetId="25" state="visible" r:id="rId25"/>
    <sheet name="Wallet_EfYpUUvf" sheetId="26" state="visible" r:id="rId26"/>
    <sheet name="Wallet_EZrztGLk" sheetId="27" state="visible" r:id="rId27"/>
    <sheet name="Wallet_7ApjVzSa" sheetId="28" state="visible" r:id="rId28"/>
    <sheet name="Wallet_77AeyLRL" sheetId="29" state="visible" r:id="rId29"/>
    <sheet name="Wallet_7BJk376W" sheetId="30" state="visible" r:id="rId30"/>
    <sheet name="Wallet_JB6yZEJq" sheetId="31" state="visible" r:id="rId31"/>
    <sheet name="Wallet_DCBzkdY6" sheetId="32" state="visible" r:id="rId32"/>
    <sheet name="Wallet_2CXbN6nu" sheetId="33" state="visible" r:id="rId33"/>
    <sheet name="Wallet_6X1jSkx7" sheetId="34" state="visible" r:id="rId34"/>
    <sheet name="Wallet_2DvW7X3V" sheetId="35" state="visible" r:id="rId35"/>
    <sheet name="Wallet_GLDsGoz3" sheetId="36" state="visible" r:id="rId36"/>
    <sheet name="Wallet_HWh4UWj9" sheetId="37" state="visible" r:id="rId37"/>
    <sheet name="Wallet_9UHGG5A7" sheetId="38" state="visible" r:id="rId38"/>
    <sheet name="Wallet_DfG2SPZS" sheetId="39" state="visible" r:id="rId39"/>
    <sheet name="Wallet_FxnE7hpy" sheetId="40" state="visible" r:id="rId40"/>
    <sheet name="Wallet_DcbfdKmg" sheetId="41" state="visible" r:id="rId41"/>
    <sheet name="Wallet_5FNw37mo" sheetId="42" state="visible" r:id="rId42"/>
    <sheet name="Wallet_EMSMKAxW" sheetId="43" state="visible" r:id="rId43"/>
    <sheet name="Wallet_7ETzevrp" sheetId="44" state="visible" r:id="rId44"/>
    <sheet name="Wallet_9PVLTmep" sheetId="45" state="visible" r:id="rId45"/>
    <sheet name="Wallet_AaWigwfh" sheetId="46" state="visible" r:id="rId46"/>
    <sheet name="Wallet_8yawhtpY" sheetId="47" state="visible" r:id="rId47"/>
    <sheet name="Wallet_FgsQL8UU" sheetId="48" state="visible" r:id="rId48"/>
    <sheet name="Wallet_Hc1syKAD" sheetId="49" state="visible" r:id="rId49"/>
    <sheet name="Wallet_Cm2aqELk" sheetId="50" state="visible" r:id="rId50"/>
    <sheet name="Wallet_8PQ8hHUC" sheetId="51" state="visible" r:id="rId51"/>
    <sheet name="Wallet_3wR4YLJY" sheetId="52" state="visible" r:id="rId52"/>
    <sheet name="Wallet_4g6kN5xe" sheetId="53" state="visible" r:id="rId53"/>
    <sheet name="Wallet_HvTryrVp" sheetId="54" state="visible" r:id="rId54"/>
    <sheet name="Wallet_ELkNor3G" sheetId="55" state="visible" r:id="rId55"/>
    <sheet name="Wallet_3q8tXcDj" sheetId="56" state="visible" r:id="rId5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16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A3EDC6"/>
        <bgColor rgb="00A3EDC6"/>
      </patternFill>
    </fill>
    <fill>
      <patternFill patternType="solid">
        <fgColor rgb="00FF9393"/>
        <bgColor rgb="00FF9393"/>
      </patternFill>
    </fill>
    <fill>
      <patternFill patternType="solid">
        <fgColor rgb="0000FF00"/>
        <bgColor rgb="0000FF00"/>
      </patternFill>
    </fill>
    <fill>
      <patternFill patternType="solid">
        <fgColor rgb="0090EE90"/>
        <bgColor rgb="0090EE90"/>
      </patternFill>
    </fill>
    <fill>
      <patternFill patternType="solid">
        <fgColor rgb="0098FB98"/>
        <bgColor rgb="0098FB98"/>
      </patternFill>
    </fill>
    <fill>
      <patternFill patternType="solid">
        <fgColor rgb="00FFFFE0"/>
        <bgColor rgb="00FFFFE0"/>
      </patternFill>
    </fill>
    <fill>
      <patternFill patternType="solid">
        <fgColor rgb="00FF6347"/>
        <bgColor rgb="00FF6347"/>
      </patternFill>
    </fill>
    <fill>
      <patternFill patternType="solid">
        <fgColor rgb="00FCD5B4"/>
        <bgColor rgb="00FCD5B4"/>
      </patternFill>
    </fill>
    <fill>
      <patternFill patternType="solid">
        <fgColor rgb="00F5F5F5"/>
        <bgColor rgb="00F5F5F5"/>
      </patternFill>
    </fill>
    <fill>
      <patternFill patternType="solid">
        <fgColor rgb="00FFEB9C"/>
        <bgColor rgb="00FFEB9C"/>
      </patternFill>
    </fill>
    <fill>
      <patternFill patternType="solid">
        <fgColor rgb="00FFFF99"/>
        <bgColor rgb="00FFFF99"/>
      </patternFill>
    </fill>
    <fill>
      <patternFill patternType="solid">
        <fgColor rgb="0000FA71"/>
        <bgColor rgb="0000FA71"/>
      </patternFill>
    </fill>
    <fill>
      <patternFill patternType="solid">
        <fgColor rgb="00C00000"/>
        <bgColor rgb="00C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1" fillId="8" borderId="0" applyAlignment="1" pivotButton="0" quotePrefix="0" xfId="0">
      <alignment horizontal="center" vertical="center"/>
    </xf>
    <xf numFmtId="0" fontId="1" fillId="4" borderId="0" applyAlignment="1" pivotButton="0" quotePrefix="0" xfId="0">
      <alignment horizontal="center" vertical="center"/>
    </xf>
    <xf numFmtId="0" fontId="1" fillId="9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11" borderId="0" applyAlignment="1" pivotButton="0" quotePrefix="0" xfId="0">
      <alignment horizontal="left" vertical="center"/>
    </xf>
    <xf numFmtId="0" fontId="0" fillId="11" borderId="0" applyAlignment="1" pivotButton="0" quotePrefix="0" xfId="0">
      <alignment horizontal="right" vertical="center"/>
    </xf>
    <xf numFmtId="0" fontId="0" fillId="12" borderId="0" applyAlignment="1" pivotButton="0" quotePrefix="0" xfId="0">
      <alignment horizontal="right" vertical="center"/>
    </xf>
    <xf numFmtId="0" fontId="0" fillId="13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right" vertical="center"/>
    </xf>
    <xf numFmtId="0" fontId="0" fillId="3" borderId="0" applyAlignment="1" pivotButton="0" quotePrefix="0" xfId="0">
      <alignment horizontal="right" vertical="center"/>
    </xf>
    <xf numFmtId="0" fontId="0" fillId="14" borderId="0" applyAlignment="1" pivotButton="0" quotePrefix="0" xfId="0">
      <alignment horizontal="right" vertical="center"/>
    </xf>
    <xf numFmtId="0" fontId="0" fillId="15" borderId="0" applyAlignment="1" pivotButton="0" quotePrefix="0" xfId="0">
      <alignment horizontal="right" vertical="center"/>
    </xf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styles" Target="styles.xml" Id="rId57" /><Relationship Type="http://schemas.openxmlformats.org/officeDocument/2006/relationships/theme" Target="theme/theme1.xml" Id="rId5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Wallet_HmfBnpiF!A1" TargetMode="External" Id="rId1" /><Relationship Type="http://schemas.openxmlformats.org/officeDocument/2006/relationships/hyperlink" Target="#Wallet_2XRQxY5r!A1" TargetMode="External" Id="rId2" /><Relationship Type="http://schemas.openxmlformats.org/officeDocument/2006/relationships/hyperlink" Target="#Wallet_FdS3pqXX!A1" TargetMode="External" Id="rId3" /><Relationship Type="http://schemas.openxmlformats.org/officeDocument/2006/relationships/hyperlink" Target="#Wallet_GzQnJvr8!A1" TargetMode="External" Id="rId4" /><Relationship Type="http://schemas.openxmlformats.org/officeDocument/2006/relationships/hyperlink" Target="#Wallet_FCo3MNdr!A1" TargetMode="External" Id="rId5" /><Relationship Type="http://schemas.openxmlformats.org/officeDocument/2006/relationships/hyperlink" Target="#Wallet_67XYw3Wn!A1" TargetMode="External" Id="rId6" /><Relationship Type="http://schemas.openxmlformats.org/officeDocument/2006/relationships/hyperlink" Target="#Wallet_GBUvKJp5!A1" TargetMode="External" Id="rId7" /><Relationship Type="http://schemas.openxmlformats.org/officeDocument/2006/relationships/hyperlink" Target="#Wallet_8vys1QHh!A1" TargetMode="External" Id="rId8" /><Relationship Type="http://schemas.openxmlformats.org/officeDocument/2006/relationships/hyperlink" Target="#Wallet_GbZsEfC5!A1" TargetMode="External" Id="rId9" /><Relationship Type="http://schemas.openxmlformats.org/officeDocument/2006/relationships/hyperlink" Target="#Wallet_Hhm82jsf!A1" TargetMode="External" Id="rId10" /><Relationship Type="http://schemas.openxmlformats.org/officeDocument/2006/relationships/hyperlink" Target="#Wallet_7DAMCyYS!A1" TargetMode="External" Id="rId11" /><Relationship Type="http://schemas.openxmlformats.org/officeDocument/2006/relationships/hyperlink" Target="#Wallet_AKtLvJx2!A1" TargetMode="External" Id="rId12" /><Relationship Type="http://schemas.openxmlformats.org/officeDocument/2006/relationships/hyperlink" Target="#Wallet_QsKPitHp!A1" TargetMode="External" Id="rId13" /><Relationship Type="http://schemas.openxmlformats.org/officeDocument/2006/relationships/hyperlink" Target="#Wallet_5L2VdnbQ!A1" TargetMode="External" Id="rId14" /><Relationship Type="http://schemas.openxmlformats.org/officeDocument/2006/relationships/hyperlink" Target="#Wallet_DSsSCWgC!A1" TargetMode="External" Id="rId15" /><Relationship Type="http://schemas.openxmlformats.org/officeDocument/2006/relationships/hyperlink" Target="#Wallet_EwMT7ygv!A1" TargetMode="External" Id="rId16" /><Relationship Type="http://schemas.openxmlformats.org/officeDocument/2006/relationships/hyperlink" Target="#Wallet_8h9qMcPD!A1" TargetMode="External" Id="rId17" /><Relationship Type="http://schemas.openxmlformats.org/officeDocument/2006/relationships/hyperlink" Target="#Wallet_GatWquUn!A1" TargetMode="External" Id="rId18" /><Relationship Type="http://schemas.openxmlformats.org/officeDocument/2006/relationships/hyperlink" Target="#Wallet_H9AcEk9z!A1" TargetMode="External" Id="rId19" /><Relationship Type="http://schemas.openxmlformats.org/officeDocument/2006/relationships/hyperlink" Target="#Wallet_2FaNRoiX!A1" TargetMode="External" Id="rId20" /><Relationship Type="http://schemas.openxmlformats.org/officeDocument/2006/relationships/hyperlink" Target="#Wallet_A4w9U4xD!A1" TargetMode="External" Id="rId21" /><Relationship Type="http://schemas.openxmlformats.org/officeDocument/2006/relationships/hyperlink" Target="#Wallet_DbGhxzA5!A1" TargetMode="External" Id="rId22" /><Relationship Type="http://schemas.openxmlformats.org/officeDocument/2006/relationships/hyperlink" Target="#Wallet_47KdXtjk!A1" TargetMode="External" Id="rId23" /><Relationship Type="http://schemas.openxmlformats.org/officeDocument/2006/relationships/hyperlink" Target="#Wallet_8vQjS83m!A1" TargetMode="External" Id="rId24" /><Relationship Type="http://schemas.openxmlformats.org/officeDocument/2006/relationships/hyperlink" Target="#Wallet_EfYpUUvf!A1" TargetMode="External" Id="rId25" /><Relationship Type="http://schemas.openxmlformats.org/officeDocument/2006/relationships/hyperlink" Target="#Wallet_EZrztGLk!A1" TargetMode="External" Id="rId26" /><Relationship Type="http://schemas.openxmlformats.org/officeDocument/2006/relationships/hyperlink" Target="#Wallet_7ApjVzSa!A1" TargetMode="External" Id="rId27" /><Relationship Type="http://schemas.openxmlformats.org/officeDocument/2006/relationships/hyperlink" Target="#Wallet_77AeyLRL!A1" TargetMode="External" Id="rId28" /><Relationship Type="http://schemas.openxmlformats.org/officeDocument/2006/relationships/hyperlink" Target="#Wallet_7BJk376W!A1" TargetMode="External" Id="rId29" /><Relationship Type="http://schemas.openxmlformats.org/officeDocument/2006/relationships/hyperlink" Target="#Wallet_JB6yZEJq!A1" TargetMode="External" Id="rId30" /><Relationship Type="http://schemas.openxmlformats.org/officeDocument/2006/relationships/hyperlink" Target="#Wallet_DCBzkdY6!A1" TargetMode="External" Id="rId31" /><Relationship Type="http://schemas.openxmlformats.org/officeDocument/2006/relationships/hyperlink" Target="#Wallet_2CXbN6nu!A1" TargetMode="External" Id="rId32" /><Relationship Type="http://schemas.openxmlformats.org/officeDocument/2006/relationships/hyperlink" Target="#Wallet_6X1jSkx7!A1" TargetMode="External" Id="rId33" /><Relationship Type="http://schemas.openxmlformats.org/officeDocument/2006/relationships/hyperlink" Target="#Wallet_2DvW7X3V!A1" TargetMode="External" Id="rId34" /><Relationship Type="http://schemas.openxmlformats.org/officeDocument/2006/relationships/hyperlink" Target="#Wallet_GLDsGoz3!A1" TargetMode="External" Id="rId35" /><Relationship Type="http://schemas.openxmlformats.org/officeDocument/2006/relationships/hyperlink" Target="#Wallet_HWh4UWj9!A1" TargetMode="External" Id="rId36" /><Relationship Type="http://schemas.openxmlformats.org/officeDocument/2006/relationships/hyperlink" Target="#Wallet_9UHGG5A7!A1" TargetMode="External" Id="rId37" /><Relationship Type="http://schemas.openxmlformats.org/officeDocument/2006/relationships/hyperlink" Target="#Wallet_DfG2SPZS!A1" TargetMode="External" Id="rId38" /><Relationship Type="http://schemas.openxmlformats.org/officeDocument/2006/relationships/hyperlink" Target="#Wallet_FxnE7hpy!A1" TargetMode="External" Id="rId39" /><Relationship Type="http://schemas.openxmlformats.org/officeDocument/2006/relationships/hyperlink" Target="#Wallet_DcbfdKmg!A1" TargetMode="External" Id="rId40" /><Relationship Type="http://schemas.openxmlformats.org/officeDocument/2006/relationships/hyperlink" Target="#Wallet_5FNw37mo!A1" TargetMode="External" Id="rId41" /><Relationship Type="http://schemas.openxmlformats.org/officeDocument/2006/relationships/hyperlink" Target="#Wallet_EMSMKAxW!A1" TargetMode="External" Id="rId42" /><Relationship Type="http://schemas.openxmlformats.org/officeDocument/2006/relationships/hyperlink" Target="#Wallet_7ETzevrp!A1" TargetMode="External" Id="rId43" /><Relationship Type="http://schemas.openxmlformats.org/officeDocument/2006/relationships/hyperlink" Target="#Wallet_9PVLTmep!A1" TargetMode="External" Id="rId44" /><Relationship Type="http://schemas.openxmlformats.org/officeDocument/2006/relationships/hyperlink" Target="#Wallet_AaWigwfh!A1" TargetMode="External" Id="rId45" /><Relationship Type="http://schemas.openxmlformats.org/officeDocument/2006/relationships/hyperlink" Target="#Wallet_8yawhtpY!A1" TargetMode="External" Id="rId46" /><Relationship Type="http://schemas.openxmlformats.org/officeDocument/2006/relationships/hyperlink" Target="#Wallet_FgsQL8UU!A1" TargetMode="External" Id="rId47" /><Relationship Type="http://schemas.openxmlformats.org/officeDocument/2006/relationships/hyperlink" Target="#Wallet_Hc1syKAD!A1" TargetMode="External" Id="rId48" /><Relationship Type="http://schemas.openxmlformats.org/officeDocument/2006/relationships/hyperlink" Target="#Wallet_Cm2aqELk!A1" TargetMode="External" Id="rId49" /><Relationship Type="http://schemas.openxmlformats.org/officeDocument/2006/relationships/hyperlink" Target="#Wallet_8PQ8hHUC!A1" TargetMode="External" Id="rId50" /><Relationship Type="http://schemas.openxmlformats.org/officeDocument/2006/relationships/hyperlink" Target="#Wallet_3wR4YLJY!A1" TargetMode="External" Id="rId51" /><Relationship Type="http://schemas.openxmlformats.org/officeDocument/2006/relationships/hyperlink" Target="#Wallet_4g6kN5xe!A1" TargetMode="External" Id="rId52" /><Relationship Type="http://schemas.openxmlformats.org/officeDocument/2006/relationships/hyperlink" Target="#Wallet_HvTryrVp!A1" TargetMode="External" Id="rId53" /><Relationship Type="http://schemas.openxmlformats.org/officeDocument/2006/relationships/hyperlink" Target="#Wallet_ELkNor3G!A1" TargetMode="External" Id="rId54" /><Relationship Type="http://schemas.openxmlformats.org/officeDocument/2006/relationships/hyperlink" Target="#Wallet_3q8tXcDj!A1" TargetMode="External" Id="rId5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9" customWidth="1" min="3" max="3"/>
    <col width="7" customWidth="1" min="4" max="4"/>
    <col width="13" customWidth="1" min="5" max="5"/>
    <col width="13" customWidth="1" min="6" max="6"/>
    <col width="23" customWidth="1" min="7" max="7"/>
    <col width="14" customWidth="1" min="8" max="8"/>
    <col width="13" customWidth="1" min="9" max="9"/>
    <col width="15" customWidth="1" min="10" max="10"/>
    <col width="14" customWidth="1" min="11" max="11"/>
    <col width="12" customWidth="1" min="12" max="12"/>
    <col width="11" customWidth="1" min="13" max="13"/>
    <col width="16" customWidth="1" min="14" max="14"/>
    <col width="13" customWidth="1" min="15" max="15"/>
    <col width="13" customWidth="1" min="16" max="16"/>
    <col width="18" customWidth="1" min="17" max="17"/>
    <col width="15" customWidth="1" min="18" max="18"/>
  </cols>
  <sheetData>
    <row r="1">
      <c r="A1" s="1" t="inlineStr">
        <is>
          <t>Wallet</t>
        </is>
      </c>
      <c r="B1" s="1" t="inlineStr">
        <is>
          <t>Balance</t>
        </is>
      </c>
      <c r="C1" s="1" t="inlineStr">
        <is>
          <t>WinRate</t>
        </is>
      </c>
      <c r="D1" s="1" t="inlineStr">
        <is>
          <t>ROI</t>
        </is>
      </c>
      <c r="E1" s="1" t="inlineStr">
        <is>
          <t>PnL</t>
        </is>
      </c>
      <c r="F1" s="1" t="inlineStr">
        <is>
          <t>Fast Trades</t>
        </is>
      </c>
      <c r="G1" s="1" t="inlineStr">
        <is>
          <t>Sold More Than Bought</t>
        </is>
      </c>
      <c r="H1" s="1" t="inlineStr">
        <is>
          <t>Tokens Total</t>
        </is>
      </c>
      <c r="I1" s="1" t="inlineStr">
        <is>
          <t>Scam Tokens</t>
        </is>
      </c>
      <c r="J1" s="1" t="inlineStr">
        <is>
          <t>Trades Period</t>
        </is>
      </c>
      <c r="K1" s="1" t="inlineStr">
        <is>
          <t>Duration Avg</t>
        </is>
      </c>
      <c r="L1" s="1" t="inlineStr">
        <is>
          <t>Median ROI</t>
        </is>
      </c>
      <c r="M1" s="1" t="inlineStr">
        <is>
          <t>Rockets %</t>
        </is>
      </c>
      <c r="N1" s="1" t="inlineStr">
        <is>
          <t>PumpFun Tokens</t>
        </is>
      </c>
      <c r="O1" s="1" t="inlineStr">
        <is>
          <t>Not Swap Tx</t>
        </is>
      </c>
      <c r="P1" s="1" t="inlineStr">
        <is>
          <t>Total Fees</t>
        </is>
      </c>
      <c r="Q1" s="1" t="inlineStr">
        <is>
          <t>Created days ago</t>
        </is>
      </c>
      <c r="R1" s="1" t="inlineStr">
        <is>
          <t>AVG Buy (SOL)</t>
        </is>
      </c>
    </row>
    <row r="2">
      <c r="A2" s="2" t="inlineStr">
        <is>
          <t>HmfBnpiF6CKYWFRLjAvUjZrLxjYyNN998UXtk3up7HXi</t>
        </is>
      </c>
      <c r="B2" s="3" t="inlineStr">
        <is>
          <t>24.13 SOL</t>
        </is>
      </c>
      <c r="C2" s="3" t="inlineStr">
        <is>
          <t>41%</t>
        </is>
      </c>
      <c r="D2" s="4" t="inlineStr">
        <is>
          <t>59%</t>
        </is>
      </c>
      <c r="E2" s="4" t="inlineStr">
        <is>
          <t>14.17 SOL</t>
        </is>
      </c>
      <c r="F2" s="3" t="inlineStr">
        <is>
          <t>2 (9%)</t>
        </is>
      </c>
      <c r="G2" s="3" t="inlineStr">
        <is>
          <t>0 (0%)</t>
        </is>
      </c>
      <c r="H2" s="3" t="n">
        <v>22</v>
      </c>
      <c r="I2" s="3" t="n">
        <v>0</v>
      </c>
      <c r="J2" s="3" t="inlineStr">
        <is>
          <t>1 days</t>
        </is>
      </c>
      <c r="K2" s="3" t="inlineStr">
        <is>
          <t>19 min</t>
        </is>
      </c>
      <c r="L2" s="5" t="inlineStr">
        <is>
          <t>-2%</t>
        </is>
      </c>
      <c r="M2" s="3" t="inlineStr">
        <is>
          <t>5%</t>
        </is>
      </c>
      <c r="N2" s="3" t="n">
        <v>22</v>
      </c>
      <c r="O2" s="3" t="n">
        <v>12</v>
      </c>
      <c r="P2" s="3" t="inlineStr">
        <is>
          <t>0.0024 SOL</t>
        </is>
      </c>
      <c r="Q2" s="3" t="n">
        <v>2</v>
      </c>
      <c r="R2" s="3" t="n">
        <v>1</v>
      </c>
    </row>
    <row r="3">
      <c r="A3" s="2" t="inlineStr">
        <is>
          <t>2XRQxY5rBfTmgQLKxa4s2EVGaGvMsXJJ5jbkh9dV215N</t>
        </is>
      </c>
      <c r="B3" s="3" t="inlineStr">
        <is>
          <t>3.47 SOL</t>
        </is>
      </c>
      <c r="C3" s="3" t="inlineStr">
        <is>
          <t>15%</t>
        </is>
      </c>
      <c r="D3" s="4" t="inlineStr">
        <is>
          <t>29%</t>
        </is>
      </c>
      <c r="E3" s="4" t="inlineStr">
        <is>
          <t>3.14 SOL</t>
        </is>
      </c>
      <c r="F3" s="3" t="inlineStr">
        <is>
          <t>7 (6%)</t>
        </is>
      </c>
      <c r="G3" s="3" t="inlineStr">
        <is>
          <t>0 (0%)</t>
        </is>
      </c>
      <c r="H3" s="3" t="n">
        <v>117</v>
      </c>
      <c r="I3" s="5" t="n">
        <v>29</v>
      </c>
      <c r="J3" s="3" t="inlineStr">
        <is>
          <t>6 days</t>
        </is>
      </c>
      <c r="K3" s="3" t="inlineStr">
        <is>
          <t>20 min</t>
        </is>
      </c>
      <c r="L3" s="5" t="inlineStr">
        <is>
          <t>-100%</t>
        </is>
      </c>
      <c r="M3" s="3" t="inlineStr">
        <is>
          <t>8%</t>
        </is>
      </c>
      <c r="N3" s="3" t="n">
        <v>42</v>
      </c>
      <c r="O3" s="3" t="n">
        <v>71</v>
      </c>
      <c r="P3" s="3" t="inlineStr">
        <is>
          <t>0.1676 SOL</t>
        </is>
      </c>
      <c r="Q3" s="3" t="n">
        <v>7</v>
      </c>
      <c r="R3" s="3" t="n">
        <v>1.2</v>
      </c>
    </row>
    <row r="4">
      <c r="A4" s="2" t="inlineStr">
        <is>
          <t>FdS3pqXXLNfuf16oQg1LrtVYrkUTu4vXfgRBdEXVRvz6</t>
        </is>
      </c>
      <c r="B4" s="3" t="inlineStr">
        <is>
          <t>236.92 SOL</t>
        </is>
      </c>
      <c r="C4" s="3" t="inlineStr">
        <is>
          <t>82%</t>
        </is>
      </c>
      <c r="D4" s="4" t="inlineStr">
        <is>
          <t>82%</t>
        </is>
      </c>
      <c r="E4" s="4" t="inlineStr">
        <is>
          <t>276.17 SOL</t>
        </is>
      </c>
      <c r="F4" s="5" t="inlineStr">
        <is>
          <t>126 (80%)</t>
        </is>
      </c>
      <c r="G4" s="3" t="inlineStr">
        <is>
          <t>0 (0%)</t>
        </is>
      </c>
      <c r="H4" s="3" t="n">
        <v>157</v>
      </c>
      <c r="I4" s="3" t="n">
        <v>0</v>
      </c>
      <c r="J4" s="3" t="inlineStr">
        <is>
          <t>3 days</t>
        </is>
      </c>
      <c r="K4" s="3" t="inlineStr">
        <is>
          <t>19 sec</t>
        </is>
      </c>
      <c r="L4" s="4" t="inlineStr">
        <is>
          <t>30%</t>
        </is>
      </c>
      <c r="M4" s="3" t="inlineStr">
        <is>
          <t>12%</t>
        </is>
      </c>
      <c r="N4" s="3" t="n">
        <v>157</v>
      </c>
      <c r="O4" s="3" t="n">
        <v>361</v>
      </c>
      <c r="P4" s="3" t="inlineStr">
        <is>
          <t>1.7016 SOL</t>
        </is>
      </c>
      <c r="Q4" s="3" t="n">
        <v>3</v>
      </c>
      <c r="R4" s="3" t="n">
        <v>1</v>
      </c>
    </row>
    <row r="5">
      <c r="A5" s="2" t="inlineStr">
        <is>
          <t>GzQnJvr8v3cP3eUgFMxjrJmHWuwBvwP55S4jRZVafber</t>
        </is>
      </c>
      <c r="B5" s="3" t="inlineStr">
        <is>
          <t>83.49 SOL</t>
        </is>
      </c>
      <c r="C5" s="3" t="inlineStr">
        <is>
          <t>51%</t>
        </is>
      </c>
      <c r="D5" s="4" t="inlineStr">
        <is>
          <t>59%</t>
        </is>
      </c>
      <c r="E5" s="4" t="inlineStr">
        <is>
          <t>62.74 SOL</t>
        </is>
      </c>
      <c r="F5" s="5" t="inlineStr">
        <is>
          <t>11 (22%)</t>
        </is>
      </c>
      <c r="G5" s="3" t="inlineStr">
        <is>
          <t>0 (0%)</t>
        </is>
      </c>
      <c r="H5" s="3" t="n">
        <v>49</v>
      </c>
      <c r="I5" s="3" t="n">
        <v>0</v>
      </c>
      <c r="J5" s="3" t="inlineStr">
        <is>
          <t>13 days</t>
        </is>
      </c>
      <c r="K5" s="3" t="inlineStr">
        <is>
          <t>13 min</t>
        </is>
      </c>
      <c r="L5" s="4" t="inlineStr">
        <is>
          <t>3%</t>
        </is>
      </c>
      <c r="M5" s="3" t="inlineStr">
        <is>
          <t>20%</t>
        </is>
      </c>
      <c r="N5" s="3" t="n">
        <v>20</v>
      </c>
      <c r="O5" s="3" t="n">
        <v>49</v>
      </c>
      <c r="P5" s="3" t="inlineStr">
        <is>
          <t>0.0081 SOL</t>
        </is>
      </c>
      <c r="Q5" s="3" t="n">
        <v>13</v>
      </c>
      <c r="R5" s="3" t="n">
        <v>1.2</v>
      </c>
    </row>
    <row r="6">
      <c r="A6" s="2" t="inlineStr">
        <is>
          <t>FCo3MNdrWrY8Hvk5rzhgQ6tQjoheSipGUJnvBG99bWz1</t>
        </is>
      </c>
      <c r="B6" s="3" t="inlineStr">
        <is>
          <t>1.02 SOL</t>
        </is>
      </c>
      <c r="C6" s="3" t="inlineStr">
        <is>
          <t>44%</t>
        </is>
      </c>
      <c r="D6" s="4" t="inlineStr">
        <is>
          <t>166%</t>
        </is>
      </c>
      <c r="E6" s="4" t="inlineStr">
        <is>
          <t>3.77 SOL</t>
        </is>
      </c>
      <c r="F6" s="5" t="inlineStr">
        <is>
          <t>2 (22%)</t>
        </is>
      </c>
      <c r="G6" s="3" t="inlineStr">
        <is>
          <t>1 (11%)</t>
        </is>
      </c>
      <c r="H6" s="3" t="n">
        <v>9</v>
      </c>
      <c r="I6" s="3" t="n">
        <v>0</v>
      </c>
      <c r="J6" s="3" t="inlineStr">
        <is>
          <t>43 days</t>
        </is>
      </c>
      <c r="K6" s="3" t="inlineStr">
        <is>
          <t>3 min</t>
        </is>
      </c>
      <c r="L6" s="5" t="inlineStr">
        <is>
          <t>-12%</t>
        </is>
      </c>
      <c r="M6" s="3" t="inlineStr">
        <is>
          <t>22%</t>
        </is>
      </c>
      <c r="N6" s="3" t="n">
        <v>4</v>
      </c>
      <c r="O6" s="3" t="n">
        <v>30</v>
      </c>
      <c r="P6" s="3" t="inlineStr">
        <is>
          <t>0.3170 SOL</t>
        </is>
      </c>
      <c r="Q6" s="3" t="n">
        <v>46</v>
      </c>
      <c r="R6" s="3" t="n">
        <v>1.2</v>
      </c>
    </row>
    <row r="7">
      <c r="A7" s="2" t="inlineStr">
        <is>
          <t>67XYw3WnAQbmpJuLoKh7YZwzVUd2q9z2FCNz4Ycjj5dC</t>
        </is>
      </c>
      <c r="B7" s="3" t="inlineStr">
        <is>
          <t>7.44 SOL</t>
        </is>
      </c>
      <c r="C7" s="3" t="inlineStr">
        <is>
          <t>50%</t>
        </is>
      </c>
      <c r="D7" s="4" t="inlineStr">
        <is>
          <t>111%</t>
        </is>
      </c>
      <c r="E7" s="4" t="inlineStr">
        <is>
          <t>7.07 SOL</t>
        </is>
      </c>
      <c r="F7" s="3" t="inlineStr">
        <is>
          <t>0 (0%)</t>
        </is>
      </c>
      <c r="G7" s="3" t="inlineStr">
        <is>
          <t>0 (0%)</t>
        </is>
      </c>
      <c r="H7" s="3" t="n">
        <v>8</v>
      </c>
      <c r="I7" s="3" t="n">
        <v>0</v>
      </c>
      <c r="J7" s="3" t="inlineStr">
        <is>
          <t>1 days</t>
        </is>
      </c>
      <c r="K7" s="3" t="inlineStr">
        <is>
          <t>7 min</t>
        </is>
      </c>
      <c r="L7" s="5" t="inlineStr">
        <is>
          <t>-3%</t>
        </is>
      </c>
      <c r="M7" s="3" t="inlineStr">
        <is>
          <t>12%</t>
        </is>
      </c>
      <c r="N7" s="3" t="n">
        <v>8</v>
      </c>
      <c r="O7" s="3" t="n">
        <v>0</v>
      </c>
      <c r="P7" s="3" t="inlineStr">
        <is>
          <t>1.6406 SOL</t>
        </is>
      </c>
      <c r="Q7" s="3" t="n">
        <v>1</v>
      </c>
      <c r="R7" s="3" t="n">
        <v>1.1</v>
      </c>
    </row>
    <row r="8">
      <c r="A8" s="2" t="inlineStr">
        <is>
          <t>GBUvKJp5BTx65h5yWA4s8q6Ast1T86viRKRVxZtahbsD</t>
        </is>
      </c>
      <c r="B8" s="3" t="inlineStr">
        <is>
          <t>10.15 SOL</t>
        </is>
      </c>
      <c r="C8" s="3" t="inlineStr">
        <is>
          <t>78%</t>
        </is>
      </c>
      <c r="D8" s="4" t="inlineStr">
        <is>
          <t>166%</t>
        </is>
      </c>
      <c r="E8" s="4" t="inlineStr">
        <is>
          <t>10.05 SOL</t>
        </is>
      </c>
      <c r="F8" s="3" t="inlineStr">
        <is>
          <t>0 (0%)</t>
        </is>
      </c>
      <c r="G8" s="3" t="inlineStr">
        <is>
          <t>0 (0%)</t>
        </is>
      </c>
      <c r="H8" s="3" t="n">
        <v>9</v>
      </c>
      <c r="I8" s="3" t="n">
        <v>0</v>
      </c>
      <c r="J8" s="3" t="inlineStr">
        <is>
          <t>1 days</t>
        </is>
      </c>
      <c r="K8" s="3" t="inlineStr">
        <is>
          <t>7 min</t>
        </is>
      </c>
      <c r="L8" s="4" t="inlineStr">
        <is>
          <t>40%</t>
        </is>
      </c>
      <c r="M8" s="3" t="inlineStr">
        <is>
          <t>44%</t>
        </is>
      </c>
      <c r="N8" s="3" t="n">
        <v>9</v>
      </c>
      <c r="O8" s="3" t="n">
        <v>3</v>
      </c>
      <c r="P8" s="3" t="inlineStr">
        <is>
          <t>1.8407 SOL</t>
        </is>
      </c>
      <c r="Q8" s="3" t="n">
        <v>1</v>
      </c>
      <c r="R8" s="3" t="n">
        <v>1.1</v>
      </c>
    </row>
    <row r="9">
      <c r="A9" s="2" t="inlineStr">
        <is>
          <t>8vys1QHhKnz9uXKgJ7KTzunBxchMyBUVUC34SqYyt2xk</t>
        </is>
      </c>
      <c r="B9" s="3" t="inlineStr">
        <is>
          <t>12.02 SOL</t>
        </is>
      </c>
      <c r="C9" s="3" t="inlineStr">
        <is>
          <t>27%</t>
        </is>
      </c>
      <c r="D9" s="4" t="inlineStr">
        <is>
          <t>34%</t>
        </is>
      </c>
      <c r="E9" s="4" t="inlineStr">
        <is>
          <t>12.69 SOL</t>
        </is>
      </c>
      <c r="F9" s="3" t="inlineStr">
        <is>
          <t>6 (2%)</t>
        </is>
      </c>
      <c r="G9" s="3" t="inlineStr">
        <is>
          <t>0 (0%)</t>
        </is>
      </c>
      <c r="H9" s="3" t="n">
        <v>299</v>
      </c>
      <c r="I9" s="5" t="n">
        <v>76</v>
      </c>
      <c r="J9" s="3" t="inlineStr">
        <is>
          <t>32 days</t>
        </is>
      </c>
      <c r="K9" s="3" t="inlineStr">
        <is>
          <t>39 min</t>
        </is>
      </c>
      <c r="L9" s="5" t="inlineStr">
        <is>
          <t>-68%</t>
        </is>
      </c>
      <c r="M9" s="3" t="inlineStr">
        <is>
          <t>10%</t>
        </is>
      </c>
      <c r="N9" s="3" t="n">
        <v>57</v>
      </c>
      <c r="O9" s="3" t="n">
        <v>53</v>
      </c>
      <c r="P9" s="3" t="inlineStr">
        <is>
          <t>0.0299 SOL</t>
        </is>
      </c>
      <c r="Q9" s="3" t="n">
        <v>33</v>
      </c>
      <c r="R9" s="3" t="n">
        <v>1.1</v>
      </c>
    </row>
    <row r="10">
      <c r="A10" s="2" t="inlineStr">
        <is>
          <t>GbZsEfC5krJMa1gQHvVuBCVGeSbsqR2Sxr151nCfLKa8</t>
        </is>
      </c>
      <c r="B10" s="3" t="inlineStr">
        <is>
          <t>8.55 SOL</t>
        </is>
      </c>
      <c r="C10" s="3" t="inlineStr">
        <is>
          <t>80%</t>
        </is>
      </c>
      <c r="D10" s="4" t="inlineStr">
        <is>
          <t>197%</t>
        </is>
      </c>
      <c r="E10" s="4" t="inlineStr">
        <is>
          <t>8.06 SOL</t>
        </is>
      </c>
      <c r="F10" s="3" t="inlineStr">
        <is>
          <t>0 (0%)</t>
        </is>
      </c>
      <c r="G10" s="3" t="inlineStr">
        <is>
          <t>0 (0%)</t>
        </is>
      </c>
      <c r="H10" s="3" t="n">
        <v>5</v>
      </c>
      <c r="I10" s="3" t="n">
        <v>0</v>
      </c>
      <c r="J10" s="3" t="inlineStr">
        <is>
          <t>23 h</t>
        </is>
      </c>
      <c r="K10" s="3" t="inlineStr">
        <is>
          <t>7 min</t>
        </is>
      </c>
      <c r="L10" s="4" t="inlineStr">
        <is>
          <t>72%</t>
        </is>
      </c>
      <c r="M10" s="3" t="inlineStr">
        <is>
          <t>40%</t>
        </is>
      </c>
      <c r="N10" s="3" t="n">
        <v>5</v>
      </c>
      <c r="O10" s="3" t="n">
        <v>2</v>
      </c>
      <c r="P10" s="3" t="inlineStr">
        <is>
          <t>1.4406 SOL</t>
        </is>
      </c>
      <c r="Q10" s="3" t="n">
        <v>1</v>
      </c>
      <c r="R10" s="3" t="n">
        <v>1.2</v>
      </c>
    </row>
    <row r="11">
      <c r="A11" s="2" t="inlineStr">
        <is>
          <t>Hhm82jsfjgzd7KXovXg5dapARUvUq3uSE7gen7cP1TxE</t>
        </is>
      </c>
      <c r="B11" s="3" t="inlineStr">
        <is>
          <t>304.01 SOL</t>
        </is>
      </c>
      <c r="C11" s="3" t="inlineStr">
        <is>
          <t>43%</t>
        </is>
      </c>
      <c r="D11" s="4" t="inlineStr">
        <is>
          <t>11%</t>
        </is>
      </c>
      <c r="E11" s="4" t="inlineStr">
        <is>
          <t>12.27 SOL</t>
        </is>
      </c>
      <c r="F11" s="3" t="inlineStr">
        <is>
          <t>0 (0%)</t>
        </is>
      </c>
      <c r="G11" s="3" t="inlineStr">
        <is>
          <t>0 (0%)</t>
        </is>
      </c>
      <c r="H11" s="3" t="n">
        <v>7</v>
      </c>
      <c r="I11" s="3" t="n">
        <v>1</v>
      </c>
      <c r="J11" s="3" t="inlineStr">
        <is>
          <t>25 days</t>
        </is>
      </c>
      <c r="K11" s="3" t="inlineStr">
        <is>
          <t>1 days</t>
        </is>
      </c>
      <c r="L11" s="5" t="inlineStr">
        <is>
          <t>-80%</t>
        </is>
      </c>
      <c r="M11" s="3" t="inlineStr">
        <is>
          <t>0%</t>
        </is>
      </c>
      <c r="N11" s="3" t="n">
        <v>3</v>
      </c>
      <c r="O11" s="3" t="n">
        <v>202</v>
      </c>
      <c r="P11" s="3" t="inlineStr">
        <is>
          <t>0.0206 SOL</t>
        </is>
      </c>
      <c r="Q11" s="3" t="n">
        <v>558</v>
      </c>
      <c r="R11" s="3" t="n">
        <v>2</v>
      </c>
    </row>
    <row r="12">
      <c r="A12" s="2" t="inlineStr">
        <is>
          <t>7DAMCyYSf3PpNn6jVzcrC3tyBQ5tD45JMajpKBocboHW</t>
        </is>
      </c>
      <c r="B12" s="3" t="inlineStr">
        <is>
          <t>9.24 SOL</t>
        </is>
      </c>
      <c r="C12" s="3" t="inlineStr">
        <is>
          <t>56%</t>
        </is>
      </c>
      <c r="D12" s="4" t="inlineStr">
        <is>
          <t>128%</t>
        </is>
      </c>
      <c r="E12" s="4" t="inlineStr">
        <is>
          <t>9.08 SOL</t>
        </is>
      </c>
      <c r="F12" s="3" t="inlineStr">
        <is>
          <t>0 (0%)</t>
        </is>
      </c>
      <c r="G12" s="3" t="inlineStr">
        <is>
          <t>0 (0%)</t>
        </is>
      </c>
      <c r="H12" s="3" t="n">
        <v>9</v>
      </c>
      <c r="I12" s="3" t="n">
        <v>0</v>
      </c>
      <c r="J12" s="3" t="inlineStr">
        <is>
          <t>1 days</t>
        </is>
      </c>
      <c r="K12" s="3" t="inlineStr">
        <is>
          <t>7 min</t>
        </is>
      </c>
      <c r="L12" s="4" t="inlineStr">
        <is>
          <t>29%</t>
        </is>
      </c>
      <c r="M12" s="3" t="inlineStr">
        <is>
          <t>33%</t>
        </is>
      </c>
      <c r="N12" s="3" t="n">
        <v>9</v>
      </c>
      <c r="O12" s="3" t="n">
        <v>0</v>
      </c>
      <c r="P12" s="3" t="inlineStr">
        <is>
          <t>1.7907 SOL</t>
        </is>
      </c>
      <c r="Q12" s="3" t="n">
        <v>1</v>
      </c>
      <c r="R12" s="3" t="n">
        <v>1.1</v>
      </c>
    </row>
    <row r="13">
      <c r="A13" s="2" t="inlineStr">
        <is>
          <t>AKtLvJx2gZYSFxzADPUNs3Rf5sBFbg3qZr7pdWiZGa6D</t>
        </is>
      </c>
      <c r="B13" s="3" t="inlineStr">
        <is>
          <t>32.39 SOL</t>
        </is>
      </c>
      <c r="C13" s="3" t="inlineStr">
        <is>
          <t>43%</t>
        </is>
      </c>
      <c r="D13" s="4" t="inlineStr">
        <is>
          <t>68%</t>
        </is>
      </c>
      <c r="E13" s="4" t="inlineStr">
        <is>
          <t>17.67 SOL</t>
        </is>
      </c>
      <c r="F13" s="3" t="inlineStr">
        <is>
          <t>0 (0%)</t>
        </is>
      </c>
      <c r="G13" s="3" t="inlineStr">
        <is>
          <t>1 (14%)</t>
        </is>
      </c>
      <c r="H13" s="3" t="n">
        <v>7</v>
      </c>
      <c r="I13" s="3" t="n">
        <v>0</v>
      </c>
      <c r="J13" s="3" t="inlineStr">
        <is>
          <t>17 days</t>
        </is>
      </c>
      <c r="K13" s="3" t="inlineStr">
        <is>
          <t>15 h</t>
        </is>
      </c>
      <c r="L13" s="5" t="inlineStr">
        <is>
          <t>-22%</t>
        </is>
      </c>
      <c r="M13" s="3" t="inlineStr">
        <is>
          <t>14%</t>
        </is>
      </c>
      <c r="N13" s="3" t="n">
        <v>4</v>
      </c>
      <c r="O13" s="3" t="n">
        <v>14</v>
      </c>
      <c r="P13" s="3" t="inlineStr">
        <is>
          <t>0.0048 SOL</t>
        </is>
      </c>
      <c r="Q13" s="3" t="n">
        <v>130</v>
      </c>
      <c r="R13" s="3" t="n">
        <v>2</v>
      </c>
    </row>
    <row r="14">
      <c r="A14" s="2" t="inlineStr">
        <is>
          <t>QsKPitHpk21brkEKL1FyZaJQB18xMseGsxLUwSBP4mX</t>
        </is>
      </c>
      <c r="B14" s="3" t="inlineStr">
        <is>
          <t>19.08 SOL</t>
        </is>
      </c>
      <c r="C14" s="3" t="inlineStr">
        <is>
          <t>55%</t>
        </is>
      </c>
      <c r="D14" s="4" t="inlineStr">
        <is>
          <t>218%</t>
        </is>
      </c>
      <c r="E14" s="4" t="inlineStr">
        <is>
          <t>744.26 SOL</t>
        </is>
      </c>
      <c r="F14" s="5" t="inlineStr">
        <is>
          <t>74 (73%)</t>
        </is>
      </c>
      <c r="G14" s="3" t="inlineStr">
        <is>
          <t>0 (0%)</t>
        </is>
      </c>
      <c r="H14" s="3" t="n">
        <v>102</v>
      </c>
      <c r="I14" s="3" t="n">
        <v>0</v>
      </c>
      <c r="J14" s="3" t="inlineStr">
        <is>
          <t>39 days</t>
        </is>
      </c>
      <c r="K14" s="3" t="inlineStr">
        <is>
          <t>25 sec</t>
        </is>
      </c>
      <c r="L14" s="4" t="inlineStr">
        <is>
          <t>5%</t>
        </is>
      </c>
      <c r="M14" s="3" t="inlineStr">
        <is>
          <t>15%</t>
        </is>
      </c>
      <c r="N14" s="3" t="n">
        <v>58</v>
      </c>
      <c r="O14" s="3" t="n">
        <v>214</v>
      </c>
      <c r="P14" s="3" t="inlineStr">
        <is>
          <t>10.8168 SOL</t>
        </is>
      </c>
      <c r="Q14" s="3" t="n">
        <v>54</v>
      </c>
      <c r="R14" s="3" t="n">
        <v>1</v>
      </c>
    </row>
    <row r="15">
      <c r="A15" s="2" t="inlineStr">
        <is>
          <t>5L2VdnbQDDBLHBxLn79chKbszxbfZKkHp3ENHaErsPGA</t>
        </is>
      </c>
      <c r="B15" s="3" t="inlineStr">
        <is>
          <t>9.26 SOL</t>
        </is>
      </c>
      <c r="C15" s="3" t="inlineStr">
        <is>
          <t>67%</t>
        </is>
      </c>
      <c r="D15" s="4" t="inlineStr">
        <is>
          <t>142%</t>
        </is>
      </c>
      <c r="E15" s="4" t="inlineStr">
        <is>
          <t>9.03 SOL</t>
        </is>
      </c>
      <c r="F15" s="3" t="inlineStr">
        <is>
          <t>0 (0%)</t>
        </is>
      </c>
      <c r="G15" s="3" t="inlineStr">
        <is>
          <t>0 (0%)</t>
        </is>
      </c>
      <c r="H15" s="3" t="n">
        <v>9</v>
      </c>
      <c r="I15" s="3" t="n">
        <v>0</v>
      </c>
      <c r="J15" s="3" t="inlineStr">
        <is>
          <t>1 days</t>
        </is>
      </c>
      <c r="K15" s="3" t="inlineStr">
        <is>
          <t>7 min</t>
        </is>
      </c>
      <c r="L15" s="4" t="inlineStr">
        <is>
          <t>66%</t>
        </is>
      </c>
      <c r="M15" s="3" t="inlineStr">
        <is>
          <t>22%</t>
        </is>
      </c>
      <c r="N15" s="3" t="n">
        <v>9</v>
      </c>
      <c r="O15" s="3" t="n">
        <v>0</v>
      </c>
      <c r="P15" s="3" t="inlineStr">
        <is>
          <t>1.7407 SOL</t>
        </is>
      </c>
      <c r="Q15" s="3" t="n">
        <v>1</v>
      </c>
      <c r="R15" s="3" t="n">
        <v>1.1</v>
      </c>
    </row>
    <row r="16">
      <c r="A16" s="2" t="inlineStr">
        <is>
          <t>DSsSCWgC7rfYfLUvQBt2QEgwLHretBbmxPCgWMwb49pB</t>
        </is>
      </c>
      <c r="B16" s="3" t="inlineStr">
        <is>
          <t>9.00 SOL</t>
        </is>
      </c>
      <c r="C16" s="3" t="inlineStr">
        <is>
          <t>63%</t>
        </is>
      </c>
      <c r="D16" s="4" t="inlineStr">
        <is>
          <t>157%</t>
        </is>
      </c>
      <c r="E16" s="4" t="inlineStr">
        <is>
          <t>8.73 SOL</t>
        </is>
      </c>
      <c r="F16" s="3" t="inlineStr">
        <is>
          <t>0 (0%)</t>
        </is>
      </c>
      <c r="G16" s="3" t="inlineStr">
        <is>
          <t>0 (0%)</t>
        </is>
      </c>
      <c r="H16" s="3" t="n">
        <v>8</v>
      </c>
      <c r="I16" s="3" t="n">
        <v>0</v>
      </c>
      <c r="J16" s="3" t="inlineStr">
        <is>
          <t>1 days</t>
        </is>
      </c>
      <c r="K16" s="3" t="inlineStr">
        <is>
          <t>7 min</t>
        </is>
      </c>
      <c r="L16" s="4" t="inlineStr">
        <is>
          <t>50%</t>
        </is>
      </c>
      <c r="M16" s="3" t="inlineStr">
        <is>
          <t>38%</t>
        </is>
      </c>
      <c r="N16" s="3" t="n">
        <v>8</v>
      </c>
      <c r="O16" s="3" t="n">
        <v>2</v>
      </c>
      <c r="P16" s="3" t="inlineStr">
        <is>
          <t>1.7107 SOL</t>
        </is>
      </c>
      <c r="Q16" s="3" t="n">
        <v>1</v>
      </c>
      <c r="R16" s="3" t="n">
        <v>1.1</v>
      </c>
    </row>
    <row r="17">
      <c r="A17" s="2" t="inlineStr">
        <is>
          <t>EwMT7ygvaGxSsg7dn9gH6vRXLNSRv9BHYCf8fNUJVxdU</t>
        </is>
      </c>
      <c r="B17" s="3" t="inlineStr">
        <is>
          <t>10.92 SOL</t>
        </is>
      </c>
      <c r="C17" s="3" t="inlineStr">
        <is>
          <t>20%</t>
        </is>
      </c>
      <c r="D17" s="5" t="inlineStr">
        <is>
          <t>-53%</t>
        </is>
      </c>
      <c r="E17" s="5" t="inlineStr">
        <is>
          <t>-4.30 SOL</t>
        </is>
      </c>
      <c r="F17" s="3" t="inlineStr">
        <is>
          <t>1 (7%)</t>
        </is>
      </c>
      <c r="G17" s="3" t="inlineStr">
        <is>
          <t>0 (0%)</t>
        </is>
      </c>
      <c r="H17" s="3" t="n">
        <v>15</v>
      </c>
      <c r="I17" s="3" t="n">
        <v>3</v>
      </c>
      <c r="J17" s="3" t="inlineStr">
        <is>
          <t>8 days</t>
        </is>
      </c>
      <c r="K17" s="3" t="inlineStr">
        <is>
          <t>12 min</t>
        </is>
      </c>
      <c r="L17" s="5" t="inlineStr">
        <is>
          <t>-85%</t>
        </is>
      </c>
      <c r="M17" s="3" t="inlineStr">
        <is>
          <t>13%</t>
        </is>
      </c>
      <c r="N17" s="3" t="n">
        <v>7</v>
      </c>
      <c r="O17" s="3" t="n">
        <v>12</v>
      </c>
      <c r="P17" s="3" t="inlineStr">
        <is>
          <t>0.0669 SOL</t>
        </is>
      </c>
      <c r="Q17" s="3" t="n">
        <v>8</v>
      </c>
      <c r="R17" s="3" t="n">
        <v>1.1</v>
      </c>
    </row>
    <row r="18">
      <c r="A18" s="2" t="inlineStr">
        <is>
          <t>8h9qMcPD6EddExbrgaxWNh966WvWZVC8LtwoWYzM7mUV</t>
        </is>
      </c>
      <c r="B18" s="3" t="inlineStr">
        <is>
          <t>5.92 SOL</t>
        </is>
      </c>
      <c r="C18" s="3" t="inlineStr">
        <is>
          <t>24%</t>
        </is>
      </c>
      <c r="D18" s="5" t="inlineStr">
        <is>
          <t>-7%</t>
        </is>
      </c>
      <c r="E18" s="5" t="inlineStr">
        <is>
          <t>-3.88 SOL</t>
        </is>
      </c>
      <c r="F18" s="3" t="inlineStr">
        <is>
          <t>0 (0%)</t>
        </is>
      </c>
      <c r="G18" s="3" t="inlineStr">
        <is>
          <t>0 (0%)</t>
        </is>
      </c>
      <c r="H18" s="3" t="n">
        <v>114</v>
      </c>
      <c r="I18" s="5" t="n">
        <v>36</v>
      </c>
      <c r="J18" s="3" t="inlineStr">
        <is>
          <t>88 days</t>
        </is>
      </c>
      <c r="K18" s="3" t="inlineStr">
        <is>
          <t>9 h</t>
        </is>
      </c>
      <c r="L18" s="5" t="inlineStr">
        <is>
          <t>-100%</t>
        </is>
      </c>
      <c r="M18" s="3" t="inlineStr">
        <is>
          <t>14%</t>
        </is>
      </c>
      <c r="N18" s="3" t="n">
        <v>9</v>
      </c>
      <c r="O18" s="3" t="n">
        <v>54</v>
      </c>
      <c r="P18" s="3" t="inlineStr">
        <is>
          <t>0.1117 SOL</t>
        </is>
      </c>
      <c r="Q18" s="3" t="n">
        <v>108</v>
      </c>
      <c r="R18" s="3" t="n">
        <v>1.4</v>
      </c>
    </row>
    <row r="19">
      <c r="A19" s="2" t="inlineStr">
        <is>
          <t>GatWquUn9CNC5jmGtx45o34whfcrWa1AVLDn4r3SwXbr</t>
        </is>
      </c>
      <c r="B19" s="3" t="inlineStr">
        <is>
          <t>9.21 SOL</t>
        </is>
      </c>
      <c r="C19" s="3" t="inlineStr">
        <is>
          <t>47%</t>
        </is>
      </c>
      <c r="D19" s="4" t="inlineStr">
        <is>
          <t>76%</t>
        </is>
      </c>
      <c r="E19" s="4" t="inlineStr">
        <is>
          <t>107.70 SOL</t>
        </is>
      </c>
      <c r="F19" s="3" t="inlineStr">
        <is>
          <t>22 (12%)</t>
        </is>
      </c>
      <c r="G19" s="3" t="inlineStr">
        <is>
          <t>0 (0%)</t>
        </is>
      </c>
      <c r="H19" s="3" t="n">
        <v>184</v>
      </c>
      <c r="I19" s="3" t="n">
        <v>0</v>
      </c>
      <c r="J19" s="3" t="inlineStr">
        <is>
          <t>14 days</t>
        </is>
      </c>
      <c r="K19" s="3" t="inlineStr">
        <is>
          <t>8 min</t>
        </is>
      </c>
      <c r="L19" s="5" t="inlineStr">
        <is>
          <t>-1%</t>
        </is>
      </c>
      <c r="M19" s="3" t="inlineStr">
        <is>
          <t>13%</t>
        </is>
      </c>
      <c r="N19" s="3" t="n">
        <v>104</v>
      </c>
      <c r="O19" s="3" t="n">
        <v>461</v>
      </c>
      <c r="P19" s="3" t="inlineStr">
        <is>
          <t>1.1181 SOL</t>
        </is>
      </c>
      <c r="Q19" s="3" t="n">
        <v>14</v>
      </c>
      <c r="R19" s="3" t="n">
        <v>1.3</v>
      </c>
    </row>
    <row r="20">
      <c r="A20" s="2" t="inlineStr">
        <is>
          <t>H9AcEk9znmS8ZHejkZyR8CZre3ca74PdAF34yNYPVFuy</t>
        </is>
      </c>
      <c r="B20" s="3" t="inlineStr">
        <is>
          <t>5.15 SOL</t>
        </is>
      </c>
      <c r="C20" s="3" t="inlineStr">
        <is>
          <t>16%</t>
        </is>
      </c>
      <c r="D20" s="5" t="inlineStr">
        <is>
          <t>-26%</t>
        </is>
      </c>
      <c r="E20" s="5" t="inlineStr">
        <is>
          <t>-75.55 SOL</t>
        </is>
      </c>
      <c r="F20" s="3" t="inlineStr">
        <is>
          <t>0 (0%)</t>
        </is>
      </c>
      <c r="G20" s="3" t="inlineStr">
        <is>
          <t>0 (0%)</t>
        </is>
      </c>
      <c r="H20" s="3" t="n">
        <v>289</v>
      </c>
      <c r="I20" s="5" t="n">
        <v>84</v>
      </c>
      <c r="J20" s="3" t="inlineStr">
        <is>
          <t>23 days</t>
        </is>
      </c>
      <c r="K20" s="3" t="inlineStr">
        <is>
          <t>10 h</t>
        </is>
      </c>
      <c r="L20" s="5" t="inlineStr">
        <is>
          <t>-100%</t>
        </is>
      </c>
      <c r="M20" s="3" t="inlineStr">
        <is>
          <t>11%</t>
        </is>
      </c>
      <c r="N20" s="3" t="n">
        <v>0</v>
      </c>
      <c r="O20" s="3" t="n">
        <v>140</v>
      </c>
      <c r="P20" s="3" t="inlineStr">
        <is>
          <t>0.6428 SOL</t>
        </is>
      </c>
      <c r="Q20" s="3" t="n">
        <v>122</v>
      </c>
      <c r="R20" s="3" t="n">
        <v>1</v>
      </c>
    </row>
    <row r="21">
      <c r="A21" s="2" t="inlineStr">
        <is>
          <t>2FaNRoiXTZ9xXXNKRPap3VXiSZQr6ebwjnHBseCWJc9h</t>
        </is>
      </c>
      <c r="B21" s="3" t="inlineStr">
        <is>
          <t>9.17 SOL</t>
        </is>
      </c>
      <c r="C21" s="3" t="inlineStr">
        <is>
          <t>63%</t>
        </is>
      </c>
      <c r="D21" s="4" t="inlineStr">
        <is>
          <t>146%</t>
        </is>
      </c>
      <c r="E21" s="4" t="inlineStr">
        <is>
          <t>8.93 SOL</t>
        </is>
      </c>
      <c r="F21" s="3" t="inlineStr">
        <is>
          <t>0 (0%)</t>
        </is>
      </c>
      <c r="G21" s="3" t="inlineStr">
        <is>
          <t>0 (0%)</t>
        </is>
      </c>
      <c r="H21" s="3" t="n">
        <v>8</v>
      </c>
      <c r="I21" s="3" t="n">
        <v>0</v>
      </c>
      <c r="J21" s="3" t="inlineStr">
        <is>
          <t>1 days</t>
        </is>
      </c>
      <c r="K21" s="3" t="inlineStr">
        <is>
          <t>7 min</t>
        </is>
      </c>
      <c r="L21" s="4" t="inlineStr">
        <is>
          <t>56%</t>
        </is>
      </c>
      <c r="M21" s="3" t="inlineStr">
        <is>
          <t>25%</t>
        </is>
      </c>
      <c r="N21" s="3" t="n">
        <v>8</v>
      </c>
      <c r="O21" s="3" t="n">
        <v>2</v>
      </c>
      <c r="P21" s="3" t="inlineStr">
        <is>
          <t>1.7307 SOL</t>
        </is>
      </c>
      <c r="Q21" s="3" t="n">
        <v>1</v>
      </c>
      <c r="R21" s="3" t="n">
        <v>1.1</v>
      </c>
    </row>
    <row r="22">
      <c r="A22" s="2" t="inlineStr">
        <is>
          <t>A4w9U4xDEPpEqJZGgq6ywkKhqq3KBKzSZSSmtDin7NqS</t>
        </is>
      </c>
      <c r="B22" s="3" t="inlineStr">
        <is>
          <t>10.50 SOL</t>
        </is>
      </c>
      <c r="C22" s="3" t="inlineStr">
        <is>
          <t>46%</t>
        </is>
      </c>
      <c r="D22" s="4" t="inlineStr">
        <is>
          <t>47%</t>
        </is>
      </c>
      <c r="E22" s="4" t="inlineStr">
        <is>
          <t>21.66 SOL</t>
        </is>
      </c>
      <c r="F22" s="3" t="inlineStr">
        <is>
          <t>1 (4%)</t>
        </is>
      </c>
      <c r="G22" s="3" t="inlineStr">
        <is>
          <t>0 (0%)</t>
        </is>
      </c>
      <c r="H22" s="3" t="n">
        <v>26</v>
      </c>
      <c r="I22" s="3" t="n">
        <v>4</v>
      </c>
      <c r="J22" s="3" t="inlineStr">
        <is>
          <t>30 days</t>
        </is>
      </c>
      <c r="K22" s="3" t="inlineStr">
        <is>
          <t>40 min</t>
        </is>
      </c>
      <c r="L22" s="5" t="inlineStr">
        <is>
          <t>-15%</t>
        </is>
      </c>
      <c r="M22" s="3" t="inlineStr">
        <is>
          <t>19%</t>
        </is>
      </c>
      <c r="N22" s="3" t="n">
        <v>11</v>
      </c>
      <c r="O22" s="3" t="n">
        <v>20</v>
      </c>
      <c r="P22" s="3" t="inlineStr">
        <is>
          <t>0.3713 SOL</t>
        </is>
      </c>
      <c r="Q22" s="3" t="n">
        <v>54</v>
      </c>
      <c r="R22" s="3" t="n">
        <v>1.1</v>
      </c>
    </row>
    <row r="23">
      <c r="A23" s="2" t="inlineStr">
        <is>
          <t>DbGhxzA5cbKQ6HrtMqz7gGcjgNyZJbYvdw7hAFZXqB9M</t>
        </is>
      </c>
      <c r="B23" s="3" t="inlineStr">
        <is>
          <t>11.87 SOL</t>
        </is>
      </c>
      <c r="C23" s="3" t="inlineStr">
        <is>
          <t>48%</t>
        </is>
      </c>
      <c r="D23" s="4" t="inlineStr">
        <is>
          <t>62%</t>
        </is>
      </c>
      <c r="E23" s="4" t="inlineStr">
        <is>
          <t>39.15 SOL</t>
        </is>
      </c>
      <c r="F23" s="3" t="inlineStr">
        <is>
          <t>7 (15%)</t>
        </is>
      </c>
      <c r="G23" s="3" t="inlineStr">
        <is>
          <t>0 (0%)</t>
        </is>
      </c>
      <c r="H23" s="3" t="n">
        <v>46</v>
      </c>
      <c r="I23" s="3" t="n">
        <v>0</v>
      </c>
      <c r="J23" s="3" t="inlineStr">
        <is>
          <t>31 days</t>
        </is>
      </c>
      <c r="K23" s="3" t="inlineStr">
        <is>
          <t>5 min</t>
        </is>
      </c>
      <c r="L23" s="5" t="inlineStr">
        <is>
          <t>-1%</t>
        </is>
      </c>
      <c r="M23" s="3" t="inlineStr">
        <is>
          <t>7%</t>
        </is>
      </c>
      <c r="N23" s="3" t="n">
        <v>42</v>
      </c>
      <c r="O23" s="3" t="n">
        <v>17</v>
      </c>
      <c r="P23" s="3" t="inlineStr">
        <is>
          <t>0.6956 SOL</t>
        </is>
      </c>
      <c r="Q23" s="3" t="n">
        <v>31</v>
      </c>
      <c r="R23" s="3" t="n">
        <v>1.4</v>
      </c>
    </row>
    <row r="24">
      <c r="A24" s="2" t="inlineStr">
        <is>
          <t>47KdXtjkFVcUkew2hwjhX7kaTrN3JYvEx8dBpgHVABoH</t>
        </is>
      </c>
      <c r="B24" s="3" t="inlineStr">
        <is>
          <t>8.32 SOL</t>
        </is>
      </c>
      <c r="C24" s="3" t="inlineStr">
        <is>
          <t>57%</t>
        </is>
      </c>
      <c r="D24" s="4" t="inlineStr">
        <is>
          <t>152%</t>
        </is>
      </c>
      <c r="E24" s="4" t="inlineStr">
        <is>
          <t>7.81 SOL</t>
        </is>
      </c>
      <c r="F24" s="3" t="inlineStr">
        <is>
          <t>0 (0%)</t>
        </is>
      </c>
      <c r="G24" s="3" t="inlineStr">
        <is>
          <t>0 (0%)</t>
        </is>
      </c>
      <c r="H24" s="3" t="n">
        <v>7</v>
      </c>
      <c r="I24" s="3" t="n">
        <v>0</v>
      </c>
      <c r="J24" s="3" t="inlineStr">
        <is>
          <t>17 h</t>
        </is>
      </c>
      <c r="K24" s="3" t="inlineStr">
        <is>
          <t>8 min</t>
        </is>
      </c>
      <c r="L24" s="4" t="inlineStr">
        <is>
          <t>31%</t>
        </is>
      </c>
      <c r="M24" s="3" t="inlineStr">
        <is>
          <t>29%</t>
        </is>
      </c>
      <c r="N24" s="3" t="n">
        <v>7</v>
      </c>
      <c r="O24" s="3" t="n">
        <v>4</v>
      </c>
      <c r="P24" s="3" t="inlineStr">
        <is>
          <t>1.5206 SOL</t>
        </is>
      </c>
      <c r="Q24" s="3" t="n">
        <v>1</v>
      </c>
      <c r="R24" s="3" t="n">
        <v>1.1</v>
      </c>
    </row>
    <row r="25">
      <c r="A25" s="2" t="inlineStr">
        <is>
          <t>8vQjS83mYfGaF9bhmJHNcHodPUVQ8Vsgc2S84nRS4zfx</t>
        </is>
      </c>
      <c r="B25" s="3" t="inlineStr">
        <is>
          <t>12.30 SOL</t>
        </is>
      </c>
      <c r="C25" s="3" t="inlineStr">
        <is>
          <t>10%</t>
        </is>
      </c>
      <c r="D25" s="4" t="inlineStr">
        <is>
          <t>40%</t>
        </is>
      </c>
      <c r="E25" s="4" t="inlineStr">
        <is>
          <t>22.11 SOL</t>
        </is>
      </c>
      <c r="F25" s="3" t="inlineStr">
        <is>
          <t>0 (0%)</t>
        </is>
      </c>
      <c r="G25" s="3" t="inlineStr">
        <is>
          <t>0 (0%)</t>
        </is>
      </c>
      <c r="H25" s="3" t="n">
        <v>132</v>
      </c>
      <c r="I25" s="5" t="n">
        <v>30</v>
      </c>
      <c r="J25" s="3" t="inlineStr">
        <is>
          <t>11 days</t>
        </is>
      </c>
      <c r="K25" s="3" t="inlineStr">
        <is>
          <t>1 h</t>
        </is>
      </c>
      <c r="L25" s="5" t="inlineStr">
        <is>
          <t>-100%</t>
        </is>
      </c>
      <c r="M25" s="3" t="inlineStr">
        <is>
          <t>8%</t>
        </is>
      </c>
      <c r="N25" s="3" t="n">
        <v>38</v>
      </c>
      <c r="O25" s="3" t="n">
        <v>127</v>
      </c>
      <c r="P25" s="3" t="inlineStr">
        <is>
          <t>0.1922 SOL</t>
        </is>
      </c>
      <c r="Q25" s="3" t="n">
        <v>11</v>
      </c>
      <c r="R25" s="3" t="n">
        <v>1.5</v>
      </c>
    </row>
    <row r="26">
      <c r="A26" s="2" t="inlineStr">
        <is>
          <t>EfYpUUvfpfJLJt42kLEwqReSQgEQaKiGeHDvP9UWKWP2</t>
        </is>
      </c>
      <c r="B26" s="3" t="inlineStr">
        <is>
          <t>3.42 SOL</t>
        </is>
      </c>
      <c r="C26" s="3" t="inlineStr">
        <is>
          <t>41%</t>
        </is>
      </c>
      <c r="D26" s="4" t="inlineStr">
        <is>
          <t>55%</t>
        </is>
      </c>
      <c r="E26" s="4" t="inlineStr">
        <is>
          <t>65.54 SOL</t>
        </is>
      </c>
      <c r="F26" s="3" t="inlineStr">
        <is>
          <t>5 (6%)</t>
        </is>
      </c>
      <c r="G26" s="3" t="inlineStr">
        <is>
          <t>0 (0%)</t>
        </is>
      </c>
      <c r="H26" s="3" t="n">
        <v>83</v>
      </c>
      <c r="I26" s="3" t="n">
        <v>0</v>
      </c>
      <c r="J26" s="3" t="inlineStr">
        <is>
          <t>57 days</t>
        </is>
      </c>
      <c r="K26" s="3" t="inlineStr">
        <is>
          <t>11 min</t>
        </is>
      </c>
      <c r="L26" s="5" t="inlineStr">
        <is>
          <t>-5%</t>
        </is>
      </c>
      <c r="M26" s="3" t="inlineStr">
        <is>
          <t>10%</t>
        </is>
      </c>
      <c r="N26" s="3" t="n">
        <v>79</v>
      </c>
      <c r="O26" s="3" t="n">
        <v>21</v>
      </c>
      <c r="P26" s="3" t="inlineStr">
        <is>
          <t>1.6022 SOL</t>
        </is>
      </c>
      <c r="Q26" s="3" t="n">
        <v>60</v>
      </c>
      <c r="R26" s="3" t="n">
        <v>1.3</v>
      </c>
    </row>
    <row r="27">
      <c r="A27" s="2" t="inlineStr">
        <is>
          <t>EZrztGLkXoMbTTA8xXh8ZJ5EVnWCoMRpFUVMTTKFUFF</t>
        </is>
      </c>
      <c r="B27" s="3" t="inlineStr">
        <is>
          <t>66.14 SOL</t>
        </is>
      </c>
      <c r="C27" s="3" t="inlineStr">
        <is>
          <t>25%</t>
        </is>
      </c>
      <c r="D27" s="4" t="inlineStr">
        <is>
          <t>37%</t>
        </is>
      </c>
      <c r="E27" s="4" t="inlineStr">
        <is>
          <t>54.46 SOL</t>
        </is>
      </c>
      <c r="F27" s="3" t="inlineStr">
        <is>
          <t>8 (8%)</t>
        </is>
      </c>
      <c r="G27" s="3" t="inlineStr">
        <is>
          <t>0 (0%)</t>
        </is>
      </c>
      <c r="H27" s="3" t="n">
        <v>106</v>
      </c>
      <c r="I27" s="5" t="n">
        <v>22</v>
      </c>
      <c r="J27" s="3" t="inlineStr">
        <is>
          <t>89 days</t>
        </is>
      </c>
      <c r="K27" s="3" t="inlineStr">
        <is>
          <t>2 h</t>
        </is>
      </c>
      <c r="L27" s="5" t="inlineStr">
        <is>
          <t>-60%</t>
        </is>
      </c>
      <c r="M27" s="3" t="inlineStr">
        <is>
          <t>12%</t>
        </is>
      </c>
      <c r="N27" s="3" t="n">
        <v>31</v>
      </c>
      <c r="O27" s="3" t="n">
        <v>40</v>
      </c>
      <c r="P27" s="3" t="inlineStr">
        <is>
          <t>2.9912 SOL</t>
        </is>
      </c>
      <c r="Q27" s="3" t="n">
        <v>273</v>
      </c>
      <c r="R27" s="3" t="n">
        <v>1.2</v>
      </c>
    </row>
    <row r="28">
      <c r="A28" s="2" t="inlineStr">
        <is>
          <t>7ApjVzSa4eWsH7hi5aCwPjbo1k2cw9unV2vy4VQZuL7K</t>
        </is>
      </c>
      <c r="B28" s="3" t="inlineStr">
        <is>
          <t>9.44 SOL</t>
        </is>
      </c>
      <c r="C28" s="3" t="inlineStr">
        <is>
          <t>78%</t>
        </is>
      </c>
      <c r="D28" s="4" t="inlineStr">
        <is>
          <t>125%</t>
        </is>
      </c>
      <c r="E28" s="4" t="inlineStr">
        <is>
          <t>9.27 SOL</t>
        </is>
      </c>
      <c r="F28" s="3" t="inlineStr">
        <is>
          <t>0 (0%)</t>
        </is>
      </c>
      <c r="G28" s="3" t="inlineStr">
        <is>
          <t>0 (0%)</t>
        </is>
      </c>
      <c r="H28" s="3" t="n">
        <v>9</v>
      </c>
      <c r="I28" s="3" t="n">
        <v>0</v>
      </c>
      <c r="J28" s="3" t="inlineStr">
        <is>
          <t>1 days</t>
        </is>
      </c>
      <c r="K28" s="3" t="inlineStr">
        <is>
          <t>7 min</t>
        </is>
      </c>
      <c r="L28" s="4" t="inlineStr">
        <is>
          <t>51%</t>
        </is>
      </c>
      <c r="M28" s="3" t="inlineStr">
        <is>
          <t>22%</t>
        </is>
      </c>
      <c r="N28" s="3" t="n">
        <v>9</v>
      </c>
      <c r="O28" s="3" t="n">
        <v>1</v>
      </c>
      <c r="P28" s="3" t="inlineStr">
        <is>
          <t>1.8707 SOL</t>
        </is>
      </c>
      <c r="Q28" s="3" t="n">
        <v>1</v>
      </c>
      <c r="R28" s="3" t="n">
        <v>1.2</v>
      </c>
    </row>
    <row r="29">
      <c r="A29" s="2" t="inlineStr">
        <is>
          <t>77AeyLRLcrFb195Qve1bUxFHWYVVvGRQDLmNpSnrpfJP</t>
        </is>
      </c>
      <c r="B29" s="3" t="inlineStr">
        <is>
          <t>9.88 SOL</t>
        </is>
      </c>
      <c r="C29" s="3" t="inlineStr">
        <is>
          <t>78%</t>
        </is>
      </c>
      <c r="D29" s="4" t="inlineStr">
        <is>
          <t>150%</t>
        </is>
      </c>
      <c r="E29" s="4" t="inlineStr">
        <is>
          <t>9.73 SOL</t>
        </is>
      </c>
      <c r="F29" s="3" t="inlineStr">
        <is>
          <t>0 (0%)</t>
        </is>
      </c>
      <c r="G29" s="3" t="inlineStr">
        <is>
          <t>0 (0%)</t>
        </is>
      </c>
      <c r="H29" s="3" t="n">
        <v>9</v>
      </c>
      <c r="I29" s="3" t="n">
        <v>0</v>
      </c>
      <c r="J29" s="3" t="inlineStr">
        <is>
          <t>1 days</t>
        </is>
      </c>
      <c r="K29" s="3" t="inlineStr">
        <is>
          <t>7 min</t>
        </is>
      </c>
      <c r="L29" s="4" t="inlineStr">
        <is>
          <t>35%</t>
        </is>
      </c>
      <c r="M29" s="3" t="inlineStr">
        <is>
          <t>33%</t>
        </is>
      </c>
      <c r="N29" s="3" t="n">
        <v>9</v>
      </c>
      <c r="O29" s="3" t="n">
        <v>0</v>
      </c>
      <c r="P29" s="3" t="inlineStr">
        <is>
          <t>1.8007 SOL</t>
        </is>
      </c>
      <c r="Q29" s="3" t="n">
        <v>1</v>
      </c>
      <c r="R29" s="3" t="n">
        <v>1.1</v>
      </c>
    </row>
    <row r="30">
      <c r="A30" s="2" t="inlineStr">
        <is>
          <t>7BJk376WuRbWZ7DJRnxyJoYwwh5p6XAV3gySChMMQ4pi</t>
        </is>
      </c>
      <c r="B30" s="3" t="inlineStr">
        <is>
          <t>10.04 SOL</t>
        </is>
      </c>
      <c r="C30" s="3" t="inlineStr">
        <is>
          <t>63%</t>
        </is>
      </c>
      <c r="D30" s="4" t="inlineStr">
        <is>
          <t>163%</t>
        </is>
      </c>
      <c r="E30" s="4" t="inlineStr">
        <is>
          <t>9.94 SOL</t>
        </is>
      </c>
      <c r="F30" s="3" t="inlineStr">
        <is>
          <t>0 (0%)</t>
        </is>
      </c>
      <c r="G30" s="3" t="inlineStr">
        <is>
          <t>0 (0%)</t>
        </is>
      </c>
      <c r="H30" s="3" t="n">
        <v>8</v>
      </c>
      <c r="I30" s="3" t="n">
        <v>0</v>
      </c>
      <c r="J30" s="3" t="inlineStr">
        <is>
          <t>1 days</t>
        </is>
      </c>
      <c r="K30" s="3" t="inlineStr">
        <is>
          <t>7 min</t>
        </is>
      </c>
      <c r="L30" s="4" t="inlineStr">
        <is>
          <t>97%</t>
        </is>
      </c>
      <c r="M30" s="3" t="inlineStr">
        <is>
          <t>50%</t>
        </is>
      </c>
      <c r="N30" s="3" t="n">
        <v>8</v>
      </c>
      <c r="O30" s="3" t="n">
        <v>0</v>
      </c>
      <c r="P30" s="3" t="inlineStr">
        <is>
          <t>1.8307 SOL</t>
        </is>
      </c>
      <c r="Q30" s="3" t="n">
        <v>1</v>
      </c>
      <c r="R30" s="3" t="n">
        <v>1.1</v>
      </c>
    </row>
    <row r="31">
      <c r="A31" s="2" t="inlineStr">
        <is>
          <t>JB6yZEJq23TmhhVroc4xTY5AdZjdfTqbscG7pqKt8yhU</t>
        </is>
      </c>
      <c r="B31" s="3" t="inlineStr">
        <is>
          <t>8.10 SOL</t>
        </is>
      </c>
      <c r="C31" s="3" t="inlineStr">
        <is>
          <t>44%</t>
        </is>
      </c>
      <c r="D31" s="4" t="inlineStr">
        <is>
          <t>0%</t>
        </is>
      </c>
      <c r="E31" s="5" t="inlineStr">
        <is>
          <t>-0.50 SOL</t>
        </is>
      </c>
      <c r="F31" s="3" t="inlineStr">
        <is>
          <t>22 (18%)</t>
        </is>
      </c>
      <c r="G31" s="3" t="inlineStr">
        <is>
          <t>0 (0%)</t>
        </is>
      </c>
      <c r="H31" s="3" t="n">
        <v>121</v>
      </c>
      <c r="I31" s="3" t="n">
        <v>0</v>
      </c>
      <c r="J31" s="3" t="inlineStr">
        <is>
          <t>15 days</t>
        </is>
      </c>
      <c r="K31" s="3" t="inlineStr">
        <is>
          <t>3 min</t>
        </is>
      </c>
      <c r="L31" s="5" t="inlineStr">
        <is>
          <t>-4%</t>
        </is>
      </c>
      <c r="M31" s="3" t="inlineStr">
        <is>
          <t>4%</t>
        </is>
      </c>
      <c r="N31" s="3" t="n">
        <v>39</v>
      </c>
      <c r="O31" s="3" t="n">
        <v>293</v>
      </c>
      <c r="P31" s="3" t="inlineStr">
        <is>
          <t>1.3296 SOL</t>
        </is>
      </c>
      <c r="Q31" s="3" t="n">
        <v>15</v>
      </c>
      <c r="R31" s="3" t="n">
        <v>1.3</v>
      </c>
    </row>
    <row r="32">
      <c r="A32" s="2" t="inlineStr">
        <is>
          <t>DCBzkdY6XtSMNgqeppLtKoAcTYTNKLf6FVtYy5LZvB2G</t>
        </is>
      </c>
      <c r="B32" s="3" t="inlineStr">
        <is>
          <t>10.53 SOL</t>
        </is>
      </c>
      <c r="C32" s="3" t="inlineStr">
        <is>
          <t>10%</t>
        </is>
      </c>
      <c r="D32" s="5" t="inlineStr">
        <is>
          <t>-11%</t>
        </is>
      </c>
      <c r="E32" s="5" t="inlineStr">
        <is>
          <t>-84.66 SOL</t>
        </is>
      </c>
      <c r="F32" s="3" t="inlineStr">
        <is>
          <t>1 (1%)</t>
        </is>
      </c>
      <c r="G32" s="3" t="inlineStr">
        <is>
          <t>2 (2%)</t>
        </is>
      </c>
      <c r="H32" s="3" t="n">
        <v>106</v>
      </c>
      <c r="I32" s="5" t="n">
        <v>21</v>
      </c>
      <c r="J32" s="3" t="inlineStr">
        <is>
          <t>23 days</t>
        </is>
      </c>
      <c r="K32" s="3" t="inlineStr">
        <is>
          <t>5 h</t>
        </is>
      </c>
      <c r="L32" s="5" t="inlineStr">
        <is>
          <t>-100%</t>
        </is>
      </c>
      <c r="M32" s="3" t="inlineStr">
        <is>
          <t>6%</t>
        </is>
      </c>
      <c r="N32" s="3" t="n">
        <v>14</v>
      </c>
      <c r="O32" s="3" t="n">
        <v>134</v>
      </c>
      <c r="P32" s="3" t="inlineStr">
        <is>
          <t>1.6255 SOL</t>
        </is>
      </c>
      <c r="Q32" s="3" t="n">
        <v>105</v>
      </c>
      <c r="R32" s="3" t="n">
        <v>4.5</v>
      </c>
    </row>
    <row r="33">
      <c r="A33" s="2" t="inlineStr">
        <is>
          <t>2CXbN6nuTTb4vCrtYM89SfQHMMKGPAW4mvFe6Ht4Yo6z</t>
        </is>
      </c>
      <c r="B33" s="3" t="inlineStr">
        <is>
          <t>582.00 SOL</t>
        </is>
      </c>
      <c r="C33" s="3" t="inlineStr">
        <is>
          <t>78%</t>
        </is>
      </c>
      <c r="D33" s="4" t="inlineStr">
        <is>
          <t>61%</t>
        </is>
      </c>
      <c r="E33" s="4" t="inlineStr">
        <is>
          <t>1735.63 SOL</t>
        </is>
      </c>
      <c r="F33" s="5" t="inlineStr">
        <is>
          <t>120 (42%)</t>
        </is>
      </c>
      <c r="G33" s="3" t="inlineStr">
        <is>
          <t>4 (1%)</t>
        </is>
      </c>
      <c r="H33" s="3" t="n">
        <v>287</v>
      </c>
      <c r="I33" s="3" t="n">
        <v>1</v>
      </c>
      <c r="J33" s="3" t="inlineStr">
        <is>
          <t>79 days</t>
        </is>
      </c>
      <c r="K33" s="3" t="inlineStr">
        <is>
          <t>1 min</t>
        </is>
      </c>
      <c r="L33" s="4" t="inlineStr">
        <is>
          <t>32%</t>
        </is>
      </c>
      <c r="M33" s="3" t="inlineStr">
        <is>
          <t>18%</t>
        </is>
      </c>
      <c r="N33" s="3" t="n">
        <v>181</v>
      </c>
      <c r="O33" s="3" t="n">
        <v>713</v>
      </c>
      <c r="P33" s="3" t="inlineStr">
        <is>
          <t>1.6192 SOL</t>
        </is>
      </c>
      <c r="Q33" s="3" t="n">
        <v>133</v>
      </c>
      <c r="R33" s="3" t="n">
        <v>1.3</v>
      </c>
    </row>
    <row r="34">
      <c r="A34" s="2" t="inlineStr">
        <is>
          <t>6X1jSkx7uDssCkm2PfXAWpvqT7s8ydt4663HF6YNLVZN</t>
        </is>
      </c>
      <c r="B34" s="3" t="inlineStr">
        <is>
          <t>8.33 SOL</t>
        </is>
      </c>
      <c r="C34" s="3" t="inlineStr">
        <is>
          <t>63%</t>
        </is>
      </c>
      <c r="D34" s="4" t="inlineStr">
        <is>
          <t>134%</t>
        </is>
      </c>
      <c r="E34" s="4" t="inlineStr">
        <is>
          <t>7.91 SOL</t>
        </is>
      </c>
      <c r="F34" s="3" t="inlineStr">
        <is>
          <t>0 (0%)</t>
        </is>
      </c>
      <c r="G34" s="3" t="inlineStr">
        <is>
          <t>0 (0%)</t>
        </is>
      </c>
      <c r="H34" s="3" t="n">
        <v>8</v>
      </c>
      <c r="I34" s="3" t="n">
        <v>0</v>
      </c>
      <c r="J34" s="3" t="inlineStr">
        <is>
          <t>1 days</t>
        </is>
      </c>
      <c r="K34" s="3" t="inlineStr">
        <is>
          <t>7 min</t>
        </is>
      </c>
      <c r="L34" s="4" t="inlineStr">
        <is>
          <t>40%</t>
        </is>
      </c>
      <c r="M34" s="3" t="inlineStr">
        <is>
          <t>25%</t>
        </is>
      </c>
      <c r="N34" s="3" t="n">
        <v>8</v>
      </c>
      <c r="O34" s="3" t="n">
        <v>2</v>
      </c>
      <c r="P34" s="3" t="inlineStr">
        <is>
          <t>1.6006 SOL</t>
        </is>
      </c>
      <c r="Q34" s="3" t="n">
        <v>1</v>
      </c>
      <c r="R34" s="3" t="n">
        <v>1.1</v>
      </c>
    </row>
    <row r="35">
      <c r="A35" s="2" t="inlineStr">
        <is>
          <t>2DvW7X3VKSYtbjjL6eSWbvhAXGRg31Y5hWhderg4BUJJ</t>
        </is>
      </c>
      <c r="B35" s="3" t="inlineStr">
        <is>
          <t>4.50 SOL</t>
        </is>
      </c>
      <c r="C35" s="3" t="inlineStr">
        <is>
          <t>62%</t>
        </is>
      </c>
      <c r="D35" s="4" t="inlineStr">
        <is>
          <t>77%</t>
        </is>
      </c>
      <c r="E35" s="4" t="inlineStr">
        <is>
          <t>60.30 SOL</t>
        </is>
      </c>
      <c r="F35" s="5" t="inlineStr">
        <is>
          <t>18 (38%)</t>
        </is>
      </c>
      <c r="G35" s="3" t="inlineStr">
        <is>
          <t>0 (0%)</t>
        </is>
      </c>
      <c r="H35" s="3" t="n">
        <v>47</v>
      </c>
      <c r="I35" s="3" t="n">
        <v>0</v>
      </c>
      <c r="J35" s="3" t="inlineStr">
        <is>
          <t>16 days</t>
        </is>
      </c>
      <c r="K35" s="3" t="inlineStr">
        <is>
          <t>2 min</t>
        </is>
      </c>
      <c r="L35" s="4" t="inlineStr">
        <is>
          <t>9%</t>
        </is>
      </c>
      <c r="M35" s="3" t="inlineStr">
        <is>
          <t>9%</t>
        </is>
      </c>
      <c r="N35" s="3" t="n">
        <v>46</v>
      </c>
      <c r="O35" s="3" t="n">
        <v>16</v>
      </c>
      <c r="P35" s="3" t="inlineStr">
        <is>
          <t>0.1088 SOL</t>
        </is>
      </c>
      <c r="Q35" s="3" t="n">
        <v>16</v>
      </c>
      <c r="R35" s="3" t="n">
        <v>1.1</v>
      </c>
    </row>
    <row r="36">
      <c r="A36" s="2" t="inlineStr">
        <is>
          <t>GLDsGoz3tM5vrVuKPuHCXLKxFGxeGX7qV2dr4kztWYCe</t>
        </is>
      </c>
      <c r="B36" s="3" t="inlineStr">
        <is>
          <t>26.48 SOL</t>
        </is>
      </c>
      <c r="C36" s="3" t="inlineStr">
        <is>
          <t>54%</t>
        </is>
      </c>
      <c r="D36" s="4" t="inlineStr">
        <is>
          <t>104%</t>
        </is>
      </c>
      <c r="E36" s="4" t="inlineStr">
        <is>
          <t>372.18 SOL</t>
        </is>
      </c>
      <c r="F36" s="3" t="inlineStr">
        <is>
          <t>7 (11%)</t>
        </is>
      </c>
      <c r="G36" s="3" t="inlineStr">
        <is>
          <t>0 (0%)</t>
        </is>
      </c>
      <c r="H36" s="3" t="n">
        <v>61</v>
      </c>
      <c r="I36" s="3" t="n">
        <v>0</v>
      </c>
      <c r="J36" s="3" t="inlineStr">
        <is>
          <t>88 days</t>
        </is>
      </c>
      <c r="K36" s="3" t="inlineStr">
        <is>
          <t>14 min</t>
        </is>
      </c>
      <c r="L36" s="4" t="inlineStr">
        <is>
          <t>3%</t>
        </is>
      </c>
      <c r="M36" s="3" t="inlineStr">
        <is>
          <t>16%</t>
        </is>
      </c>
      <c r="N36" s="3" t="n">
        <v>18</v>
      </c>
      <c r="O36" s="3" t="n">
        <v>54</v>
      </c>
      <c r="P36" s="3" t="inlineStr">
        <is>
          <t>1.3983 SOL</t>
        </is>
      </c>
      <c r="Q36" s="3" t="n">
        <v>111</v>
      </c>
      <c r="R36" s="3" t="n">
        <v>1.6</v>
      </c>
    </row>
    <row r="37">
      <c r="A37" s="2" t="inlineStr">
        <is>
          <t>HWh4UWj9YX9EpuyhVGwCtdq59ZpnNf3F8wraJ9c7EWJF</t>
        </is>
      </c>
      <c r="B37" s="3" t="inlineStr">
        <is>
          <t>9.30 SOL</t>
        </is>
      </c>
      <c r="C37" s="3" t="inlineStr">
        <is>
          <t>50%</t>
        </is>
      </c>
      <c r="D37" s="4" t="inlineStr">
        <is>
          <t>37%</t>
        </is>
      </c>
      <c r="E37" s="4" t="inlineStr">
        <is>
          <t>146.88 SOL</t>
        </is>
      </c>
      <c r="F37" s="3" t="inlineStr">
        <is>
          <t>2 (5%)</t>
        </is>
      </c>
      <c r="G37" s="3" t="inlineStr">
        <is>
          <t>0 (0%)</t>
        </is>
      </c>
      <c r="H37" s="3" t="n">
        <v>38</v>
      </c>
      <c r="I37" s="3" t="n">
        <v>3</v>
      </c>
      <c r="J37" s="3" t="inlineStr">
        <is>
          <t>8 days</t>
        </is>
      </c>
      <c r="K37" s="3" t="inlineStr">
        <is>
          <t>1 h</t>
        </is>
      </c>
      <c r="L37" s="5" t="inlineStr">
        <is>
          <t>-0%</t>
        </is>
      </c>
      <c r="M37" s="3" t="inlineStr">
        <is>
          <t>21%</t>
        </is>
      </c>
      <c r="N37" s="3" t="n">
        <v>3</v>
      </c>
      <c r="O37" s="3" t="n">
        <v>36</v>
      </c>
      <c r="P37" s="3" t="inlineStr">
        <is>
          <t>8.2317 SOL</t>
        </is>
      </c>
      <c r="Q37" s="3" t="n">
        <v>8</v>
      </c>
      <c r="R37" s="3" t="n">
        <v>4.6</v>
      </c>
    </row>
    <row r="38">
      <c r="A38" s="2" t="inlineStr">
        <is>
          <t>9UHGG5A73zsxE5uB5ZB67wc3p7zoNEer8assxVpJ7w3t</t>
        </is>
      </c>
      <c r="B38" s="3" t="inlineStr">
        <is>
          <t>10.86 SOL</t>
        </is>
      </c>
      <c r="C38" s="3" t="inlineStr">
        <is>
          <t>56%</t>
        </is>
      </c>
      <c r="D38" s="4" t="inlineStr">
        <is>
          <t>86%</t>
        </is>
      </c>
      <c r="E38" s="4" t="inlineStr">
        <is>
          <t>8.27 SOL</t>
        </is>
      </c>
      <c r="F38" s="3" t="inlineStr">
        <is>
          <t>0 (0%)</t>
        </is>
      </c>
      <c r="G38" s="3" t="inlineStr">
        <is>
          <t>0 (0%)</t>
        </is>
      </c>
      <c r="H38" s="3" t="n">
        <v>9</v>
      </c>
      <c r="I38" s="3" t="n">
        <v>0</v>
      </c>
      <c r="J38" s="3" t="inlineStr">
        <is>
          <t>3 days</t>
        </is>
      </c>
      <c r="K38" s="3" t="inlineStr">
        <is>
          <t>4 min</t>
        </is>
      </c>
      <c r="L38" s="4" t="inlineStr">
        <is>
          <t>18%</t>
        </is>
      </c>
      <c r="M38" s="3" t="inlineStr">
        <is>
          <t>33%</t>
        </is>
      </c>
      <c r="N38" s="3" t="n">
        <v>9</v>
      </c>
      <c r="O38" s="3" t="n">
        <v>2</v>
      </c>
      <c r="P38" s="3" t="inlineStr">
        <is>
          <t>1.9201 SOL</t>
        </is>
      </c>
      <c r="Q38" s="3" t="n">
        <v>3</v>
      </c>
      <c r="R38" s="3" t="n">
        <v>1</v>
      </c>
    </row>
    <row r="39">
      <c r="A39" s="2" t="inlineStr">
        <is>
          <t>DfG2SPZSo1jM7QwrFG9zVwbxGt5UApzf5vnDyLr13h8n</t>
        </is>
      </c>
      <c r="B39" s="3" t="inlineStr">
        <is>
          <t>191.60 SOL</t>
        </is>
      </c>
      <c r="C39" s="3" t="inlineStr">
        <is>
          <t>67%</t>
        </is>
      </c>
      <c r="D39" s="4" t="inlineStr">
        <is>
          <t>1561%</t>
        </is>
      </c>
      <c r="E39" s="4" t="inlineStr">
        <is>
          <t>185.52 SOL</t>
        </is>
      </c>
      <c r="F39" s="3" t="inlineStr">
        <is>
          <t>0 (0%)</t>
        </is>
      </c>
      <c r="G39" s="3" t="inlineStr">
        <is>
          <t>0 (0%)</t>
        </is>
      </c>
      <c r="H39" s="3" t="n">
        <v>3</v>
      </c>
      <c r="I39" s="3" t="n">
        <v>0</v>
      </c>
      <c r="J39" s="3" t="inlineStr">
        <is>
          <t>16 days</t>
        </is>
      </c>
      <c r="K39" s="3" t="inlineStr">
        <is>
          <t>2 h</t>
        </is>
      </c>
      <c r="L39" s="4" t="inlineStr">
        <is>
          <t>22%</t>
        </is>
      </c>
      <c r="M39" s="3" t="inlineStr">
        <is>
          <t>33%</t>
        </is>
      </c>
      <c r="N39" s="3" t="n">
        <v>3</v>
      </c>
      <c r="O39" s="3" t="n">
        <v>4</v>
      </c>
      <c r="P39" s="3" t="inlineStr">
        <is>
          <t>0.3302 SOL</t>
        </is>
      </c>
      <c r="Q39" s="3" t="n">
        <v>178</v>
      </c>
      <c r="R39" s="3" t="n">
        <v>2</v>
      </c>
    </row>
    <row r="40">
      <c r="A40" s="2" t="inlineStr">
        <is>
          <t>FxnE7hpyS4JbdrvFKRCZzwkS5WiEdAdsoG3YBXeL56WS</t>
        </is>
      </c>
      <c r="B40" s="3" t="inlineStr">
        <is>
          <t>2.33 SOL</t>
        </is>
      </c>
      <c r="C40" s="3" t="inlineStr">
        <is>
          <t>73%</t>
        </is>
      </c>
      <c r="D40" s="4" t="inlineStr">
        <is>
          <t>5%</t>
        </is>
      </c>
      <c r="E40" s="4" t="inlineStr">
        <is>
          <t>4.48 SOL</t>
        </is>
      </c>
      <c r="F40" s="3" t="inlineStr">
        <is>
          <t>0 (0%)</t>
        </is>
      </c>
      <c r="G40" s="3" t="inlineStr">
        <is>
          <t>2 (2%)</t>
        </is>
      </c>
      <c r="H40" s="3" t="n">
        <v>132</v>
      </c>
      <c r="I40" s="3" t="n">
        <v>0</v>
      </c>
      <c r="J40" s="3" t="inlineStr">
        <is>
          <t>34 days</t>
        </is>
      </c>
      <c r="K40" s="3" t="inlineStr">
        <is>
          <t>45 min</t>
        </is>
      </c>
      <c r="L40" s="4" t="inlineStr">
        <is>
          <t>9%</t>
        </is>
      </c>
      <c r="M40" s="3" t="inlineStr">
        <is>
          <t>2%</t>
        </is>
      </c>
      <c r="N40" s="3" t="n">
        <v>0</v>
      </c>
      <c r="O40" s="3" t="n">
        <v>245</v>
      </c>
      <c r="P40" s="3" t="inlineStr">
        <is>
          <t>0.1466 SOL</t>
        </is>
      </c>
      <c r="Q40" s="3" t="n">
        <v>63</v>
      </c>
      <c r="R40" s="3" t="n">
        <v>2.5</v>
      </c>
    </row>
    <row r="41">
      <c r="A41" s="2" t="inlineStr">
        <is>
          <t>DcbfdKmg5q6zeBQxdLvftVYQBazamZvUR3TuQmNiqTaX</t>
        </is>
      </c>
      <c r="B41" s="3" t="inlineStr">
        <is>
          <t>21.98 SOL</t>
        </is>
      </c>
      <c r="C41" s="3" t="inlineStr">
        <is>
          <t>7%</t>
        </is>
      </c>
      <c r="D41" s="5" t="inlineStr">
        <is>
          <t>-55%</t>
        </is>
      </c>
      <c r="E41" s="5" t="inlineStr">
        <is>
          <t>-9.56 SOL</t>
        </is>
      </c>
      <c r="F41" s="3" t="inlineStr">
        <is>
          <t>0 (0%)</t>
        </is>
      </c>
      <c r="G41" s="3" t="inlineStr">
        <is>
          <t>3 (11%)</t>
        </is>
      </c>
      <c r="H41" s="3" t="n">
        <v>27</v>
      </c>
      <c r="I41" s="3" t="n">
        <v>2</v>
      </c>
      <c r="J41" s="3" t="inlineStr">
        <is>
          <t>41 days</t>
        </is>
      </c>
      <c r="K41" s="3" t="inlineStr">
        <is>
          <t>4 days</t>
        </is>
      </c>
      <c r="L41" s="5" t="inlineStr">
        <is>
          <t>-100%</t>
        </is>
      </c>
      <c r="M41" s="3" t="inlineStr">
        <is>
          <t>4%</t>
        </is>
      </c>
      <c r="N41" s="3" t="n">
        <v>0</v>
      </c>
      <c r="O41" s="3" t="n">
        <v>33</v>
      </c>
      <c r="P41" s="3" t="inlineStr">
        <is>
          <t>0.0169 SOL</t>
        </is>
      </c>
      <c r="Q41" s="3" t="n">
        <v>131</v>
      </c>
      <c r="R41" s="3" t="n">
        <v>1.5</v>
      </c>
    </row>
    <row r="42">
      <c r="A42" s="2" t="inlineStr">
        <is>
          <t>5FNw37moEMV7KVqY6kC7gDR3xBFzDR1h3yJ1uggm25at</t>
        </is>
      </c>
      <c r="B42" s="3" t="inlineStr">
        <is>
          <t>83.02 SOL</t>
        </is>
      </c>
      <c r="C42" s="3" t="inlineStr">
        <is>
          <t>42%</t>
        </is>
      </c>
      <c r="D42" s="4" t="inlineStr">
        <is>
          <t>30%</t>
        </is>
      </c>
      <c r="E42" s="4" t="inlineStr">
        <is>
          <t>38.24 SOL</t>
        </is>
      </c>
      <c r="F42" s="3" t="inlineStr">
        <is>
          <t>7 (15%)</t>
        </is>
      </c>
      <c r="G42" s="3" t="inlineStr">
        <is>
          <t>0 (0%)</t>
        </is>
      </c>
      <c r="H42" s="3" t="n">
        <v>48</v>
      </c>
      <c r="I42" s="3" t="n">
        <v>0</v>
      </c>
      <c r="J42" s="3" t="inlineStr">
        <is>
          <t>52 days</t>
        </is>
      </c>
      <c r="K42" s="3" t="inlineStr">
        <is>
          <t>25 min</t>
        </is>
      </c>
      <c r="L42" s="5" t="inlineStr">
        <is>
          <t>-14%</t>
        </is>
      </c>
      <c r="M42" s="3" t="inlineStr">
        <is>
          <t>17%</t>
        </is>
      </c>
      <c r="N42" s="3" t="n">
        <v>29</v>
      </c>
      <c r="O42" s="3" t="n">
        <v>31</v>
      </c>
      <c r="P42" s="3" t="inlineStr">
        <is>
          <t>1.9407 SOL</t>
        </is>
      </c>
      <c r="Q42" s="3" t="n">
        <v>55</v>
      </c>
      <c r="R42" s="3" t="n">
        <v>1.6</v>
      </c>
    </row>
    <row r="43">
      <c r="A43" s="2" t="inlineStr">
        <is>
          <t>EMSMKAxW1h9gccBm2DfcPRExeK1tQ45k82eST4Nob8AN</t>
        </is>
      </c>
      <c r="B43" s="3" t="inlineStr">
        <is>
          <t>2.56 SOL</t>
        </is>
      </c>
      <c r="C43" s="3" t="inlineStr">
        <is>
          <t>27%</t>
        </is>
      </c>
      <c r="D43" s="5" t="inlineStr">
        <is>
          <t>-4%</t>
        </is>
      </c>
      <c r="E43" s="5" t="inlineStr">
        <is>
          <t>-0.78 SOL</t>
        </is>
      </c>
      <c r="F43" s="3" t="inlineStr">
        <is>
          <t>5 (17%)</t>
        </is>
      </c>
      <c r="G43" s="3" t="inlineStr">
        <is>
          <t>0 (0%)</t>
        </is>
      </c>
      <c r="H43" s="3" t="n">
        <v>30</v>
      </c>
      <c r="I43" s="3" t="n">
        <v>0</v>
      </c>
      <c r="J43" s="3" t="inlineStr">
        <is>
          <t>83 days</t>
        </is>
      </c>
      <c r="K43" s="3" t="inlineStr">
        <is>
          <t>25 min</t>
        </is>
      </c>
      <c r="L43" s="5" t="inlineStr">
        <is>
          <t>-14%</t>
        </is>
      </c>
      <c r="M43" s="3" t="inlineStr">
        <is>
          <t>10%</t>
        </is>
      </c>
      <c r="N43" s="3" t="n">
        <v>15</v>
      </c>
      <c r="O43" s="3" t="n">
        <v>112</v>
      </c>
      <c r="P43" s="3" t="inlineStr">
        <is>
          <t>0.0916 SOL</t>
        </is>
      </c>
      <c r="Q43" s="3" t="n">
        <v>228</v>
      </c>
      <c r="R43" s="3" t="n">
        <v>1.7</v>
      </c>
    </row>
    <row r="44">
      <c r="A44" s="2" t="inlineStr">
        <is>
          <t>7ETzevrpd9fbdyz4qoukTEgpS7cJe2o4JvYzm58A5E74</t>
        </is>
      </c>
      <c r="B44" s="3" t="inlineStr">
        <is>
          <t>78.50 SOL</t>
        </is>
      </c>
      <c r="C44" s="3" t="inlineStr">
        <is>
          <t>45%</t>
        </is>
      </c>
      <c r="D44" s="4" t="inlineStr">
        <is>
          <t>70%</t>
        </is>
      </c>
      <c r="E44" s="4" t="inlineStr">
        <is>
          <t>86.29 SOL</t>
        </is>
      </c>
      <c r="F44" s="3" t="inlineStr">
        <is>
          <t>5 (11%)</t>
        </is>
      </c>
      <c r="G44" s="3" t="inlineStr">
        <is>
          <t>0 (0%)</t>
        </is>
      </c>
      <c r="H44" s="3" t="n">
        <v>44</v>
      </c>
      <c r="I44" s="3" t="n">
        <v>0</v>
      </c>
      <c r="J44" s="3" t="inlineStr">
        <is>
          <t>52 days</t>
        </is>
      </c>
      <c r="K44" s="3" t="inlineStr">
        <is>
          <t>25 min</t>
        </is>
      </c>
      <c r="L44" s="5" t="inlineStr">
        <is>
          <t>-14%</t>
        </is>
      </c>
      <c r="M44" s="3" t="inlineStr">
        <is>
          <t>30%</t>
        </is>
      </c>
      <c r="N44" s="3" t="n">
        <v>24</v>
      </c>
      <c r="O44" s="3" t="n">
        <v>23</v>
      </c>
      <c r="P44" s="3" t="inlineStr">
        <is>
          <t>1.9406 SOL</t>
        </is>
      </c>
      <c r="Q44" s="3" t="n">
        <v>55</v>
      </c>
      <c r="R44" s="3" t="n">
        <v>1.5</v>
      </c>
    </row>
    <row r="45">
      <c r="A45" s="2" t="inlineStr">
        <is>
          <t>9PVLTmep2NhN7yk3gQDyLL4gbivwNEKXNrVsska12kLK</t>
        </is>
      </c>
      <c r="B45" s="3" t="inlineStr">
        <is>
          <t>5.53 SOL</t>
        </is>
      </c>
      <c r="C45" s="3" t="inlineStr">
        <is>
          <t>30%</t>
        </is>
      </c>
      <c r="D45" s="5" t="inlineStr">
        <is>
          <t>-9%</t>
        </is>
      </c>
      <c r="E45" s="5" t="inlineStr">
        <is>
          <t>-4.17 SOL</t>
        </is>
      </c>
      <c r="F45" s="3" t="inlineStr">
        <is>
          <t>0 (0%)</t>
        </is>
      </c>
      <c r="G45" s="3" t="inlineStr">
        <is>
          <t>1 (1%)</t>
        </is>
      </c>
      <c r="H45" s="3" t="n">
        <v>197</v>
      </c>
      <c r="I45" s="5" t="n">
        <v>34</v>
      </c>
      <c r="J45" s="3" t="inlineStr">
        <is>
          <t>26 days</t>
        </is>
      </c>
      <c r="K45" s="3" t="inlineStr">
        <is>
          <t>2 h</t>
        </is>
      </c>
      <c r="L45" s="5" t="inlineStr">
        <is>
          <t>-100%</t>
        </is>
      </c>
      <c r="M45" s="3" t="inlineStr">
        <is>
          <t>13%</t>
        </is>
      </c>
      <c r="N45" s="3" t="n">
        <v>72</v>
      </c>
      <c r="O45" s="3" t="n">
        <v>70</v>
      </c>
      <c r="P45" s="3" t="inlineStr">
        <is>
          <t>0.1299 SOL</t>
        </is>
      </c>
      <c r="Q45" s="3" t="n">
        <v>26</v>
      </c>
      <c r="R45" s="3" t="n">
        <v>1.1</v>
      </c>
    </row>
    <row r="46">
      <c r="A46" s="2" t="inlineStr">
        <is>
          <t>AaWigwfhLr8DUDxQs8SHS9U3NngUzqW8k4uEUAorijUR</t>
        </is>
      </c>
      <c r="B46" s="3" t="inlineStr">
        <is>
          <t>44.84 SOL</t>
        </is>
      </c>
      <c r="C46" s="3" t="inlineStr">
        <is>
          <t>47%</t>
        </is>
      </c>
      <c r="D46" s="4" t="inlineStr">
        <is>
          <t>55%</t>
        </is>
      </c>
      <c r="E46" s="4" t="inlineStr">
        <is>
          <t>38.01 SOL</t>
        </is>
      </c>
      <c r="F46" s="3" t="inlineStr">
        <is>
          <t>1 (6%)</t>
        </is>
      </c>
      <c r="G46" s="3" t="inlineStr">
        <is>
          <t>0 (0%)</t>
        </is>
      </c>
      <c r="H46" s="3" t="n">
        <v>17</v>
      </c>
      <c r="I46" s="3" t="n">
        <v>0</v>
      </c>
      <c r="J46" s="3" t="inlineStr">
        <is>
          <t>12 days</t>
        </is>
      </c>
      <c r="K46" s="3" t="inlineStr">
        <is>
          <t>6 h</t>
        </is>
      </c>
      <c r="L46" s="5" t="inlineStr">
        <is>
          <t>-5%</t>
        </is>
      </c>
      <c r="M46" s="3" t="inlineStr">
        <is>
          <t>18%</t>
        </is>
      </c>
      <c r="N46" s="3" t="n">
        <v>6</v>
      </c>
      <c r="O46" s="3" t="n">
        <v>14</v>
      </c>
      <c r="P46" s="3" t="inlineStr">
        <is>
          <t>0.2623 SOL</t>
        </is>
      </c>
      <c r="Q46" s="3" t="n">
        <v>12</v>
      </c>
      <c r="R46" s="3" t="n">
        <v>1.8</v>
      </c>
    </row>
    <row r="47">
      <c r="A47" s="2" t="inlineStr">
        <is>
          <t>8yawhtpY3bDHsHUQQwFQsCEBU7xcT8dYqrL7H4UBPqqS</t>
        </is>
      </c>
      <c r="B47" s="3" t="inlineStr">
        <is>
          <t>4.29 SOL</t>
        </is>
      </c>
      <c r="C47" s="3" t="inlineStr">
        <is>
          <t>67%</t>
        </is>
      </c>
      <c r="D47" s="4" t="inlineStr">
        <is>
          <t>169%</t>
        </is>
      </c>
      <c r="E47" s="4" t="inlineStr">
        <is>
          <t>5.11 SOL</t>
        </is>
      </c>
      <c r="F47" s="3" t="inlineStr">
        <is>
          <t>0 (0%)</t>
        </is>
      </c>
      <c r="G47" s="3" t="inlineStr">
        <is>
          <t>1 (17%)</t>
        </is>
      </c>
      <c r="H47" s="3" t="n">
        <v>6</v>
      </c>
      <c r="I47" s="3" t="n">
        <v>0</v>
      </c>
      <c r="J47" s="3" t="inlineStr">
        <is>
          <t>7 days</t>
        </is>
      </c>
      <c r="K47" s="3" t="inlineStr">
        <is>
          <t>20 min</t>
        </is>
      </c>
      <c r="L47" s="4" t="inlineStr">
        <is>
          <t>145%</t>
        </is>
      </c>
      <c r="M47" s="4" t="inlineStr">
        <is>
          <t>67%</t>
        </is>
      </c>
      <c r="N47" s="3" t="n">
        <v>6</v>
      </c>
      <c r="O47" s="3" t="n">
        <v>7</v>
      </c>
      <c r="P47" s="3" t="inlineStr">
        <is>
          <t>0.0201 SOL</t>
        </is>
      </c>
      <c r="Q47" s="3" t="n">
        <v>8</v>
      </c>
      <c r="R47" s="3" t="n">
        <v>1</v>
      </c>
    </row>
    <row r="48">
      <c r="A48" s="2" t="inlineStr">
        <is>
          <t>FgsQL8UUg9e5mqwDJbdUxcXZahqEGAnQYEseA7pcfz95</t>
        </is>
      </c>
      <c r="B48" s="3" t="inlineStr">
        <is>
          <t>12.60 SOL</t>
        </is>
      </c>
      <c r="C48" s="3" t="inlineStr">
        <is>
          <t>50%</t>
        </is>
      </c>
      <c r="D48" s="4" t="inlineStr">
        <is>
          <t>65%</t>
        </is>
      </c>
      <c r="E48" s="4" t="inlineStr">
        <is>
          <t>7.61 SOL</t>
        </is>
      </c>
      <c r="F48" s="3" t="inlineStr">
        <is>
          <t>0 (0%)</t>
        </is>
      </c>
      <c r="G48" s="3" t="inlineStr">
        <is>
          <t>0 (0%)</t>
        </is>
      </c>
      <c r="H48" s="3" t="n">
        <v>18</v>
      </c>
      <c r="I48" s="3" t="n">
        <v>2</v>
      </c>
      <c r="J48" s="3" t="inlineStr">
        <is>
          <t>26 days</t>
        </is>
      </c>
      <c r="K48" s="3" t="inlineStr">
        <is>
          <t>7 h</t>
        </is>
      </c>
      <c r="L48" s="5" t="inlineStr">
        <is>
          <t>-3%</t>
        </is>
      </c>
      <c r="M48" s="3" t="inlineStr">
        <is>
          <t>6%</t>
        </is>
      </c>
      <c r="N48" s="3" t="n">
        <v>0</v>
      </c>
      <c r="O48" s="3" t="n">
        <v>33</v>
      </c>
      <c r="P48" s="3" t="inlineStr">
        <is>
          <t>0.0194 SOL</t>
        </is>
      </c>
      <c r="Q48" s="3" t="n">
        <v>134</v>
      </c>
      <c r="R48" s="3" t="n">
        <v>1.2</v>
      </c>
    </row>
    <row r="49">
      <c r="A49" s="2" t="inlineStr">
        <is>
          <t>Hc1syKADv3y8jEEcB2nnXfTe63X6cnmug4gpXQg59avr</t>
        </is>
      </c>
      <c r="B49" s="3" t="inlineStr">
        <is>
          <t>36.50 SOL</t>
        </is>
      </c>
      <c r="C49" s="3" t="inlineStr">
        <is>
          <t>47%</t>
        </is>
      </c>
      <c r="D49" s="4" t="inlineStr">
        <is>
          <t>154%</t>
        </is>
      </c>
      <c r="E49" s="4" t="inlineStr">
        <is>
          <t>736.33 SOL</t>
        </is>
      </c>
      <c r="F49" s="3" t="inlineStr">
        <is>
          <t>0 (0%)</t>
        </is>
      </c>
      <c r="G49" s="3" t="inlineStr">
        <is>
          <t>1 (6%)</t>
        </is>
      </c>
      <c r="H49" s="3" t="n">
        <v>17</v>
      </c>
      <c r="I49" s="3" t="n">
        <v>0</v>
      </c>
      <c r="J49" s="3" t="inlineStr">
        <is>
          <t>41 days</t>
        </is>
      </c>
      <c r="K49" s="3" t="inlineStr">
        <is>
          <t>5 h</t>
        </is>
      </c>
      <c r="L49" s="5" t="inlineStr">
        <is>
          <t>-3%</t>
        </is>
      </c>
      <c r="M49" s="3" t="inlineStr">
        <is>
          <t>18%</t>
        </is>
      </c>
      <c r="N49" s="3" t="n">
        <v>6</v>
      </c>
      <c r="O49" s="3" t="n">
        <v>31</v>
      </c>
      <c r="P49" s="3" t="inlineStr">
        <is>
          <t>0.0173 SOL</t>
        </is>
      </c>
      <c r="Q49" s="3" t="n">
        <v>663</v>
      </c>
      <c r="R49" s="3" t="n">
        <v>2.6</v>
      </c>
    </row>
    <row r="50">
      <c r="A50" s="2" t="inlineStr">
        <is>
          <t>Cm2aqELkVtJ1mzhjicqsdpTMBMF4oSufPgC7fkiknFfm</t>
        </is>
      </c>
      <c r="B50" s="3" t="inlineStr">
        <is>
          <t>62.46 SOL</t>
        </is>
      </c>
      <c r="C50" s="3" t="inlineStr">
        <is>
          <t>33%</t>
        </is>
      </c>
      <c r="D50" s="4" t="inlineStr">
        <is>
          <t>43%</t>
        </is>
      </c>
      <c r="E50" s="4" t="inlineStr">
        <is>
          <t>43.06 SOL</t>
        </is>
      </c>
      <c r="F50" s="3" t="inlineStr">
        <is>
          <t>0 (0%)</t>
        </is>
      </c>
      <c r="G50" s="3" t="inlineStr">
        <is>
          <t>0 (0%)</t>
        </is>
      </c>
      <c r="H50" s="3" t="n">
        <v>114</v>
      </c>
      <c r="I50" s="5" t="n">
        <v>9</v>
      </c>
      <c r="J50" s="3" t="inlineStr">
        <is>
          <t>89 days</t>
        </is>
      </c>
      <c r="K50" s="3" t="inlineStr">
        <is>
          <t>38 min</t>
        </is>
      </c>
      <c r="L50" s="5" t="inlineStr">
        <is>
          <t>-34%</t>
        </is>
      </c>
      <c r="M50" s="3" t="inlineStr">
        <is>
          <t>14%</t>
        </is>
      </c>
      <c r="N50" s="3" t="n">
        <v>36</v>
      </c>
      <c r="O50" s="3" t="n">
        <v>66</v>
      </c>
      <c r="P50" s="3" t="inlineStr">
        <is>
          <t>0.8440 SOL</t>
        </is>
      </c>
      <c r="Q50" s="3" t="n">
        <v>97</v>
      </c>
      <c r="R50" s="3" t="n">
        <v>1.1</v>
      </c>
    </row>
    <row r="51">
      <c r="A51" s="2" t="inlineStr">
        <is>
          <t>8PQ8hHUCM1EqspsDXYnLN2mWqeHC5Fz9U3JxiBz5jAe6</t>
        </is>
      </c>
      <c r="B51" s="3" t="inlineStr">
        <is>
          <t>59.31 SOL</t>
        </is>
      </c>
      <c r="C51" s="3" t="inlineStr">
        <is>
          <t>44%</t>
        </is>
      </c>
      <c r="D51" s="4" t="inlineStr">
        <is>
          <t>63%</t>
        </is>
      </c>
      <c r="E51" s="4" t="inlineStr">
        <is>
          <t>61.66 SOL</t>
        </is>
      </c>
      <c r="F51" s="3" t="inlineStr">
        <is>
          <t>6 (15%)</t>
        </is>
      </c>
      <c r="G51" s="3" t="inlineStr">
        <is>
          <t>0 (0%)</t>
        </is>
      </c>
      <c r="H51" s="3" t="n">
        <v>39</v>
      </c>
      <c r="I51" s="3" t="n">
        <v>0</v>
      </c>
      <c r="J51" s="3" t="inlineStr">
        <is>
          <t>75 days</t>
        </is>
      </c>
      <c r="K51" s="3" t="inlineStr">
        <is>
          <t>21 min</t>
        </is>
      </c>
      <c r="L51" s="5" t="inlineStr">
        <is>
          <t>-6%</t>
        </is>
      </c>
      <c r="M51" s="3" t="inlineStr">
        <is>
          <t>26%</t>
        </is>
      </c>
      <c r="N51" s="3" t="n">
        <v>23</v>
      </c>
      <c r="O51" s="3" t="n">
        <v>18</v>
      </c>
      <c r="P51" s="3" t="inlineStr">
        <is>
          <t>2.0308 SOL</t>
        </is>
      </c>
      <c r="Q51" s="3" t="n">
        <v>75</v>
      </c>
      <c r="R51" s="3" t="n">
        <v>2</v>
      </c>
    </row>
    <row r="52">
      <c r="A52" s="2" t="inlineStr">
        <is>
          <t>3wR4YLJYcypaaXGTKWtKVZt2izhBoBo6iCSzzSU6eV94</t>
        </is>
      </c>
      <c r="B52" s="3" t="inlineStr">
        <is>
          <t>3.82 SOL</t>
        </is>
      </c>
      <c r="C52" s="3" t="inlineStr">
        <is>
          <t>29%</t>
        </is>
      </c>
      <c r="D52" s="5" t="inlineStr">
        <is>
          <t>-21%</t>
        </is>
      </c>
      <c r="E52" s="5" t="inlineStr">
        <is>
          <t>-1.72 SOL</t>
        </is>
      </c>
      <c r="F52" s="3" t="inlineStr">
        <is>
          <t>4 (6%)</t>
        </is>
      </c>
      <c r="G52" s="3" t="inlineStr">
        <is>
          <t>0 (0%)</t>
        </is>
      </c>
      <c r="H52" s="3" t="n">
        <v>69</v>
      </c>
      <c r="I52" s="5" t="n">
        <v>7</v>
      </c>
      <c r="J52" s="3" t="inlineStr">
        <is>
          <t>7 days</t>
        </is>
      </c>
      <c r="K52" s="3" t="inlineStr">
        <is>
          <t>4 min</t>
        </is>
      </c>
      <c r="L52" s="5" t="inlineStr">
        <is>
          <t>-100%</t>
        </is>
      </c>
      <c r="M52" s="3" t="inlineStr">
        <is>
          <t>9%</t>
        </is>
      </c>
      <c r="N52" s="3" t="n">
        <v>21</v>
      </c>
      <c r="O52" s="3" t="n">
        <v>258</v>
      </c>
      <c r="P52" s="3" t="inlineStr">
        <is>
          <t>0.0872 SOL</t>
        </is>
      </c>
      <c r="Q52" s="3" t="n">
        <v>136</v>
      </c>
      <c r="R52" s="3" t="n">
        <v>1.1</v>
      </c>
    </row>
    <row r="53">
      <c r="A53" s="2" t="inlineStr">
        <is>
          <t>4g6kN5xeMhtBBFM4oBZTyoWAuSerRrJqAsFGKYTCz1VP</t>
        </is>
      </c>
      <c r="B53" s="3" t="inlineStr">
        <is>
          <t>55.13 SOL</t>
        </is>
      </c>
      <c r="C53" s="3" t="inlineStr">
        <is>
          <t>52%</t>
        </is>
      </c>
      <c r="D53" s="4" t="inlineStr">
        <is>
          <t>75%</t>
        </is>
      </c>
      <c r="E53" s="4" t="inlineStr">
        <is>
          <t>59.67 SOL</t>
        </is>
      </c>
      <c r="F53" s="3" t="inlineStr">
        <is>
          <t>0 (0%)</t>
        </is>
      </c>
      <c r="G53" s="5" t="inlineStr">
        <is>
          <t>6 (29%)</t>
        </is>
      </c>
      <c r="H53" s="3" t="n">
        <v>21</v>
      </c>
      <c r="I53" s="3" t="n">
        <v>0</v>
      </c>
      <c r="J53" s="3" t="inlineStr">
        <is>
          <t>56 days</t>
        </is>
      </c>
      <c r="K53" s="3" t="inlineStr">
        <is>
          <t>2 days</t>
        </is>
      </c>
      <c r="L53" s="4" t="inlineStr">
        <is>
          <t>7%</t>
        </is>
      </c>
      <c r="M53" s="3" t="inlineStr">
        <is>
          <t>29%</t>
        </is>
      </c>
      <c r="N53" s="3" t="n">
        <v>10</v>
      </c>
      <c r="O53" s="3" t="n">
        <v>99</v>
      </c>
      <c r="P53" s="3" t="inlineStr">
        <is>
          <t>0.0081 SOL</t>
        </is>
      </c>
      <c r="Q53" s="3" t="n">
        <v>687</v>
      </c>
      <c r="R53" s="3" t="n">
        <v>1.6</v>
      </c>
    </row>
    <row r="54">
      <c r="A54" s="2" t="inlineStr">
        <is>
          <t>HvTryrVpsizutDPadRkRGo323oS8mzsP2kQD4mWHX5br</t>
        </is>
      </c>
      <c r="B54" s="3" t="inlineStr">
        <is>
          <t>13.49 SOL</t>
        </is>
      </c>
      <c r="C54" s="3" t="inlineStr">
        <is>
          <t>89%</t>
        </is>
      </c>
      <c r="D54" s="4" t="inlineStr">
        <is>
          <t>67%</t>
        </is>
      </c>
      <c r="E54" s="4" t="inlineStr">
        <is>
          <t>14.11 SOL</t>
        </is>
      </c>
      <c r="F54" s="3" t="inlineStr">
        <is>
          <t>0 (0%)</t>
        </is>
      </c>
      <c r="G54" s="3" t="inlineStr">
        <is>
          <t>0 (0%)</t>
        </is>
      </c>
      <c r="H54" s="3" t="n">
        <v>18</v>
      </c>
      <c r="I54" s="3" t="n">
        <v>0</v>
      </c>
      <c r="J54" s="3" t="inlineStr">
        <is>
          <t>2 days</t>
        </is>
      </c>
      <c r="K54" s="3" t="inlineStr">
        <is>
          <t>3 min</t>
        </is>
      </c>
      <c r="L54" s="4" t="inlineStr">
        <is>
          <t>47%</t>
        </is>
      </c>
      <c r="M54" s="3" t="inlineStr">
        <is>
          <t>17%</t>
        </is>
      </c>
      <c r="N54" s="3" t="n">
        <v>16</v>
      </c>
      <c r="O54" s="3" t="n">
        <v>18</v>
      </c>
      <c r="P54" s="3" t="inlineStr">
        <is>
          <t>0.2262 SOL</t>
        </is>
      </c>
      <c r="Q54" s="3" t="n">
        <v>3</v>
      </c>
      <c r="R54" s="3" t="n">
        <v>1.2</v>
      </c>
    </row>
    <row r="55">
      <c r="A55" s="2" t="inlineStr">
        <is>
          <t>ELkNor3GYGMDvvJNW3vNhNVorbFbjvBoA8HYbnHr9DhK</t>
        </is>
      </c>
      <c r="B55" s="3" t="inlineStr">
        <is>
          <t>24.28 SOL</t>
        </is>
      </c>
      <c r="C55" s="3" t="inlineStr">
        <is>
          <t>33%</t>
        </is>
      </c>
      <c r="D55" s="4" t="inlineStr">
        <is>
          <t>90%</t>
        </is>
      </c>
      <c r="E55" s="4" t="inlineStr">
        <is>
          <t>16.35 SOL</t>
        </is>
      </c>
      <c r="F55" s="3" t="inlineStr">
        <is>
          <t>0 (0%)</t>
        </is>
      </c>
      <c r="G55" s="3" t="inlineStr">
        <is>
          <t>0 (0%)</t>
        </is>
      </c>
      <c r="H55" s="3" t="n">
        <v>3</v>
      </c>
      <c r="I55" s="3" t="n">
        <v>0</v>
      </c>
      <c r="J55" s="3" t="inlineStr">
        <is>
          <t>83 days</t>
        </is>
      </c>
      <c r="K55" s="3" t="inlineStr">
        <is>
          <t>10 min</t>
        </is>
      </c>
      <c r="L55" s="5" t="inlineStr">
        <is>
          <t>-26%</t>
        </is>
      </c>
      <c r="M55" s="3" t="inlineStr">
        <is>
          <t>33%</t>
        </is>
      </c>
      <c r="N55" s="3" t="n">
        <v>1</v>
      </c>
      <c r="O55" s="3" t="n">
        <v>1</v>
      </c>
      <c r="P55" s="3" t="inlineStr">
        <is>
          <t>0.0987 SOL</t>
        </is>
      </c>
      <c r="Q55" s="3" t="n">
        <v>100</v>
      </c>
      <c r="R55" s="3" t="n">
        <v>2.3</v>
      </c>
    </row>
    <row r="56">
      <c r="A56" s="2" t="inlineStr">
        <is>
          <t>3q8tXcDjpDm4Kxow8GsMvCyr2A5GzVH2qQU8YX8qpExd</t>
        </is>
      </c>
      <c r="B56" s="3" t="inlineStr">
        <is>
          <t>1.01 SOL</t>
        </is>
      </c>
      <c r="C56" s="3" t="inlineStr">
        <is>
          <t>21%</t>
        </is>
      </c>
      <c r="D56" s="5" t="inlineStr">
        <is>
          <t>-7%</t>
        </is>
      </c>
      <c r="E56" s="5" t="inlineStr">
        <is>
          <t>-2.60 SOL</t>
        </is>
      </c>
      <c r="F56" s="3" t="inlineStr">
        <is>
          <t>0 (0%)</t>
        </is>
      </c>
      <c r="G56" s="3" t="inlineStr">
        <is>
          <t>2 (1%)</t>
        </is>
      </c>
      <c r="H56" s="3" t="n">
        <v>277</v>
      </c>
      <c r="I56" s="5" t="n">
        <v>53</v>
      </c>
      <c r="J56" s="3" t="inlineStr">
        <is>
          <t>12 days</t>
        </is>
      </c>
      <c r="K56" s="3" t="inlineStr">
        <is>
          <t>2 days</t>
        </is>
      </c>
      <c r="L56" s="5" t="inlineStr">
        <is>
          <t>-100%</t>
        </is>
      </c>
      <c r="M56" s="3" t="inlineStr">
        <is>
          <t>13%</t>
        </is>
      </c>
      <c r="N56" s="3" t="n">
        <v>7</v>
      </c>
      <c r="O56" s="3" t="n">
        <v>155</v>
      </c>
      <c r="P56" s="3" t="inlineStr">
        <is>
          <t>0.8771 SOL</t>
        </is>
      </c>
      <c r="Q56" s="3" t="n">
        <v>29</v>
      </c>
      <c r="R56" s="3" t="n">
        <v>1.2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HYPERLINK("https://gmgn.ai/sol/address/GbZsEfC5krJMa1gQHvVuBCVGeSbsqR2Sxr151nCfLKa8", "GMGN")</f>
        <v/>
      </c>
    </row>
    <row r="2">
      <c r="A2" s="3" t="inlineStr">
        <is>
          <t>GbZsEfC5krJMa1gQHvVuBCVGeSbsqR2Sxr151nCfLKa8</t>
        </is>
      </c>
      <c r="B2" s="3" t="inlineStr">
        <is>
          <t>8.55 SOL</t>
        </is>
      </c>
      <c r="C2" s="3" t="inlineStr">
        <is>
          <t>80%</t>
        </is>
      </c>
      <c r="D2" s="3" t="inlineStr">
        <is>
          <t>197%</t>
        </is>
      </c>
      <c r="E2" s="3" t="inlineStr">
        <is>
          <t>8.06 SOL</t>
        </is>
      </c>
      <c r="F2" s="3" t="inlineStr">
        <is>
          <t>0 (0%)</t>
        </is>
      </c>
      <c r="G2" s="3" t="inlineStr">
        <is>
          <t>0 (0%)</t>
        </is>
      </c>
      <c r="H2" s="3" t="n">
        <v>5</v>
      </c>
      <c r="I2" s="3" t="n">
        <v>0</v>
      </c>
      <c r="J2" s="3" t="inlineStr">
        <is>
          <t>23 h</t>
        </is>
      </c>
      <c r="K2" s="3" t="inlineStr">
        <is>
          <t>7 min</t>
        </is>
      </c>
      <c r="L2" s="3" t="n">
        <v>5</v>
      </c>
      <c r="M2" s="3" t="n">
        <v>2</v>
      </c>
      <c r="N2" s="3">
        <f>HYPERLINK("https://solscan.io/account/GbZsEfC5krJMa1gQHvVuBCVGeSbsqR2Sxr151nCfLKa8", "Solscan")</f>
        <v/>
      </c>
    </row>
    <row r="3">
      <c r="A3" s="6" t="inlineStr">
        <is>
          <t>Median ROI</t>
        </is>
      </c>
      <c r="B3" s="4" t="inlineStr">
        <is>
          <t>72.34%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HYPERLINK("https://birdeye.so/profile/GbZsEfC5krJMa1gQHvVuBCVGeSbsqR2Sxr151nCfLKa8", "Birdeye")</f>
        <v/>
      </c>
    </row>
    <row r="4">
      <c r="A4" s="6" t="inlineStr">
        <is>
          <t>Rockets percent</t>
        </is>
      </c>
      <c r="B4" s="4" t="inlineStr">
        <is>
          <t>40%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0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20.0%</t>
        </is>
      </c>
      <c r="C11" s="6" t="inlineStr">
        <is>
          <t>20.0%</t>
        </is>
      </c>
      <c r="D11" s="6" t="inlineStr">
        <is>
          <t>20.0%</t>
        </is>
      </c>
      <c r="E11" s="6" t="inlineStr">
        <is>
          <t>20.0%</t>
        </is>
      </c>
      <c r="F11" s="6" t="inlineStr">
        <is>
          <t>20.0%</t>
        </is>
      </c>
      <c r="G11" s="6" t="inlineStr">
        <is>
          <t>0.0%</t>
        </is>
      </c>
      <c r="H11" s="3" t="n"/>
      <c r="I11" s="3" t="inlineStr">
        <is>
          <t>5k-30k</t>
        </is>
      </c>
      <c r="J11" s="3" t="inlineStr">
        <is>
          <t>4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6.5 SOL</t>
        </is>
      </c>
      <c r="C12" s="6" t="inlineStr">
        <is>
          <t>1.1 SOL</t>
        </is>
      </c>
      <c r="D12" s="6" t="inlineStr">
        <is>
          <t>0.6 SOL</t>
        </is>
      </c>
      <c r="E12" s="6" t="inlineStr">
        <is>
          <t>0.3 SOL</t>
        </is>
      </c>
      <c r="F12" s="6" t="inlineStr">
        <is>
          <t>-0.4 SOL</t>
        </is>
      </c>
      <c r="G12" s="6" t="inlineStr">
        <is>
          <t>0.0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9.0K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Liberty</t>
        </is>
      </c>
      <c r="B20" s="16" t="n">
        <v>8959841</v>
      </c>
      <c r="C20" s="16" t="n">
        <v>8959841</v>
      </c>
      <c r="D20" s="16" t="inlineStr">
        <is>
          <t>0.160080</t>
        </is>
      </c>
      <c r="E20" s="16" t="inlineStr">
        <is>
          <t>0.601 SOL</t>
        </is>
      </c>
      <c r="F20" s="16" t="inlineStr">
        <is>
          <t>1.311 SOL</t>
        </is>
      </c>
      <c r="G20" s="23" t="inlineStr">
        <is>
          <t>0.551 SOL</t>
        </is>
      </c>
      <c r="H20" s="23" t="inlineStr">
        <is>
          <t>72.34%</t>
        </is>
      </c>
      <c r="I20" s="16" t="inlineStr">
        <is>
          <t>N/A</t>
        </is>
      </c>
      <c r="J20" s="16" t="n">
        <v>1</v>
      </c>
      <c r="K20" s="16" t="n">
        <v>15</v>
      </c>
      <c r="L20" s="16" t="inlineStr">
        <is>
          <t>30.10.2024 13:20:51</t>
        </is>
      </c>
      <c r="M20" s="16" t="inlineStr">
        <is>
          <t>4 min</t>
        </is>
      </c>
      <c r="N20" s="16" t="inlineStr">
        <is>
          <t xml:space="preserve">         12K            14K             5K</t>
        </is>
      </c>
      <c r="O20" s="16" t="inlineStr">
        <is>
          <t>CqBmg5ZUoaPg5Yx5uAKYzpyRcXme2UpVmZ8U5iotpump</t>
        </is>
      </c>
      <c r="P20" s="16">
        <f>HYPERLINK("https://photon-sol.tinyastro.io/en/lp/CqBmg5ZUoaPg5Yx5uAKYzpyRcXme2UpVmZ8U5iotpump?handle=676050794bc1b1657a56b", "View")</f>
        <v/>
      </c>
    </row>
    <row r="21">
      <c r="A21" s="19" t="inlineStr">
        <is>
          <t>Torin</t>
        </is>
      </c>
      <c r="B21" s="20" t="n">
        <v>10163367</v>
      </c>
      <c r="C21" s="20" t="n">
        <v>10163367</v>
      </c>
      <c r="D21" s="20" t="inlineStr">
        <is>
          <t>0.120060</t>
        </is>
      </c>
      <c r="E21" s="20" t="inlineStr">
        <is>
          <t>0.520 SOL</t>
        </is>
      </c>
      <c r="F21" s="20" t="inlineStr">
        <is>
          <t>1.722 SOL</t>
        </is>
      </c>
      <c r="G21" s="23" t="inlineStr">
        <is>
          <t>1.082 SOL</t>
        </is>
      </c>
      <c r="H21" s="23" t="inlineStr">
        <is>
          <t>168.89%</t>
        </is>
      </c>
      <c r="I21" s="20" t="inlineStr">
        <is>
          <t>N/A</t>
        </is>
      </c>
      <c r="J21" s="20" t="n">
        <v>1</v>
      </c>
      <c r="K21" s="20" t="n">
        <v>11</v>
      </c>
      <c r="L21" s="20" t="inlineStr">
        <is>
          <t>30.10.2024 06:27:45</t>
        </is>
      </c>
      <c r="M21" s="20" t="inlineStr">
        <is>
          <t>7 min</t>
        </is>
      </c>
      <c r="N21" s="20" t="inlineStr">
        <is>
          <t xml:space="preserve">          9K            16K             3K</t>
        </is>
      </c>
      <c r="O21" s="20" t="inlineStr">
        <is>
          <t>HxdzGHd2jLF12UHjgFKCb6zMzgfqGnwRvwKweXmXpump</t>
        </is>
      </c>
      <c r="P21" s="20">
        <f>HYPERLINK("https://photon-sol.tinyastro.io/en/lp/HxdzGHd2jLF12UHjgFKCb6zMzgfqGnwRvwKweXmXpump?handle=676050794bc1b1657a56b", "View")</f>
        <v/>
      </c>
    </row>
    <row r="22">
      <c r="A22" s="15" t="inlineStr">
        <is>
          <t>Torin</t>
        </is>
      </c>
      <c r="B22" s="16" t="n">
        <v>8831328</v>
      </c>
      <c r="C22" s="16" t="n">
        <v>8831328</v>
      </c>
      <c r="D22" s="16" t="inlineStr">
        <is>
          <t>0.590290</t>
        </is>
      </c>
      <c r="E22" s="16" t="inlineStr">
        <is>
          <t>0.480 SOL</t>
        </is>
      </c>
      <c r="F22" s="16" t="inlineStr">
        <is>
          <t>7.530 SOL</t>
        </is>
      </c>
      <c r="G22" s="23" t="inlineStr">
        <is>
          <t>6.460 SOL</t>
        </is>
      </c>
      <c r="H22" s="23" t="inlineStr">
        <is>
          <t>603.34%</t>
        </is>
      </c>
      <c r="I22" s="16" t="inlineStr">
        <is>
          <t>N/A</t>
        </is>
      </c>
      <c r="J22" s="16" t="n">
        <v>1</v>
      </c>
      <c r="K22" s="16" t="n">
        <v>58</v>
      </c>
      <c r="L22" s="16" t="inlineStr">
        <is>
          <t>30.10.2024 06:17:47</t>
        </is>
      </c>
      <c r="M22" s="16" t="inlineStr">
        <is>
          <t>7 min</t>
        </is>
      </c>
      <c r="N22" s="16" t="inlineStr">
        <is>
          <t xml:space="preserve">          9K           100K             7K</t>
        </is>
      </c>
      <c r="O22" s="16" t="inlineStr">
        <is>
          <t>ALKTKLRTyF3P83KMCAvGEtY4CsoMzvh1k38uixCgpump</t>
        </is>
      </c>
      <c r="P22" s="16">
        <f>HYPERLINK("https://photon-sol.tinyastro.io/en/lp/ALKTKLRTyF3P83KMCAvGEtY4CsoMzvh1k38uixCgpump?handle=676050794bc1b1657a56b", "View")</f>
        <v/>
      </c>
    </row>
    <row r="23">
      <c r="A23" s="19" t="inlineStr">
        <is>
          <t>MOLANG</t>
        </is>
      </c>
      <c r="B23" s="20" t="n">
        <v>1793028</v>
      </c>
      <c r="C23" s="20" t="n">
        <v>1793028</v>
      </c>
      <c r="D23" s="20" t="inlineStr">
        <is>
          <t>0.220020</t>
        </is>
      </c>
      <c r="E23" s="20" t="inlineStr">
        <is>
          <t>0.570 SOL</t>
        </is>
      </c>
      <c r="F23" s="20" t="inlineStr">
        <is>
          <t>0.425 SOL</t>
        </is>
      </c>
      <c r="G23" s="21" t="inlineStr">
        <is>
          <t>-0.365 SOL</t>
        </is>
      </c>
      <c r="H23" s="21" t="inlineStr">
        <is>
          <t>-46.16%</t>
        </is>
      </c>
      <c r="I23" s="20" t="inlineStr">
        <is>
          <t>N/A</t>
        </is>
      </c>
      <c r="J23" s="20" t="n">
        <v>2</v>
      </c>
      <c r="K23" s="20" t="n">
        <v>2</v>
      </c>
      <c r="L23" s="20" t="inlineStr">
        <is>
          <t>29.10.2024 14:48:15</t>
        </is>
      </c>
      <c r="M23" s="20" t="inlineStr">
        <is>
          <t>10 min</t>
        </is>
      </c>
      <c r="N23" s="20" t="inlineStr">
        <is>
          <t xml:space="preserve">         58K            32K             4K</t>
        </is>
      </c>
      <c r="O23" s="20" t="inlineStr">
        <is>
          <t>BPFXTGBjoARa89gbSvbp7Dy6cQwgGc7efW1jE8nTpump</t>
        </is>
      </c>
      <c r="P23" s="20">
        <f>HYPERLINK("https://photon-sol.tinyastro.io/en/lp/BPFXTGBjoARa89gbSvbp7Dy6cQwgGc7efW1jE8nTpump?handle=676050794bc1b1657a56b", "View")</f>
        <v/>
      </c>
    </row>
    <row r="24">
      <c r="A24" s="15" t="inlineStr">
        <is>
          <t>Trina</t>
        </is>
      </c>
      <c r="B24" s="16" t="n">
        <v>11384893</v>
      </c>
      <c r="C24" s="16" t="n">
        <v>11384893</v>
      </c>
      <c r="D24" s="16" t="inlineStr">
        <is>
          <t>0.350130</t>
        </is>
      </c>
      <c r="E24" s="16" t="inlineStr">
        <is>
          <t>0.487 SOL</t>
        </is>
      </c>
      <c r="F24" s="16" t="inlineStr">
        <is>
          <t>1.170 SOL</t>
        </is>
      </c>
      <c r="G24" s="22" t="inlineStr">
        <is>
          <t>0.333 SOL</t>
        </is>
      </c>
      <c r="H24" s="22" t="inlineStr">
        <is>
          <t>39.79%</t>
        </is>
      </c>
      <c r="I24" s="16" t="inlineStr">
        <is>
          <t>N/A</t>
        </is>
      </c>
      <c r="J24" s="16" t="n">
        <v>1</v>
      </c>
      <c r="K24" s="16" t="n">
        <v>25</v>
      </c>
      <c r="L24" s="16" t="inlineStr">
        <is>
          <t>29.10.2024 13:33:37</t>
        </is>
      </c>
      <c r="M24" s="16" t="inlineStr">
        <is>
          <t>9 min</t>
        </is>
      </c>
      <c r="N24" s="16" t="inlineStr">
        <is>
          <t xml:space="preserve">          7K            11K             4K</t>
        </is>
      </c>
      <c r="O24" s="16" t="inlineStr">
        <is>
          <t>DirQ7FDi1C5SZCy8ai1GTSvnm9o8MDf9s4C4cExzpump</t>
        </is>
      </c>
      <c r="P24" s="16">
        <f>HYPERLINK("https://photon-sol.tinyastro.io/en/lp/DirQ7FDi1C5SZCy8ai1GTSvnm9o8MDf9s4C4cExzpump?handle=676050794bc1b1657a56b", "View")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HYPERLINK("https://gmgn.ai/sol/address/Hhm82jsfjgzd7KXovXg5dapARUvUq3uSE7gen7cP1TxE", "GMGN")</f>
        <v/>
      </c>
    </row>
    <row r="2">
      <c r="A2" s="3" t="inlineStr">
        <is>
          <t>Hhm82jsfjgzd7KXovXg5dapARUvUq3uSE7gen7cP1TxE</t>
        </is>
      </c>
      <c r="B2" s="3" t="inlineStr">
        <is>
          <t>304.01 SOL</t>
        </is>
      </c>
      <c r="C2" s="3" t="inlineStr">
        <is>
          <t>43%</t>
        </is>
      </c>
      <c r="D2" s="3" t="inlineStr">
        <is>
          <t>11%</t>
        </is>
      </c>
      <c r="E2" s="3" t="inlineStr">
        <is>
          <t>12.27 SOL</t>
        </is>
      </c>
      <c r="F2" s="3" t="inlineStr">
        <is>
          <t>0 (0%)</t>
        </is>
      </c>
      <c r="G2" s="3" t="inlineStr">
        <is>
          <t>0 (0%)</t>
        </is>
      </c>
      <c r="H2" s="3" t="n">
        <v>7</v>
      </c>
      <c r="I2" s="3" t="n">
        <v>1</v>
      </c>
      <c r="J2" s="3" t="inlineStr">
        <is>
          <t>25 days</t>
        </is>
      </c>
      <c r="K2" s="3" t="inlineStr">
        <is>
          <t>1 days</t>
        </is>
      </c>
      <c r="L2" s="3" t="n">
        <v>3</v>
      </c>
      <c r="M2" s="3" t="n">
        <v>202</v>
      </c>
      <c r="N2" s="3">
        <f>HYPERLINK("https://solscan.io/account/Hhm82jsfjgzd7KXovXg5dapARUvUq3uSE7gen7cP1TxE", "Solscan")</f>
        <v/>
      </c>
    </row>
    <row r="3">
      <c r="A3" s="6" t="inlineStr">
        <is>
          <t>Median ROI</t>
        </is>
      </c>
      <c r="B3" s="5" t="inlineStr">
        <is>
          <t>-79.82%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HYPERLINK("https://birdeye.so/profile/Hhm82jsfjgzd7KXovXg5dapARUvUq3uSE7gen7cP1TxE", "Birdeye")</f>
        <v/>
      </c>
    </row>
    <row r="4">
      <c r="A4" s="6" t="inlineStr">
        <is>
          <t>Rockets percent</t>
        </is>
      </c>
      <c r="B4" s="3" t="inlineStr">
        <is>
          <t>0%</t>
        </is>
      </c>
      <c r="C4" s="3" t="inlineStr"/>
      <c r="D4" s="3" t="inlineStr">
        <is>
          <t>3%</t>
        </is>
      </c>
      <c r="E4" s="3" t="inlineStr">
        <is>
          <t>2.86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558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0</v>
      </c>
      <c r="D10" s="6" t="n">
        <v>0</v>
      </c>
      <c r="E10" s="6" t="n">
        <v>3</v>
      </c>
      <c r="F10" s="6" t="n">
        <v>0</v>
      </c>
      <c r="G10" s="6" t="n">
        <v>4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0.0%</t>
        </is>
      </c>
      <c r="D11" s="6" t="inlineStr">
        <is>
          <t>0.0%</t>
        </is>
      </c>
      <c r="E11" s="6" t="inlineStr">
        <is>
          <t>42.9%</t>
        </is>
      </c>
      <c r="F11" s="6" t="inlineStr">
        <is>
          <t>0.0%</t>
        </is>
      </c>
      <c r="G11" s="6" t="inlineStr">
        <is>
          <t>57.1%</t>
        </is>
      </c>
      <c r="H11" s="3" t="n"/>
      <c r="I11" s="3" t="inlineStr">
        <is>
          <t>5k-30k</t>
        </is>
      </c>
      <c r="J11" s="3" t="inlineStr">
        <is>
          <t>1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0.0 SOL</t>
        </is>
      </c>
      <c r="D12" s="6" t="inlineStr">
        <is>
          <t>0.0 SOL</t>
        </is>
      </c>
      <c r="E12" s="6" t="inlineStr">
        <is>
          <t>25.6 SOL</t>
        </is>
      </c>
      <c r="F12" s="6" t="inlineStr">
        <is>
          <t>0.0 SOL</t>
        </is>
      </c>
      <c r="G12" s="6" t="inlineStr">
        <is>
          <t>-13.4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4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3.0M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CLOCK</t>
        </is>
      </c>
      <c r="B20" s="16" t="n">
        <v>4595752</v>
      </c>
      <c r="C20" s="16" t="n">
        <v>3595752</v>
      </c>
      <c r="D20" s="16" t="inlineStr">
        <is>
          <t>0.000420</t>
        </is>
      </c>
      <c r="E20" s="16" t="inlineStr">
        <is>
          <t>1.018 SOL</t>
        </is>
      </c>
      <c r="F20" s="16" t="inlineStr">
        <is>
          <t>0.206 SOL</t>
        </is>
      </c>
      <c r="G20" s="24" t="inlineStr">
        <is>
          <t>-0.813 SOL</t>
        </is>
      </c>
      <c r="H20" s="24" t="inlineStr">
        <is>
          <t>-79.82%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29.10.2024 20:34:49</t>
        </is>
      </c>
      <c r="M20" s="16" t="inlineStr">
        <is>
          <t>2 hours</t>
        </is>
      </c>
      <c r="N20" s="16" t="inlineStr">
        <is>
          <t xml:space="preserve">         39K            39K             6K</t>
        </is>
      </c>
      <c r="O20" s="16" t="inlineStr">
        <is>
          <t>CRvp1BprgpKhGTeW3Le5K8SwvSM3pZ2dv6xw3k2Zkt4H</t>
        </is>
      </c>
      <c r="P20" s="16">
        <f>HYPERLINK("https://photon-sol.tinyastro.io/en/lp/CRvp1BprgpKhGTeW3Le5K8SwvSM3pZ2dv6xw3k2Zkt4H?handle=676050794bc1b1657a56b", "View")</f>
        <v/>
      </c>
    </row>
    <row r="21">
      <c r="A21" s="19" t="inlineStr">
        <is>
          <t>NUTS</t>
        </is>
      </c>
      <c r="B21" s="20" t="n">
        <v>19590177</v>
      </c>
      <c r="C21" s="20" t="n">
        <v>0</v>
      </c>
      <c r="D21" s="20" t="inlineStr">
        <is>
          <t>0.000870</t>
        </is>
      </c>
      <c r="E21" s="20" t="inlineStr">
        <is>
          <t>2.032 SOL</t>
        </is>
      </c>
      <c r="F21" s="20" t="inlineStr">
        <is>
          <t>0.000 SOL</t>
        </is>
      </c>
      <c r="G21" s="17" t="inlineStr">
        <is>
          <t>-2.033 SOL</t>
        </is>
      </c>
      <c r="H21" s="17" t="inlineStr">
        <is>
          <t>0.00%</t>
        </is>
      </c>
      <c r="I21" s="20" t="inlineStr">
        <is>
          <t>19,590,177</t>
        </is>
      </c>
      <c r="J21" s="20" t="n">
        <v>4</v>
      </c>
      <c r="K21" s="20" t="n">
        <v>0</v>
      </c>
      <c r="L21" s="20" t="inlineStr">
        <is>
          <t>29.10.2024 01:17:05</t>
        </is>
      </c>
      <c r="M21" s="20" t="inlineStr">
        <is>
          <t>2 hours</t>
        </is>
      </c>
      <c r="N21" s="20" t="inlineStr">
        <is>
          <t xml:space="preserve">         10K            27K            17K</t>
        </is>
      </c>
      <c r="O21" s="20" t="inlineStr">
        <is>
          <t>9XYNA4Tety1RjytSsqNz7YCM1NZgtYRptnUcAPsQpump</t>
        </is>
      </c>
      <c r="P21" s="20">
        <f>HYPERLINK("https://photon-sol.tinyastro.io/en/lp/9XYNA4Tety1RjytSsqNz7YCM1NZgtYRptnUcAPsQpump?handle=676050794bc1b1657a56b", "View")</f>
        <v/>
      </c>
    </row>
    <row r="22">
      <c r="A22" s="15" t="inlineStr">
        <is>
          <t>YOUSIM</t>
        </is>
      </c>
      <c r="B22" s="16" t="n">
        <v>1031680</v>
      </c>
      <c r="C22" s="16" t="n">
        <v>1031680</v>
      </c>
      <c r="D22" s="16" t="inlineStr">
        <is>
          <t>0.007860</t>
        </is>
      </c>
      <c r="E22" s="16" t="inlineStr">
        <is>
          <t>20.000 SOL</t>
        </is>
      </c>
      <c r="F22" s="16" t="inlineStr">
        <is>
          <t>23.787 SOL</t>
        </is>
      </c>
      <c r="G22" s="22" t="inlineStr">
        <is>
          <t>3.780 SOL</t>
        </is>
      </c>
      <c r="H22" s="22" t="inlineStr">
        <is>
          <t>18.89%</t>
        </is>
      </c>
      <c r="I22" s="16" t="inlineStr">
        <is>
          <t>N/A</t>
        </is>
      </c>
      <c r="J22" s="16" t="n">
        <v>3</v>
      </c>
      <c r="K22" s="16" t="n">
        <v>1</v>
      </c>
      <c r="L22" s="16" t="inlineStr">
        <is>
          <t>26.10.2024 23:06:01</t>
        </is>
      </c>
      <c r="M22" s="16" t="inlineStr">
        <is>
          <t>2 days</t>
        </is>
      </c>
      <c r="N22" s="16" t="inlineStr">
        <is>
          <t xml:space="preserve">          3M             4M            10M</t>
        </is>
      </c>
      <c r="O22" s="16" t="inlineStr">
        <is>
          <t>66gsTs88mXJ5L4AtJnWqFW6H2L5YQDRy4W41y6zbpump</t>
        </is>
      </c>
      <c r="P22" s="16">
        <f>HYPERLINK("https://dexscreener.com/solana/66gsTs88mXJ5L4AtJnWqFW6H2L5YQDRy4W41y6zbpump", "View")</f>
        <v/>
      </c>
    </row>
    <row r="23">
      <c r="A23" s="19" t="inlineStr">
        <is>
          <t>CLAUDIUS</t>
        </is>
      </c>
      <c r="B23" s="20" t="n">
        <v>575733</v>
      </c>
      <c r="C23" s="20" t="n">
        <v>0</v>
      </c>
      <c r="D23" s="20" t="inlineStr">
        <is>
          <t>0.000100</t>
        </is>
      </c>
      <c r="E23" s="20" t="inlineStr">
        <is>
          <t>10.000 SOL</t>
        </is>
      </c>
      <c r="F23" s="20" t="inlineStr">
        <is>
          <t>0.000 SOL</t>
        </is>
      </c>
      <c r="G23" s="17" t="inlineStr">
        <is>
          <t>-10.000 SOL</t>
        </is>
      </c>
      <c r="H23" s="17" t="inlineStr">
        <is>
          <t>0.00%</t>
        </is>
      </c>
      <c r="I23" s="20" t="inlineStr">
        <is>
          <t>575,733</t>
        </is>
      </c>
      <c r="J23" s="20" t="n">
        <v>1</v>
      </c>
      <c r="K23" s="20" t="n">
        <v>0</v>
      </c>
      <c r="L23" s="20" t="inlineStr">
        <is>
          <t>24.10.2024 17:53:12</t>
        </is>
      </c>
      <c r="M23" s="18" t="inlineStr">
        <is>
          <t>0 sec</t>
        </is>
      </c>
      <c r="N23" s="20" t="inlineStr">
        <is>
          <t xml:space="preserve">          3M             3M           260K</t>
        </is>
      </c>
      <c r="O23" s="20" t="inlineStr">
        <is>
          <t>4qNX615pV1oufdodNoiBzUsrUE3ww57DYg6LsUtupump</t>
        </is>
      </c>
      <c r="P23" s="20">
        <f>HYPERLINK("https://dexscreener.com/solana/4qNX615pV1oufdodNoiBzUsrUE3ww57DYg6LsUtupump", "View")</f>
        <v/>
      </c>
    </row>
    <row r="24">
      <c r="A24" s="15" t="inlineStr">
        <is>
          <t>GNON</t>
        </is>
      </c>
      <c r="B24" s="16" t="n">
        <v>131055</v>
      </c>
      <c r="C24" s="16" t="n">
        <v>131055</v>
      </c>
      <c r="D24" s="16" t="inlineStr">
        <is>
          <t>0.008810</t>
        </is>
      </c>
      <c r="E24" s="16" t="inlineStr">
        <is>
          <t>36.000 SOL</t>
        </is>
      </c>
      <c r="F24" s="16" t="inlineStr">
        <is>
          <t>44.508 SOL</t>
        </is>
      </c>
      <c r="G24" s="22" t="inlineStr">
        <is>
          <t>8.500 SOL</t>
        </is>
      </c>
      <c r="H24" s="22" t="inlineStr">
        <is>
          <t>23.60%</t>
        </is>
      </c>
      <c r="I24" s="16" t="inlineStr">
        <is>
          <t>N/A</t>
        </is>
      </c>
      <c r="J24" s="16" t="n">
        <v>2</v>
      </c>
      <c r="K24" s="16" t="n">
        <v>1</v>
      </c>
      <c r="L24" s="16" t="inlineStr">
        <is>
          <t>22.10.2024 06:03:21</t>
        </is>
      </c>
      <c r="M24" s="16" t="inlineStr">
        <is>
          <t>1 days</t>
        </is>
      </c>
      <c r="N24" s="16" t="inlineStr">
        <is>
          <t xml:space="preserve">         45M            53M             4M</t>
        </is>
      </c>
      <c r="O24" s="16" t="inlineStr">
        <is>
          <t>HeJUFDxfJSzYFUuHLxkMqCgytU31G6mjP4wKviwqpump</t>
        </is>
      </c>
      <c r="P24" s="16">
        <f>HYPERLINK("https://dexscreener.com/solana/HeJUFDxfJSzYFUuHLxkMqCgytU31G6mjP4wKviwqpump", "View")</f>
        <v/>
      </c>
    </row>
    <row r="25">
      <c r="A25" s="19" t="inlineStr">
        <is>
          <t>GOAT</t>
        </is>
      </c>
      <c r="B25" s="20" t="n">
        <v>34616</v>
      </c>
      <c r="C25" s="20" t="n">
        <v>34616</v>
      </c>
      <c r="D25" s="20" t="inlineStr">
        <is>
          <t>0.002320</t>
        </is>
      </c>
      <c r="E25" s="20" t="inlineStr">
        <is>
          <t>36.000 SOL</t>
        </is>
      </c>
      <c r="F25" s="20" t="inlineStr">
        <is>
          <t>49.355 SOL</t>
        </is>
      </c>
      <c r="G25" s="22" t="inlineStr">
        <is>
          <t>13.352 SOL</t>
        </is>
      </c>
      <c r="H25" s="22" t="inlineStr">
        <is>
          <t>37.09%</t>
        </is>
      </c>
      <c r="I25" s="20" t="inlineStr">
        <is>
          <t>N/A</t>
        </is>
      </c>
      <c r="J25" s="20" t="n">
        <v>2</v>
      </c>
      <c r="K25" s="20" t="n">
        <v>1</v>
      </c>
      <c r="L25" s="20" t="inlineStr">
        <is>
          <t>22.10.2024 06:03:09</t>
        </is>
      </c>
      <c r="M25" s="20" t="inlineStr">
        <is>
          <t>1 days</t>
        </is>
      </c>
      <c r="N25" s="20" t="inlineStr">
        <is>
          <t xml:space="preserve">        209M           158M           569M</t>
        </is>
      </c>
      <c r="O25" s="20" t="inlineStr">
        <is>
          <t>CzLSujWBLFsSjncfkh59rUFqvafWcY5tzedWJSuypump</t>
        </is>
      </c>
      <c r="P25" s="20">
        <f>HYPERLINK("https://dexscreener.com/solana/CzLSujWBLFsSjncfkh59rUFqvafWcY5tzedWJSuypump", "View")</f>
        <v/>
      </c>
    </row>
    <row r="26">
      <c r="A26" s="15" t="inlineStr">
        <is>
          <t>FCI</t>
        </is>
      </c>
      <c r="B26" s="16" t="n">
        <v>13925963</v>
      </c>
      <c r="C26" s="16" t="n">
        <v>0</v>
      </c>
      <c r="D26" s="16" t="inlineStr">
        <is>
          <t>0.000210</t>
        </is>
      </c>
      <c r="E26" s="16" t="inlineStr">
        <is>
          <t>0.510 SOL</t>
        </is>
      </c>
      <c r="F26" s="16" t="inlineStr">
        <is>
          <t>0.000 SOL</t>
        </is>
      </c>
      <c r="G26" s="17" t="inlineStr">
        <is>
          <t>-0.510 SOL</t>
        </is>
      </c>
      <c r="H26" s="17" t="inlineStr">
        <is>
          <t>0.00%</t>
        </is>
      </c>
      <c r="I26" s="16" t="inlineStr">
        <is>
          <t>13,925,963</t>
        </is>
      </c>
      <c r="J26" s="16" t="n">
        <v>1</v>
      </c>
      <c r="K26" s="16" t="n">
        <v>0</v>
      </c>
      <c r="L26" s="16" t="inlineStr">
        <is>
          <t>04.10.2024 17:33:39</t>
        </is>
      </c>
      <c r="M26" s="18" t="inlineStr">
        <is>
          <t>0 sec</t>
        </is>
      </c>
      <c r="N26" s="16" t="inlineStr">
        <is>
          <t xml:space="preserve">        N/A           N/A           N/A</t>
        </is>
      </c>
      <c r="O26" s="16" t="inlineStr">
        <is>
          <t>GJ5YN5oxUrutzjsHBjquHckMqy2pWRrrVvQKycXGpump</t>
        </is>
      </c>
      <c r="P26" s="16">
        <f>HYPERLINK("https://photon-sol.tinyastro.io/en/lp/GJ5YN5oxUrutzjsHBjquHckMqy2pWRrrVvQKycXGpump?handle=676050794bc1b1657a56b", "View")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HYPERLINK("https://gmgn.ai/sol/address/7DAMCyYSf3PpNn6jVzcrC3tyBQ5tD45JMajpKBocboHW", "GMGN")</f>
        <v/>
      </c>
    </row>
    <row r="2">
      <c r="A2" s="3" t="inlineStr">
        <is>
          <t>7DAMCyYSf3PpNn6jVzcrC3tyBQ5tD45JMajpKBocboHW</t>
        </is>
      </c>
      <c r="B2" s="3" t="inlineStr">
        <is>
          <t>9.24 SOL</t>
        </is>
      </c>
      <c r="C2" s="3" t="inlineStr">
        <is>
          <t>56%</t>
        </is>
      </c>
      <c r="D2" s="3" t="inlineStr">
        <is>
          <t>128%</t>
        </is>
      </c>
      <c r="E2" s="3" t="inlineStr">
        <is>
          <t>9.08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0</v>
      </c>
      <c r="N2" s="3">
        <f>HYPERLINK("https://solscan.io/account/7DAMCyYSf3PpNn6jVzcrC3tyBQ5tD45JMajpKBocboHW", "Solscan")</f>
        <v/>
      </c>
    </row>
    <row r="3">
      <c r="A3" s="6" t="inlineStr">
        <is>
          <t>Median ROI</t>
        </is>
      </c>
      <c r="B3" s="4" t="inlineStr">
        <is>
          <t>28.83%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HYPERLINK("https://birdeye.so/profile/7DAMCyYSf3PpNn6jVzcrC3tyBQ5tD45JMajpKBocboHW", "Birdeye")</f>
        <v/>
      </c>
    </row>
    <row r="4">
      <c r="A4" s="6" t="inlineStr">
        <is>
          <t>Rockets percent</t>
        </is>
      </c>
      <c r="B4" s="4" t="inlineStr">
        <is>
          <t>33%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2</v>
      </c>
      <c r="D10" s="6" t="n">
        <v>1</v>
      </c>
      <c r="E10" s="6" t="n">
        <v>1</v>
      </c>
      <c r="F10" s="6" t="n">
        <v>3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11.1%</t>
        </is>
      </c>
      <c r="C11" s="6" t="inlineStr">
        <is>
          <t>22.2%</t>
        </is>
      </c>
      <c r="D11" s="6" t="inlineStr">
        <is>
          <t>11.1%</t>
        </is>
      </c>
      <c r="E11" s="6" t="inlineStr">
        <is>
          <t>11.1%</t>
        </is>
      </c>
      <c r="F11" s="6" t="inlineStr">
        <is>
          <t>33.3%</t>
        </is>
      </c>
      <c r="G11" s="6" t="inlineStr">
        <is>
          <t>11.1%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6.8 SOL</t>
        </is>
      </c>
      <c r="C12" s="6" t="inlineStr">
        <is>
          <t>2.4 SOL</t>
        </is>
      </c>
      <c r="D12" s="6" t="inlineStr">
        <is>
          <t>0.6 SOL</t>
        </is>
      </c>
      <c r="E12" s="6" t="inlineStr">
        <is>
          <t>0.1 SOL</t>
        </is>
      </c>
      <c r="F12" s="6" t="inlineStr">
        <is>
          <t>-0.7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12.0K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Glory</t>
        </is>
      </c>
      <c r="B20" s="16" t="n">
        <v>8984506</v>
      </c>
      <c r="C20" s="16" t="n">
        <v>8984506</v>
      </c>
      <c r="D20" s="16" t="inlineStr">
        <is>
          <t>0.020010</t>
        </is>
      </c>
      <c r="E20" s="16" t="inlineStr">
        <is>
          <t>0.617 SOL</t>
        </is>
      </c>
      <c r="F20" s="16" t="inlineStr">
        <is>
          <t>0.457 SOL</t>
        </is>
      </c>
      <c r="G20" s="21" t="inlineStr">
        <is>
          <t>-0.179 SOL</t>
        </is>
      </c>
      <c r="H20" s="21" t="inlineStr">
        <is>
          <t>-28.17%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17:34:58</t>
        </is>
      </c>
      <c r="M20" s="16" t="inlineStr">
        <is>
          <t>3 min</t>
        </is>
      </c>
      <c r="N20" s="16" t="inlineStr">
        <is>
          <t xml:space="preserve">         12K             9K             6K</t>
        </is>
      </c>
      <c r="O20" s="16" t="inlineStr">
        <is>
          <t>DZqXyNkK52FpPHGN73EmvvLoSZNXskpNvtL1GMjLpump</t>
        </is>
      </c>
      <c r="P20" s="16">
        <f>HYPERLINK("https://photon-sol.tinyastro.io/en/lp/DZqXyNkK52FpPHGN73EmvvLoSZNXskpNvtL1GMjLpump?handle=676050794bc1b1657a56b", "View")</f>
        <v/>
      </c>
    </row>
    <row r="21">
      <c r="A21" s="19" t="inlineStr">
        <is>
          <t>Liberty</t>
        </is>
      </c>
      <c r="B21" s="20" t="n">
        <v>8959841</v>
      </c>
      <c r="C21" s="20" t="n">
        <v>8959841</v>
      </c>
      <c r="D21" s="20" t="inlineStr">
        <is>
          <t>0.170080</t>
        </is>
      </c>
      <c r="E21" s="20" t="inlineStr">
        <is>
          <t>0.740 SOL</t>
        </is>
      </c>
      <c r="F21" s="20" t="inlineStr">
        <is>
          <t>1.476 SOL</t>
        </is>
      </c>
      <c r="G21" s="23" t="inlineStr">
        <is>
          <t>0.566 SOL</t>
        </is>
      </c>
      <c r="H21" s="23" t="inlineStr">
        <is>
          <t>62.23%</t>
        </is>
      </c>
      <c r="I21" s="20" t="inlineStr">
        <is>
          <t>N/A</t>
        </is>
      </c>
      <c r="J21" s="20" t="n">
        <v>1</v>
      </c>
      <c r="K21" s="20" t="n">
        <v>16</v>
      </c>
      <c r="L21" s="20" t="inlineStr">
        <is>
          <t>30.10.2024 13:20:50</t>
        </is>
      </c>
      <c r="M21" s="20" t="inlineStr">
        <is>
          <t>4 min</t>
        </is>
      </c>
      <c r="N21" s="20" t="inlineStr">
        <is>
          <t xml:space="preserve">         14K            14K             5K</t>
        </is>
      </c>
      <c r="O21" s="20" t="inlineStr">
        <is>
          <t>CqBmg5ZUoaPg5Yx5uAKYzpyRcXme2UpVmZ8U5iotpump</t>
        </is>
      </c>
      <c r="P21" s="20">
        <f>HYPERLINK("https://photon-sol.tinyastro.io/en/lp/CqBmg5ZUoaPg5Yx5uAKYzpyRcXme2UpVmZ8U5iotpump?handle=676050794bc1b1657a56b", "View")</f>
        <v/>
      </c>
    </row>
    <row r="22">
      <c r="A22" s="15" t="inlineStr">
        <is>
          <t>Torin</t>
        </is>
      </c>
      <c r="B22" s="16" t="n">
        <v>10163367</v>
      </c>
      <c r="C22" s="16" t="n">
        <v>10163367</v>
      </c>
      <c r="D22" s="16" t="inlineStr">
        <is>
          <t>0.130060</t>
        </is>
      </c>
      <c r="E22" s="16" t="inlineStr">
        <is>
          <t>0.639 SOL</t>
        </is>
      </c>
      <c r="F22" s="16" t="inlineStr">
        <is>
          <t>1.941 SOL</t>
        </is>
      </c>
      <c r="G22" s="23" t="inlineStr">
        <is>
          <t>1.172 SOL</t>
        </is>
      </c>
      <c r="H22" s="23" t="inlineStr">
        <is>
          <t>152.46%</t>
        </is>
      </c>
      <c r="I22" s="16" t="inlineStr">
        <is>
          <t>N/A</t>
        </is>
      </c>
      <c r="J22" s="16" t="n">
        <v>1</v>
      </c>
      <c r="K22" s="16" t="n">
        <v>12</v>
      </c>
      <c r="L22" s="16" t="inlineStr">
        <is>
          <t>30.10.2024 06:27:36</t>
        </is>
      </c>
      <c r="M22" s="16" t="inlineStr">
        <is>
          <t>6 min</t>
        </is>
      </c>
      <c r="N22" s="16" t="inlineStr">
        <is>
          <t xml:space="preserve">         11K            19K             3K</t>
        </is>
      </c>
      <c r="O22" s="16" t="inlineStr">
        <is>
          <t>HxdzGHd2jLF12UHjgFKCb6zMzgfqGnwRvwKweXmXpump</t>
        </is>
      </c>
      <c r="P22" s="16">
        <f>HYPERLINK("https://photon-sol.tinyastro.io/en/lp/HxdzGHd2jLF12UHjgFKCb6zMzgfqGnwRvwKweXmXpump?handle=676050794bc1b1657a56b", "View")</f>
        <v/>
      </c>
    </row>
    <row r="23">
      <c r="A23" s="19" t="inlineStr">
        <is>
          <t>Torin</t>
        </is>
      </c>
      <c r="B23" s="20" t="n">
        <v>8831328</v>
      </c>
      <c r="C23" s="20" t="n">
        <v>8831328</v>
      </c>
      <c r="D23" s="20" t="inlineStr">
        <is>
          <t>0.630320</t>
        </is>
      </c>
      <c r="E23" s="20" t="inlineStr">
        <is>
          <t>0.432 SOL</t>
        </is>
      </c>
      <c r="F23" s="20" t="inlineStr">
        <is>
          <t>7.839 SOL</t>
        </is>
      </c>
      <c r="G23" s="23" t="inlineStr">
        <is>
          <t>6.777 SOL</t>
        </is>
      </c>
      <c r="H23" s="23" t="inlineStr">
        <is>
          <t>637.64%</t>
        </is>
      </c>
      <c r="I23" s="20" t="inlineStr">
        <is>
          <t>N/A</t>
        </is>
      </c>
      <c r="J23" s="20" t="n">
        <v>1</v>
      </c>
      <c r="K23" s="20" t="n">
        <v>62</v>
      </c>
      <c r="L23" s="20" t="inlineStr">
        <is>
          <t>30.10.2024 06:17:46</t>
        </is>
      </c>
      <c r="M23" s="20" t="inlineStr">
        <is>
          <t>7 min</t>
        </is>
      </c>
      <c r="N23" s="20" t="inlineStr">
        <is>
          <t xml:space="preserve">          9K           100K             7K</t>
        </is>
      </c>
      <c r="O23" s="20" t="inlineStr">
        <is>
          <t>ALKTKLRTyF3P83KMCAvGEtY4CsoMzvh1k38uixCgpump</t>
        </is>
      </c>
      <c r="P23" s="20">
        <f>HYPERLINK("https://photon-sol.tinyastro.io/en/lp/ALKTKLRTyF3P83KMCAvGEtY4CsoMzvh1k38uixCgpump?handle=676050794bc1b1657a56b", "View")</f>
        <v/>
      </c>
    </row>
    <row r="24">
      <c r="A24" s="15" t="inlineStr">
        <is>
          <t>Butters</t>
        </is>
      </c>
      <c r="B24" s="16" t="n">
        <v>7929767</v>
      </c>
      <c r="C24" s="16" t="n">
        <v>7929767</v>
      </c>
      <c r="D24" s="16" t="inlineStr">
        <is>
          <t>0.020010</t>
        </is>
      </c>
      <c r="E24" s="16" t="inlineStr">
        <is>
          <t>0.489 SOL</t>
        </is>
      </c>
      <c r="F24" s="16" t="inlineStr">
        <is>
          <t>0.656 SOL</t>
        </is>
      </c>
      <c r="G24" s="22" t="inlineStr">
        <is>
          <t>0.147 SOL</t>
        </is>
      </c>
      <c r="H24" s="22" t="inlineStr">
        <is>
          <t>28.83%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18:25:18</t>
        </is>
      </c>
      <c r="M24" s="16" t="inlineStr">
        <is>
          <t>8 min</t>
        </is>
      </c>
      <c r="N24" s="16" t="inlineStr">
        <is>
          <t xml:space="preserve">         11K            14K             4K</t>
        </is>
      </c>
      <c r="O24" s="16" t="inlineStr">
        <is>
          <t>BFc3G2JaqZA3eCJzWiSMhGZp7aXwonXETtr2Nudppump</t>
        </is>
      </c>
      <c r="P24" s="16">
        <f>HYPERLINK("https://photon-sol.tinyastro.io/en/lp/BFc3G2JaqZA3eCJzWiSMhGZp7aXwonXETtr2Nudppump?handle=676050794bc1b1657a56b", "View")</f>
        <v/>
      </c>
    </row>
    <row r="25">
      <c r="A25" s="19" t="inlineStr">
        <is>
          <t>Nina</t>
        </is>
      </c>
      <c r="B25" s="20" t="n">
        <v>11778199</v>
      </c>
      <c r="C25" s="20" t="n">
        <v>11778199</v>
      </c>
      <c r="D25" s="20" t="inlineStr">
        <is>
          <t>0.020010</t>
        </is>
      </c>
      <c r="E25" s="20" t="inlineStr">
        <is>
          <t>1.070 SOL</t>
        </is>
      </c>
      <c r="F25" s="20" t="inlineStr">
        <is>
          <t>0.945 SOL</t>
        </is>
      </c>
      <c r="G25" s="21" t="inlineStr">
        <is>
          <t>-0.145 SOL</t>
        </is>
      </c>
      <c r="H25" s="21" t="inlineStr">
        <is>
          <t>-13.32%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29.10.2024 15:46:54</t>
        </is>
      </c>
      <c r="M25" s="20" t="inlineStr">
        <is>
          <t>4 min</t>
        </is>
      </c>
      <c r="N25" s="20" t="inlineStr">
        <is>
          <t xml:space="preserve">         16K            14K             5K</t>
        </is>
      </c>
      <c r="O25" s="20" t="inlineStr">
        <is>
          <t>CDkwBE7pPovZLJC2KxM7jvWXkyygR1Y1u2R7f6hmpump</t>
        </is>
      </c>
      <c r="P25" s="20">
        <f>HYPERLINK("https://photon-sol.tinyastro.io/en/lp/CDkwBE7pPovZLJC2KxM7jvWXkyygR1Y1u2R7f6hmpump?handle=676050794bc1b1657a56b", "View")</f>
        <v/>
      </c>
    </row>
    <row r="26">
      <c r="A26" s="15" t="inlineStr">
        <is>
          <t>MOLANG</t>
        </is>
      </c>
      <c r="B26" s="16" t="n">
        <v>1793028</v>
      </c>
      <c r="C26" s="16" t="n">
        <v>1793028</v>
      </c>
      <c r="D26" s="16" t="inlineStr">
        <is>
          <t>0.220020</t>
        </is>
      </c>
      <c r="E26" s="16" t="inlineStr">
        <is>
          <t>0.548 SOL</t>
        </is>
      </c>
      <c r="F26" s="16" t="inlineStr">
        <is>
          <t>0.443 SOL</t>
        </is>
      </c>
      <c r="G26" s="21" t="inlineStr">
        <is>
          <t>-0.326 SOL</t>
        </is>
      </c>
      <c r="H26" s="21" t="inlineStr">
        <is>
          <t>-42.39%</t>
        </is>
      </c>
      <c r="I26" s="16" t="inlineStr">
        <is>
          <t>N/A</t>
        </is>
      </c>
      <c r="J26" s="16" t="n">
        <v>2</v>
      </c>
      <c r="K26" s="16" t="n">
        <v>2</v>
      </c>
      <c r="L26" s="16" t="inlineStr">
        <is>
          <t>29.10.2024 14:48:15</t>
        </is>
      </c>
      <c r="M26" s="16" t="inlineStr">
        <is>
          <t>10 min</t>
        </is>
      </c>
      <c r="N26" s="16" t="inlineStr">
        <is>
          <t xml:space="preserve">         56K            32K             4K</t>
        </is>
      </c>
      <c r="O26" s="16" t="inlineStr">
        <is>
          <t>BPFXTGBjoARa89gbSvbp7Dy6cQwgGc7efW1jE8nTpump</t>
        </is>
      </c>
      <c r="P26" s="16">
        <f>HYPERLINK("https://photon-sol.tinyastro.io/en/lp/BPFXTGBjoARa89gbSvbp7Dy6cQwgGc7efW1jE8nTpump?handle=676050794bc1b1657a56b", "View")</f>
        <v/>
      </c>
    </row>
    <row r="27">
      <c r="A27" s="19" t="inlineStr">
        <is>
          <t>Trina</t>
        </is>
      </c>
      <c r="B27" s="20" t="n">
        <v>11384893</v>
      </c>
      <c r="C27" s="20" t="n">
        <v>11384893</v>
      </c>
      <c r="D27" s="20" t="inlineStr">
        <is>
          <t>0.470190</t>
        </is>
      </c>
      <c r="E27" s="20" t="inlineStr">
        <is>
          <t>0.633 SOL</t>
        </is>
      </c>
      <c r="F27" s="20" t="inlineStr">
        <is>
          <t>2.298 SOL</t>
        </is>
      </c>
      <c r="G27" s="23" t="inlineStr">
        <is>
          <t>1.195 SOL</t>
        </is>
      </c>
      <c r="H27" s="23" t="inlineStr">
        <is>
          <t>108.28%</t>
        </is>
      </c>
      <c r="I27" s="20" t="inlineStr">
        <is>
          <t>N/A</t>
        </is>
      </c>
      <c r="J27" s="20" t="n">
        <v>1</v>
      </c>
      <c r="K27" s="20" t="n">
        <v>37</v>
      </c>
      <c r="L27" s="20" t="inlineStr">
        <is>
          <t>29.10.2024 13:33:37</t>
        </is>
      </c>
      <c r="M27" s="20" t="inlineStr">
        <is>
          <t>9 min</t>
        </is>
      </c>
      <c r="N27" s="20" t="inlineStr">
        <is>
          <t xml:space="preserve">         11K            11K             4K</t>
        </is>
      </c>
      <c r="O27" s="20" t="inlineStr">
        <is>
          <t>DirQ7FDi1C5SZCy8ai1GTSvnm9o8MDf9s4C4cExzpump</t>
        </is>
      </c>
      <c r="P27" s="20">
        <f>HYPERLINK("https://photon-sol.tinyastro.io/en/lp/DirQ7FDi1C5SZCy8ai1GTSvnm9o8MDf9s4C4cExzpump?handle=676050794bc1b1657a56b", "View")</f>
        <v/>
      </c>
    </row>
    <row r="28">
      <c r="A28" s="15" t="inlineStr">
        <is>
          <t>Trina</t>
        </is>
      </c>
      <c r="B28" s="16" t="n">
        <v>585788</v>
      </c>
      <c r="C28" s="16" t="n">
        <v>585788</v>
      </c>
      <c r="D28" s="16" t="inlineStr">
        <is>
          <t>0.110010</t>
        </is>
      </c>
      <c r="E28" s="16" t="inlineStr">
        <is>
          <t>0.131 SOL</t>
        </is>
      </c>
      <c r="F28" s="16" t="inlineStr">
        <is>
          <t>0.116 SOL</t>
        </is>
      </c>
      <c r="G28" s="24" t="inlineStr">
        <is>
          <t>-0.126 SOL</t>
        </is>
      </c>
      <c r="H28" s="24" t="inlineStr">
        <is>
          <t>-52.15%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29.10.2024 13:22:14</t>
        </is>
      </c>
      <c r="M28" s="16" t="inlineStr">
        <is>
          <t>8 min</t>
        </is>
      </c>
      <c r="N28" s="16" t="inlineStr">
        <is>
          <t xml:space="preserve">         39K            35K             5K</t>
        </is>
      </c>
      <c r="O28" s="16" t="inlineStr">
        <is>
          <t>CsT44i2W2MWp23WQ2EqjorxZVVzuN4niw1cj1Qr5pump</t>
        </is>
      </c>
      <c r="P28" s="16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HYPERLINK("https://gmgn.ai/sol/address/AKtLvJx2gZYSFxzADPUNs3Rf5sBFbg3qZr7pdWiZGa6D", "GMGN")</f>
        <v/>
      </c>
    </row>
    <row r="2">
      <c r="A2" s="3" t="inlineStr">
        <is>
          <t>AKtLvJx2gZYSFxzADPUNs3Rf5sBFbg3qZr7pdWiZGa6D</t>
        </is>
      </c>
      <c r="B2" s="3" t="inlineStr">
        <is>
          <t>32.39 SOL</t>
        </is>
      </c>
      <c r="C2" s="3" t="inlineStr">
        <is>
          <t>43%</t>
        </is>
      </c>
      <c r="D2" s="3" t="inlineStr">
        <is>
          <t>68%</t>
        </is>
      </c>
      <c r="E2" s="3" t="inlineStr">
        <is>
          <t>17.67 SOL</t>
        </is>
      </c>
      <c r="F2" s="3" t="inlineStr">
        <is>
          <t>0 (0%)</t>
        </is>
      </c>
      <c r="G2" s="3" t="inlineStr">
        <is>
          <t>1 (14%)</t>
        </is>
      </c>
      <c r="H2" s="3" t="n">
        <v>7</v>
      </c>
      <c r="I2" s="3" t="n">
        <v>0</v>
      </c>
      <c r="J2" s="3" t="inlineStr">
        <is>
          <t>17 days</t>
        </is>
      </c>
      <c r="K2" s="3" t="inlineStr">
        <is>
          <t>15 h</t>
        </is>
      </c>
      <c r="L2" s="3" t="n">
        <v>4</v>
      </c>
      <c r="M2" s="3" t="n">
        <v>14</v>
      </c>
      <c r="N2" s="3">
        <f>HYPERLINK("https://solscan.io/account/AKtLvJx2gZYSFxzADPUNs3Rf5sBFbg3qZr7pdWiZGa6D", "Solscan")</f>
        <v/>
      </c>
    </row>
    <row r="3">
      <c r="A3" s="6" t="inlineStr">
        <is>
          <t>Median ROI</t>
        </is>
      </c>
      <c r="B3" s="5" t="inlineStr">
        <is>
          <t>-22.15%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HYPERLINK("https://birdeye.so/profile/AKtLvJx2gZYSFxzADPUNs3Rf5sBFbg3qZr7pdWiZGa6D", "Birdeye")</f>
        <v/>
      </c>
    </row>
    <row r="4">
      <c r="A4" s="6" t="inlineStr">
        <is>
          <t>Rockets percent</t>
        </is>
      </c>
      <c r="B4" s="3" t="inlineStr">
        <is>
          <t>14%</t>
        </is>
      </c>
      <c r="C4" s="3" t="inlineStr"/>
      <c r="D4" s="3" t="inlineStr">
        <is>
          <t>3%</t>
        </is>
      </c>
      <c r="E4" s="3" t="inlineStr">
        <is>
          <t>0.86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130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1</v>
      </c>
      <c r="D10" s="6" t="n">
        <v>1</v>
      </c>
      <c r="E10" s="6" t="n">
        <v>1</v>
      </c>
      <c r="F10" s="6" t="n">
        <v>3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14.3%</t>
        </is>
      </c>
      <c r="D11" s="6" t="inlineStr">
        <is>
          <t>14.3%</t>
        </is>
      </c>
      <c r="E11" s="6" t="inlineStr">
        <is>
          <t>14.3%</t>
        </is>
      </c>
      <c r="F11" s="6" t="inlineStr">
        <is>
          <t>42.9%</t>
        </is>
      </c>
      <c r="G11" s="6" t="inlineStr">
        <is>
          <t>14.3%</t>
        </is>
      </c>
      <c r="H11" s="3" t="n"/>
      <c r="I11" s="3" t="inlineStr">
        <is>
          <t>5k-30k</t>
        </is>
      </c>
      <c r="J11" s="3" t="inlineStr">
        <is>
          <t>4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20.3 SOL</t>
        </is>
      </c>
      <c r="D12" s="6" t="inlineStr">
        <is>
          <t>0.8 SOL</t>
        </is>
      </c>
      <c r="E12" s="6" t="inlineStr">
        <is>
          <t>0.1 SOL</t>
        </is>
      </c>
      <c r="F12" s="6" t="inlineStr">
        <is>
          <t>-1.9 SOL</t>
        </is>
      </c>
      <c r="G12" s="6" t="inlineStr">
        <is>
          <t>-1.7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30.0K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Tutu</t>
        </is>
      </c>
      <c r="B20" s="16" t="n">
        <v>10358979</v>
      </c>
      <c r="C20" s="16" t="n">
        <v>0</v>
      </c>
      <c r="D20" s="16" t="inlineStr">
        <is>
          <t>0.000020</t>
        </is>
      </c>
      <c r="E20" s="16" t="inlineStr">
        <is>
          <t>1.668 SOL</t>
        </is>
      </c>
      <c r="F20" s="16" t="inlineStr">
        <is>
          <t>0.000 SOL</t>
        </is>
      </c>
      <c r="G20" s="17" t="inlineStr">
        <is>
          <t>-1.668 SOL</t>
        </is>
      </c>
      <c r="H20" s="17" t="inlineStr">
        <is>
          <t>0.00%</t>
        </is>
      </c>
      <c r="I20" s="16" t="inlineStr">
        <is>
          <t>10,358,979</t>
        </is>
      </c>
      <c r="J20" s="16" t="n">
        <v>1</v>
      </c>
      <c r="K20" s="16" t="n">
        <v>0</v>
      </c>
      <c r="L20" s="16" t="inlineStr">
        <is>
          <t>30.10.2024 16:23:41</t>
        </is>
      </c>
      <c r="M20" s="18" t="inlineStr">
        <is>
          <t>0 sec</t>
        </is>
      </c>
      <c r="N20" s="16" t="inlineStr">
        <is>
          <t xml:space="preserve">         28K            28K            15K</t>
        </is>
      </c>
      <c r="O20" s="16" t="inlineStr">
        <is>
          <t>Hc3LTZvE2NRMuoeGKbxcaeYUYuprMfJtP42cr1yupump</t>
        </is>
      </c>
      <c r="P20" s="16">
        <f>HYPERLINK("https://photon-sol.tinyastro.io/en/lp/Hc3LTZvE2NRMuoeGKbxcaeYUYuprMfJtP42cr1yupump?handle=676050794bc1b1657a56b", "View")</f>
        <v/>
      </c>
    </row>
    <row r="21">
      <c r="A21" s="19" t="inlineStr">
        <is>
          <t>ttyl</t>
        </is>
      </c>
      <c r="B21" s="20" t="n">
        <v>3090351</v>
      </c>
      <c r="C21" s="20" t="n">
        <v>3090351</v>
      </c>
      <c r="D21" s="20" t="inlineStr">
        <is>
          <t>0.000020</t>
        </is>
      </c>
      <c r="E21" s="20" t="inlineStr">
        <is>
          <t>0.510 SOL</t>
        </is>
      </c>
      <c r="F21" s="20" t="inlineStr">
        <is>
          <t>0.287 SOL</t>
        </is>
      </c>
      <c r="G21" s="21" t="inlineStr">
        <is>
          <t>-0.223 SOL</t>
        </is>
      </c>
      <c r="H21" s="21" t="inlineStr">
        <is>
          <t>-43.74%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01:35:15</t>
        </is>
      </c>
      <c r="M21" s="20" t="inlineStr">
        <is>
          <t>26 min</t>
        </is>
      </c>
      <c r="N21" s="20" t="inlineStr">
        <is>
          <t xml:space="preserve">         30K            16K             4K</t>
        </is>
      </c>
      <c r="O21" s="20" t="inlineStr">
        <is>
          <t>F4o5uAh5BopSHF4zTNNALQVb8EV2uVajzPmDZuHgpump</t>
        </is>
      </c>
      <c r="P21" s="20">
        <f>HYPERLINK("https://photon-sol.tinyastro.io/en/lp/F4o5uAh5BopSHF4zTNNALQVb8EV2uVajzPmDZuHgpump?handle=676050794bc1b1657a56b", "View")</f>
        <v/>
      </c>
    </row>
    <row r="22">
      <c r="A22" s="15" t="inlineStr">
        <is>
          <t>ROMEO</t>
        </is>
      </c>
      <c r="B22" s="16" t="n">
        <v>4261529</v>
      </c>
      <c r="C22" s="16" t="n">
        <v>4261529</v>
      </c>
      <c r="D22" s="16" t="inlineStr">
        <is>
          <t>0.000520</t>
        </is>
      </c>
      <c r="E22" s="16" t="inlineStr">
        <is>
          <t>1.500 SOL</t>
        </is>
      </c>
      <c r="F22" s="16" t="inlineStr">
        <is>
          <t>2.338 SOL</t>
        </is>
      </c>
      <c r="G22" s="23" t="inlineStr">
        <is>
          <t>0.838 SOL</t>
        </is>
      </c>
      <c r="H22" s="23" t="inlineStr">
        <is>
          <t>55.81%</t>
        </is>
      </c>
      <c r="I22" s="16" t="inlineStr">
        <is>
          <t>N/A</t>
        </is>
      </c>
      <c r="J22" s="16" t="n">
        <v>2</v>
      </c>
      <c r="K22" s="16" t="n">
        <v>1</v>
      </c>
      <c r="L22" s="16" t="inlineStr">
        <is>
          <t>29.10.2024 02:54:57</t>
        </is>
      </c>
      <c r="M22" s="16" t="inlineStr">
        <is>
          <t>9 min</t>
        </is>
      </c>
      <c r="N22" s="16" t="inlineStr">
        <is>
          <t xml:space="preserve">         61K            96K            64K</t>
        </is>
      </c>
      <c r="O22" s="16" t="inlineStr">
        <is>
          <t>9mT5DZ4mm2YLQMJ98Eke385Gn8R8FAGXfNkuSXB2FX8B</t>
        </is>
      </c>
      <c r="P22" s="16">
        <f>HYPERLINK("https://dexscreener.com/solana/9mT5DZ4mm2YLQMJ98Eke385Gn8R8FAGXfNkuSXB2FX8B", "View")</f>
        <v/>
      </c>
    </row>
    <row r="23">
      <c r="A23" s="19" t="inlineStr">
        <is>
          <t>$OAKMONT</t>
        </is>
      </c>
      <c r="B23" s="20" t="n">
        <v>17534121</v>
      </c>
      <c r="C23" s="20" t="n">
        <v>17534121</v>
      </c>
      <c r="D23" s="20" t="inlineStr">
        <is>
          <t>0.003780</t>
        </is>
      </c>
      <c r="E23" s="20" t="inlineStr">
        <is>
          <t>16.360 SOL</t>
        </is>
      </c>
      <c r="F23" s="20" t="inlineStr">
        <is>
          <t>36.686 SOL</t>
        </is>
      </c>
      <c r="G23" s="23" t="inlineStr">
        <is>
          <t>20.323 SOL</t>
        </is>
      </c>
      <c r="H23" s="23" t="inlineStr">
        <is>
          <t>124.20%</t>
        </is>
      </c>
      <c r="I23" s="20" t="inlineStr">
        <is>
          <t>N/A</t>
        </is>
      </c>
      <c r="J23" s="20" t="n">
        <v>7</v>
      </c>
      <c r="K23" s="20" t="n">
        <v>3</v>
      </c>
      <c r="L23" s="20" t="inlineStr">
        <is>
          <t>28.10.2024 21:28:59</t>
        </is>
      </c>
      <c r="M23" s="20" t="inlineStr">
        <is>
          <t>9 days</t>
        </is>
      </c>
      <c r="N23" s="20" t="inlineStr">
        <is>
          <t xml:space="preserve">         17K           794K             1M</t>
        </is>
      </c>
      <c r="O23" s="20" t="inlineStr">
        <is>
          <t>32i3VKoMrkY1sszZSsYF3o6zejiiTs1xh5jgqMHDpump</t>
        </is>
      </c>
      <c r="P23" s="20">
        <f>HYPERLINK("https://photon-sol.tinyastro.io/en/lp/32i3VKoMrkY1sszZSsYF3o6zejiiTs1xh5jgqMHDpump?handle=676050794bc1b1657a56b", "View")</f>
        <v/>
      </c>
    </row>
    <row r="24">
      <c r="A24" s="15" t="inlineStr">
        <is>
          <t>$MVB</t>
        </is>
      </c>
      <c r="B24" s="16" t="n">
        <v>25391</v>
      </c>
      <c r="C24" s="16" t="n">
        <v>25391</v>
      </c>
      <c r="D24" s="16" t="inlineStr">
        <is>
          <t>0.000010</t>
        </is>
      </c>
      <c r="E24" s="16" t="inlineStr">
        <is>
          <t>1.577 SOL</t>
        </is>
      </c>
      <c r="F24" s="16" t="inlineStr">
        <is>
          <t>1.228 SOL</t>
        </is>
      </c>
      <c r="G24" s="21" t="inlineStr">
        <is>
          <t>-0.349 SOL</t>
        </is>
      </c>
      <c r="H24" s="21" t="inlineStr">
        <is>
          <t>-22.15%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23.10.2024 22:39:01</t>
        </is>
      </c>
      <c r="M24" s="16" t="inlineStr">
        <is>
          <t>3 hours</t>
        </is>
      </c>
      <c r="N24" s="16" t="inlineStr">
        <is>
          <t xml:space="preserve">        431K           336K           310K</t>
        </is>
      </c>
      <c r="O24" s="16" t="inlineStr">
        <is>
          <t>moon18sDJGhymHnyEMHWPdqjmSykNhFP77LxPZoueTt</t>
        </is>
      </c>
      <c r="P24" s="16">
        <f>HYPERLINK("https://dexscreener.com/solana/moon18sDJGhymHnyEMHWPdqjmSykNhFP77LxPZoueTt", "View")</f>
        <v/>
      </c>
    </row>
    <row r="25">
      <c r="A25" s="19" t="inlineStr">
        <is>
          <t>Capys</t>
        </is>
      </c>
      <c r="B25" s="20" t="n">
        <v>19581653</v>
      </c>
      <c r="C25" s="20" t="n">
        <v>19581653</v>
      </c>
      <c r="D25" s="20" t="inlineStr">
        <is>
          <t>0.000420</t>
        </is>
      </c>
      <c r="E25" s="20" t="inlineStr">
        <is>
          <t>1.520 SOL</t>
        </is>
      </c>
      <c r="F25" s="20" t="inlineStr">
        <is>
          <t>1.581 SOL</t>
        </is>
      </c>
      <c r="G25" s="22" t="inlineStr">
        <is>
          <t>0.060 SOL</t>
        </is>
      </c>
      <c r="H25" s="22" t="inlineStr">
        <is>
          <t>3.93%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23.10.2024 05:05:06</t>
        </is>
      </c>
      <c r="M25" s="20" t="inlineStr">
        <is>
          <t>1 days</t>
        </is>
      </c>
      <c r="N25" s="20" t="inlineStr">
        <is>
          <t xml:space="preserve">         14K            14K             7K</t>
        </is>
      </c>
      <c r="O25" s="20" t="inlineStr">
        <is>
          <t>Ga24NJYQGBk5uB9n9YBwi9CgT1QFDvVgtwKwBqXjpump</t>
        </is>
      </c>
      <c r="P25" s="20">
        <f>HYPERLINK("https://photon-sol.tinyastro.io/en/lp/Ga24NJYQGBk5uB9n9YBwi9CgT1QFDvVgtwKwBqXjpump?handle=676050794bc1b1657a56b", "View")</f>
        <v/>
      </c>
    </row>
    <row r="26">
      <c r="A26" s="15" t="inlineStr">
        <is>
          <t>rogen</t>
        </is>
      </c>
      <c r="B26" s="16" t="n">
        <v>256687</v>
      </c>
      <c r="C26" s="16" t="n">
        <v>306687</v>
      </c>
      <c r="D26" s="16" t="inlineStr">
        <is>
          <t>0.000040</t>
        </is>
      </c>
      <c r="E26" s="16" t="inlineStr">
        <is>
          <t>2.793 SOL</t>
        </is>
      </c>
      <c r="F26" s="16" t="inlineStr">
        <is>
          <t>1.486 SOL</t>
        </is>
      </c>
      <c r="G26" s="21" t="inlineStr">
        <is>
          <t>-1.307 SOL</t>
        </is>
      </c>
      <c r="H26" s="21" t="inlineStr">
        <is>
          <t>-46.81%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19.10.2024 17:27:59</t>
        </is>
      </c>
      <c r="M26" s="16" t="inlineStr">
        <is>
          <t>6 days</t>
        </is>
      </c>
      <c r="N26" s="16" t="inlineStr">
        <is>
          <t xml:space="preserve">          2M           850K           277K</t>
        </is>
      </c>
      <c r="O26" s="16" t="inlineStr">
        <is>
          <t>DtgDZb83TqywcuBuWE89jx4k5Y7b6nQ4GYJq3Wd61JQQ</t>
        </is>
      </c>
      <c r="P26" s="16">
        <f>HYPERLINK("https://dexscreener.com/solana/DtgDZb83TqywcuBuWE89jx4k5Y7b6nQ4GYJq3Wd61JQQ", "View")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21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HYPERLINK("https://gmgn.ai/sol/address/QsKPitHpk21brkEKL1FyZaJQB18xMseGsxLUwSBP4mX", "GMGN")</f>
        <v/>
      </c>
    </row>
    <row r="2">
      <c r="A2" s="3" t="inlineStr">
        <is>
          <t>QsKPitHpk21brkEKL1FyZaJQB18xMseGsxLUwSBP4mX</t>
        </is>
      </c>
      <c r="B2" s="3" t="inlineStr">
        <is>
          <t>19.08 SOL</t>
        </is>
      </c>
      <c r="C2" s="3" t="inlineStr">
        <is>
          <t>55%</t>
        </is>
      </c>
      <c r="D2" s="3" t="inlineStr">
        <is>
          <t>218%</t>
        </is>
      </c>
      <c r="E2" s="3" t="inlineStr">
        <is>
          <t>744.26 SOL</t>
        </is>
      </c>
      <c r="F2" s="3" t="inlineStr">
        <is>
          <t>74 (73%)</t>
        </is>
      </c>
      <c r="G2" s="3" t="inlineStr">
        <is>
          <t>0 (0%)</t>
        </is>
      </c>
      <c r="H2" s="3" t="n">
        <v>102</v>
      </c>
      <c r="I2" s="3" t="n">
        <v>0</v>
      </c>
      <c r="J2" s="3" t="inlineStr">
        <is>
          <t>39 days</t>
        </is>
      </c>
      <c r="K2" s="3" t="inlineStr">
        <is>
          <t>25 sec</t>
        </is>
      </c>
      <c r="L2" s="3" t="n">
        <v>58</v>
      </c>
      <c r="M2" s="3" t="n">
        <v>214</v>
      </c>
      <c r="N2" s="3">
        <f>HYPERLINK("https://solscan.io/account/QsKPitHpk21brkEKL1FyZaJQB18xMseGsxLUwSBP4mX", "Solscan")</f>
        <v/>
      </c>
    </row>
    <row r="3">
      <c r="A3" s="6" t="inlineStr">
        <is>
          <t>Median ROI</t>
        </is>
      </c>
      <c r="B3" s="4" t="inlineStr">
        <is>
          <t>5.34%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HYPERLINK("https://birdeye.so/profile/QsKPitHpk21brkEKL1FyZaJQB18xMseGsxLUwSBP4mX", "Birdeye")</f>
        <v/>
      </c>
    </row>
    <row r="4">
      <c r="A4" s="6" t="inlineStr">
        <is>
          <t>Rockets percent</t>
        </is>
      </c>
      <c r="B4" s="3" t="inlineStr">
        <is>
          <t>15%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54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12</v>
      </c>
      <c r="D10" s="6" t="n">
        <v>9</v>
      </c>
      <c r="E10" s="6" t="n">
        <v>32</v>
      </c>
      <c r="F10" s="6" t="n">
        <v>38</v>
      </c>
      <c r="G10" s="6" t="n">
        <v>8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2.9%</t>
        </is>
      </c>
      <c r="C11" s="6" t="inlineStr">
        <is>
          <t>11.8%</t>
        </is>
      </c>
      <c r="D11" s="6" t="inlineStr">
        <is>
          <t>8.8%</t>
        </is>
      </c>
      <c r="E11" s="6" t="inlineStr">
        <is>
          <t>31.4%</t>
        </is>
      </c>
      <c r="F11" s="6" t="inlineStr">
        <is>
          <t>37.3%</t>
        </is>
      </c>
      <c r="G11" s="6" t="inlineStr">
        <is>
          <t>7.8%</t>
        </is>
      </c>
      <c r="H11" s="3" t="n"/>
      <c r="I11" s="3" t="inlineStr">
        <is>
          <t>5k-30k</t>
        </is>
      </c>
      <c r="J11" s="3" t="inlineStr">
        <is>
          <t>16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655.2 SOL</t>
        </is>
      </c>
      <c r="C12" s="6" t="inlineStr">
        <is>
          <t>74.3 SOL</t>
        </is>
      </c>
      <c r="D12" s="6" t="inlineStr">
        <is>
          <t>27.4 SOL</t>
        </is>
      </c>
      <c r="E12" s="6" t="inlineStr">
        <is>
          <t>21.0 SOL</t>
        </is>
      </c>
      <c r="F12" s="6" t="inlineStr">
        <is>
          <t>-11.6 SOL</t>
        </is>
      </c>
      <c r="G12" s="6" t="inlineStr">
        <is>
          <t>-22.0 SOL</t>
        </is>
      </c>
      <c r="H12" s="3" t="n"/>
      <c r="I12" s="3" t="inlineStr">
        <is>
          <t>30k-100k</t>
        </is>
      </c>
      <c r="J12" s="3" t="inlineStr">
        <is>
          <t>33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19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5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67.0K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COZI</t>
        </is>
      </c>
      <c r="B20" s="16" t="n">
        <v>20519028</v>
      </c>
      <c r="C20" s="16" t="n">
        <v>20519028</v>
      </c>
      <c r="D20" s="16" t="inlineStr">
        <is>
          <t>0.038610</t>
        </is>
      </c>
      <c r="E20" s="16" t="inlineStr">
        <is>
          <t>3.143 SOL</t>
        </is>
      </c>
      <c r="F20" s="16" t="inlineStr">
        <is>
          <t>3.233 SOL</t>
        </is>
      </c>
      <c r="G20" s="22" t="inlineStr">
        <is>
          <t>0.051 SOL</t>
        </is>
      </c>
      <c r="H20" s="22" t="inlineStr">
        <is>
          <t>1.61%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20:37:23</t>
        </is>
      </c>
      <c r="M20" s="18" t="inlineStr">
        <is>
          <t>9 sec</t>
        </is>
      </c>
      <c r="N20" s="16" t="inlineStr">
        <is>
          <t xml:space="preserve">         26K            28K             6K</t>
        </is>
      </c>
      <c r="O20" s="16" t="inlineStr">
        <is>
          <t>6hFjkjquUUbULbRV7uYNL9SDxWmPzuzebyicCP8ppump</t>
        </is>
      </c>
      <c r="P20" s="16">
        <f>HYPERLINK("https://photon-sol.tinyastro.io/en/lp/6hFjkjquUUbULbRV7uYNL9SDxWmPzuzebyicCP8ppump?handle=676050794bc1b1657a56b", "View")</f>
        <v/>
      </c>
    </row>
    <row r="21">
      <c r="A21" s="19" t="inlineStr">
        <is>
          <t>CHILEAN</t>
        </is>
      </c>
      <c r="B21" s="20" t="n">
        <v>8735445</v>
      </c>
      <c r="C21" s="20" t="n">
        <v>8735445</v>
      </c>
      <c r="D21" s="20" t="inlineStr">
        <is>
          <t>0.000210</t>
        </is>
      </c>
      <c r="E21" s="20" t="inlineStr">
        <is>
          <t>3.143 SOL</t>
        </is>
      </c>
      <c r="F21" s="20" t="inlineStr">
        <is>
          <t>4.026 SOL</t>
        </is>
      </c>
      <c r="G21" s="22" t="inlineStr">
        <is>
          <t>0.883 SOL</t>
        </is>
      </c>
      <c r="H21" s="22" t="inlineStr">
        <is>
          <t>28.09%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07:12:52</t>
        </is>
      </c>
      <c r="M21" s="20" t="inlineStr">
        <is>
          <t>2 min</t>
        </is>
      </c>
      <c r="N21" s="20" t="inlineStr">
        <is>
          <t xml:space="preserve">         63K            81K             7K</t>
        </is>
      </c>
      <c r="O21" s="20" t="inlineStr">
        <is>
          <t>F9rhG8StmrcKiDgaUMdfuBnG1hag1sysBCT1KufZpump</t>
        </is>
      </c>
      <c r="P21" s="20">
        <f>HYPERLINK("https://photon-sol.tinyastro.io/en/lp/F9rhG8StmrcKiDgaUMdfuBnG1hag1sysBCT1KufZpump?handle=676050794bc1b1657a56b", "View")</f>
        <v/>
      </c>
    </row>
    <row r="22">
      <c r="A22" s="15" t="inlineStr">
        <is>
          <t>Félicette</t>
        </is>
      </c>
      <c r="B22" s="16" t="n">
        <v>19922834</v>
      </c>
      <c r="C22" s="16" t="n">
        <v>19922834</v>
      </c>
      <c r="D22" s="16" t="inlineStr">
        <is>
          <t>0.000210</t>
        </is>
      </c>
      <c r="E22" s="16" t="inlineStr">
        <is>
          <t>3.143 SOL</t>
        </is>
      </c>
      <c r="F22" s="16" t="inlineStr">
        <is>
          <t>4.772 SOL</t>
        </is>
      </c>
      <c r="G22" s="23" t="inlineStr">
        <is>
          <t>1.629 SOL</t>
        </is>
      </c>
      <c r="H22" s="23" t="inlineStr">
        <is>
          <t>51.83%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04:33:22</t>
        </is>
      </c>
      <c r="M22" s="18" t="inlineStr">
        <is>
          <t>3 sec</t>
        </is>
      </c>
      <c r="N22" s="16" t="inlineStr">
        <is>
          <t xml:space="preserve">         28K            42K             5K</t>
        </is>
      </c>
      <c r="O22" s="16" t="inlineStr">
        <is>
          <t>omPwhhB8qZysrvP72VESvFwuqimcFSF6pkSNj94pump</t>
        </is>
      </c>
      <c r="P22" s="16">
        <f>HYPERLINK("https://photon-sol.tinyastro.io/en/lp/omPwhhB8qZysrvP72VESvFwuqimcFSF6pkSNj94pump?handle=676050794bc1b1657a56b", "View")</f>
        <v/>
      </c>
    </row>
    <row r="23">
      <c r="A23" s="19" t="inlineStr">
        <is>
          <t>Tao</t>
        </is>
      </c>
      <c r="B23" s="20" t="n">
        <v>14843762</v>
      </c>
      <c r="C23" s="20" t="n">
        <v>14843762</v>
      </c>
      <c r="D23" s="20" t="inlineStr">
        <is>
          <t>0.110120</t>
        </is>
      </c>
      <c r="E23" s="20" t="inlineStr">
        <is>
          <t>3.143 SOL</t>
        </is>
      </c>
      <c r="F23" s="20" t="inlineStr">
        <is>
          <t>2.767 SOL</t>
        </is>
      </c>
      <c r="G23" s="21" t="inlineStr">
        <is>
          <t>-0.486 SOL</t>
        </is>
      </c>
      <c r="H23" s="21" t="inlineStr">
        <is>
          <t>-14.95%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29.10.2024 04:53:26</t>
        </is>
      </c>
      <c r="M23" s="18" t="inlineStr">
        <is>
          <t>2 sec</t>
        </is>
      </c>
      <c r="N23" s="20" t="inlineStr">
        <is>
          <t xml:space="preserve">         37K            33K             3K</t>
        </is>
      </c>
      <c r="O23" s="20" t="inlineStr">
        <is>
          <t>G5QWsZmyaMEh3GFp8FQ4Wk2W9pNoPCRYcphWLjfUpump</t>
        </is>
      </c>
      <c r="P23" s="20">
        <f>HYPERLINK("https://photon-sol.tinyastro.io/en/lp/G5QWsZmyaMEh3GFp8FQ4Wk2W9pNoPCRYcphWLjfUpump?handle=676050794bc1b1657a56b", "View")</f>
        <v/>
      </c>
    </row>
    <row r="24">
      <c r="A24" s="15" t="inlineStr">
        <is>
          <t>K-173</t>
        </is>
      </c>
      <c r="B24" s="16" t="n">
        <v>27998671</v>
      </c>
      <c r="C24" s="16" t="n">
        <v>27998670</v>
      </c>
      <c r="D24" s="16" t="inlineStr">
        <is>
          <t>0.000130</t>
        </is>
      </c>
      <c r="E24" s="16" t="inlineStr">
        <is>
          <t>1.034 SOL</t>
        </is>
      </c>
      <c r="F24" s="16" t="inlineStr">
        <is>
          <t>2.123 SOL</t>
        </is>
      </c>
      <c r="G24" s="23" t="inlineStr">
        <is>
          <t>1.088 SOL</t>
        </is>
      </c>
      <c r="H24" s="23" t="inlineStr">
        <is>
          <t>105.22%</t>
        </is>
      </c>
      <c r="I24" s="16" t="inlineStr">
        <is>
          <t>N/A</t>
        </is>
      </c>
      <c r="J24" s="16" t="n">
        <v>1</v>
      </c>
      <c r="K24" s="16" t="n">
        <v>2</v>
      </c>
      <c r="L24" s="16" t="inlineStr">
        <is>
          <t>26.10.2024 05:25:37</t>
        </is>
      </c>
      <c r="M24" s="16" t="inlineStr">
        <is>
          <t>1 min</t>
        </is>
      </c>
      <c r="N24" s="16" t="inlineStr">
        <is>
          <t xml:space="preserve">          7K            12K             5K</t>
        </is>
      </c>
      <c r="O24" s="16" t="inlineStr">
        <is>
          <t>BwWhegbxcysYWXLS822vFGsj3QWy3uK4wm77haTupump</t>
        </is>
      </c>
      <c r="P24" s="16">
        <f>HYPERLINK("https://photon-sol.tinyastro.io/en/lp/BwWhegbxcysYWXLS822vFGsj3QWy3uK4wm77haTupump?handle=676050794bc1b1657a56b", "View")</f>
        <v/>
      </c>
    </row>
    <row r="25">
      <c r="A25" s="19" t="inlineStr">
        <is>
          <t>AUSTIN</t>
        </is>
      </c>
      <c r="B25" s="20" t="n">
        <v>13067743</v>
      </c>
      <c r="C25" s="20" t="n">
        <v>13067743</v>
      </c>
      <c r="D25" s="20" t="inlineStr">
        <is>
          <t>0.022620</t>
        </is>
      </c>
      <c r="E25" s="20" t="inlineStr">
        <is>
          <t>5.000 SOL</t>
        </is>
      </c>
      <c r="F25" s="20" t="inlineStr">
        <is>
          <t>1.788 SOL</t>
        </is>
      </c>
      <c r="G25" s="24" t="inlineStr">
        <is>
          <t>-3.235 SOL</t>
        </is>
      </c>
      <c r="H25" s="24" t="inlineStr">
        <is>
          <t>-64.40%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26.10.2024 02:04:08</t>
        </is>
      </c>
      <c r="M25" s="20" t="inlineStr">
        <is>
          <t>6 min</t>
        </is>
      </c>
      <c r="N25" s="20" t="inlineStr">
        <is>
          <t xml:space="preserve">         67K            25K             4K</t>
        </is>
      </c>
      <c r="O25" s="20" t="inlineStr">
        <is>
          <t>63KJR2r65sSP2c9o37X3aQLcn3BX2ECAeu6o2h9Tpump</t>
        </is>
      </c>
      <c r="P25" s="20">
        <f>HYPERLINK("https://dexscreener.com/solana/63KJR2r65sSP2c9o37X3aQLcn3BX2ECAeu6o2h9Tpump", "View")</f>
        <v/>
      </c>
    </row>
    <row r="26">
      <c r="A26" s="15" t="inlineStr">
        <is>
          <t>GPT5</t>
        </is>
      </c>
      <c r="B26" s="16" t="n">
        <v>7498338</v>
      </c>
      <c r="C26" s="16" t="n">
        <v>7498338</v>
      </c>
      <c r="D26" s="16" t="inlineStr">
        <is>
          <t>0.132240</t>
        </is>
      </c>
      <c r="E26" s="16" t="inlineStr">
        <is>
          <t>4.000 SOL</t>
        </is>
      </c>
      <c r="F26" s="16" t="inlineStr">
        <is>
          <t>5.258 SOL</t>
        </is>
      </c>
      <c r="G26" s="22" t="inlineStr">
        <is>
          <t>1.125 SOL</t>
        </is>
      </c>
      <c r="H26" s="22" t="inlineStr">
        <is>
          <t>27.23%</t>
        </is>
      </c>
      <c r="I26" s="16" t="inlineStr">
        <is>
          <t>N/A</t>
        </is>
      </c>
      <c r="J26" s="16" t="n">
        <v>1</v>
      </c>
      <c r="K26" s="16" t="n">
        <v>2</v>
      </c>
      <c r="L26" s="16" t="inlineStr">
        <is>
          <t>25.10.2024 00:55:21</t>
        </is>
      </c>
      <c r="M26" s="18" t="inlineStr">
        <is>
          <t>33 sec</t>
        </is>
      </c>
      <c r="N26" s="16" t="inlineStr">
        <is>
          <t xml:space="preserve">         93K            74K             4K</t>
        </is>
      </c>
      <c r="O26" s="16" t="inlineStr">
        <is>
          <t>xCLhJpPhC4wLrvq7ramaW268xJXsnJC6wNWENR2pump</t>
        </is>
      </c>
      <c r="P26" s="16">
        <f>HYPERLINK("https://dexscreener.com/solana/xCLhJpPhC4wLrvq7ramaW268xJXsnJC6wNWENR2pump", "View")</f>
        <v/>
      </c>
    </row>
    <row r="27">
      <c r="A27" s="19" t="inlineStr">
        <is>
          <t>run</t>
        </is>
      </c>
      <c r="B27" s="20" t="n">
        <v>32800204</v>
      </c>
      <c r="C27" s="20" t="n">
        <v>32800204</v>
      </c>
      <c r="D27" s="20" t="inlineStr">
        <is>
          <t>0.451010</t>
        </is>
      </c>
      <c r="E27" s="20" t="inlineStr">
        <is>
          <t>6.602 SOL</t>
        </is>
      </c>
      <c r="F27" s="20" t="inlineStr">
        <is>
          <t>6.687 SOL</t>
        </is>
      </c>
      <c r="G27" s="21" t="inlineStr">
        <is>
          <t>-0.366 SOL</t>
        </is>
      </c>
      <c r="H27" s="21" t="inlineStr">
        <is>
          <t>-5.19%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25.10.2024 00:37:34</t>
        </is>
      </c>
      <c r="M27" s="18" t="inlineStr">
        <is>
          <t>12 sec</t>
        </is>
      </c>
      <c r="N27" s="20" t="inlineStr">
        <is>
          <t xml:space="preserve">         35K            35K             6K</t>
        </is>
      </c>
      <c r="O27" s="20" t="inlineStr">
        <is>
          <t>E5w15k1vf5P5hJvryahVmF2RkVK7qy9mLZsDxyczpump</t>
        </is>
      </c>
      <c r="P27" s="20">
        <f>HYPERLINK("https://photon-sol.tinyastro.io/en/lp/E5w15k1vf5P5hJvryahVmF2RkVK7qy9mLZsDxyczpump?handle=676050794bc1b1657a56b", "View")</f>
        <v/>
      </c>
    </row>
    <row r="28">
      <c r="A28" s="15" t="inlineStr">
        <is>
          <t>GENIUS</t>
        </is>
      </c>
      <c r="B28" s="16" t="n">
        <v>1868850</v>
      </c>
      <c r="C28" s="16" t="n">
        <v>1868850</v>
      </c>
      <c r="D28" s="16" t="inlineStr">
        <is>
          <t>0.121120</t>
        </is>
      </c>
      <c r="E28" s="16" t="inlineStr">
        <is>
          <t>4.000 SOL</t>
        </is>
      </c>
      <c r="F28" s="16" t="inlineStr">
        <is>
          <t>7.299 SOL</t>
        </is>
      </c>
      <c r="G28" s="23" t="inlineStr">
        <is>
          <t>3.178 SOL</t>
        </is>
      </c>
      <c r="H28" s="23" t="inlineStr">
        <is>
          <t>77.11%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24.10.2024 02:59:42</t>
        </is>
      </c>
      <c r="M28" s="18" t="inlineStr">
        <is>
          <t>16 sec</t>
        </is>
      </c>
      <c r="N28" s="16" t="inlineStr">
        <is>
          <t xml:space="preserve">        338K           618K            48K</t>
        </is>
      </c>
      <c r="O28" s="16" t="inlineStr">
        <is>
          <t>6UmMAjSYeA5vR94Bn2qD7n2jWpQdd3nW22Vo95RSpump</t>
        </is>
      </c>
      <c r="P28" s="16">
        <f>HYPERLINK("https://dexscreener.com/solana/6UmMAjSYeA5vR94Bn2qD7n2jWpQdd3nW22Vo95RSpump", "View")</f>
        <v/>
      </c>
    </row>
    <row r="29">
      <c r="A29" s="19" t="inlineStr">
        <is>
          <t>Ilumia</t>
        </is>
      </c>
      <c r="B29" s="20" t="n">
        <v>67447667</v>
      </c>
      <c r="C29" s="20" t="n">
        <v>67447667</v>
      </c>
      <c r="D29" s="20" t="inlineStr">
        <is>
          <t>1.012030</t>
        </is>
      </c>
      <c r="E29" s="20" t="inlineStr">
        <is>
          <t>6.372 SOL</t>
        </is>
      </c>
      <c r="F29" s="20" t="inlineStr">
        <is>
          <t>16.313 SOL</t>
        </is>
      </c>
      <c r="G29" s="23" t="inlineStr">
        <is>
          <t>8.929 SOL</t>
        </is>
      </c>
      <c r="H29" s="23" t="inlineStr">
        <is>
          <t>120.92%</t>
        </is>
      </c>
      <c r="I29" s="20" t="inlineStr">
        <is>
          <t>N/A</t>
        </is>
      </c>
      <c r="J29" s="20" t="n">
        <v>1</v>
      </c>
      <c r="K29" s="20" t="n">
        <v>3</v>
      </c>
      <c r="L29" s="20" t="inlineStr">
        <is>
          <t>24.10.2024 02:21:04</t>
        </is>
      </c>
      <c r="M29" s="20" t="inlineStr">
        <is>
          <t>2 min</t>
        </is>
      </c>
      <c r="N29" s="20" t="inlineStr">
        <is>
          <t xml:space="preserve">         16K            19K             3K</t>
        </is>
      </c>
      <c r="O29" s="20" t="inlineStr">
        <is>
          <t>AXz7MZeX2KRZT3EECaGe2G9k85zTS3UtwkcfLs9Rpump</t>
        </is>
      </c>
      <c r="P29" s="20">
        <f>HYPERLINK("https://photon-sol.tinyastro.io/en/lp/AXz7MZeX2KRZT3EECaGe2G9k85zTS3UtwkcfLs9Rpump?handle=676050794bc1b1657a56b", "View")</f>
        <v/>
      </c>
    </row>
    <row r="30">
      <c r="A30" s="15" t="inlineStr">
        <is>
          <t>SOS</t>
        </is>
      </c>
      <c r="B30" s="16" t="n">
        <v>139986954</v>
      </c>
      <c r="C30" s="16" t="n">
        <v>139986954</v>
      </c>
      <c r="D30" s="16" t="inlineStr">
        <is>
          <t>0.022620</t>
        </is>
      </c>
      <c r="E30" s="16" t="inlineStr">
        <is>
          <t>5.933 SOL</t>
        </is>
      </c>
      <c r="F30" s="16" t="inlineStr">
        <is>
          <t>12.200 SOL</t>
        </is>
      </c>
      <c r="G30" s="23" t="inlineStr">
        <is>
          <t>6.244 SOL</t>
        </is>
      </c>
      <c r="H30" s="23" t="inlineStr">
        <is>
          <t>104.85%</t>
        </is>
      </c>
      <c r="I30" s="16" t="inlineStr">
        <is>
          <t>N/A</t>
        </is>
      </c>
      <c r="J30" s="16" t="n">
        <v>1</v>
      </c>
      <c r="K30" s="16" t="n">
        <v>2</v>
      </c>
      <c r="L30" s="16" t="inlineStr">
        <is>
          <t>23.10.2024 21:31:57</t>
        </is>
      </c>
      <c r="M30" s="18" t="inlineStr">
        <is>
          <t>27 sec</t>
        </is>
      </c>
      <c r="N30" s="16" t="inlineStr">
        <is>
          <t xml:space="preserve">          7K            14K             5K</t>
        </is>
      </c>
      <c r="O30" s="16" t="inlineStr">
        <is>
          <t>Cjb8abraKrL9FWRRBYd7SjHBs8wvMJWVVWwVgeZGpump</t>
        </is>
      </c>
      <c r="P30" s="16">
        <f>HYPERLINK("https://photon-sol.tinyastro.io/en/lp/Cjb8abraKrL9FWRRBYd7SjHBs8wvMJWVVWwVgeZGpump?handle=676050794bc1b1657a56b", "View")</f>
        <v/>
      </c>
    </row>
    <row r="31">
      <c r="A31" s="19" t="inlineStr">
        <is>
          <t>Genevieve</t>
        </is>
      </c>
      <c r="B31" s="20" t="n">
        <v>9473445</v>
      </c>
      <c r="C31" s="20" t="n">
        <v>9473445</v>
      </c>
      <c r="D31" s="20" t="inlineStr">
        <is>
          <t>0.781010</t>
        </is>
      </c>
      <c r="E31" s="20" t="inlineStr">
        <is>
          <t>4.000 SOL</t>
        </is>
      </c>
      <c r="F31" s="20" t="inlineStr">
        <is>
          <t>0.280 SOL</t>
        </is>
      </c>
      <c r="G31" s="24" t="inlineStr">
        <is>
          <t>-4.501 SOL</t>
        </is>
      </c>
      <c r="H31" s="24" t="inlineStr">
        <is>
          <t>-94.15%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22.10.2024 23:59:13</t>
        </is>
      </c>
      <c r="M31" s="20" t="inlineStr">
        <is>
          <t>1 min</t>
        </is>
      </c>
      <c r="N31" s="20" t="inlineStr">
        <is>
          <t xml:space="preserve">         74K             5K             3K</t>
        </is>
      </c>
      <c r="O31" s="20" t="inlineStr">
        <is>
          <t>5J7M1gTtbFgLeD3duHspUgdtZdyw8VmfUYKKw34bm2Jp</t>
        </is>
      </c>
      <c r="P31" s="20">
        <f>HYPERLINK("https://dexscreener.com/solana/5J7M1gTtbFgLeD3duHspUgdtZdyw8VmfUYKKw34bm2Jp", "View")</f>
        <v/>
      </c>
    </row>
    <row r="32">
      <c r="A32" s="15" t="inlineStr">
        <is>
          <t>$LYNX</t>
        </is>
      </c>
      <c r="B32" s="16" t="n">
        <v>65155994</v>
      </c>
      <c r="C32" s="16" t="n">
        <v>65155994</v>
      </c>
      <c r="D32" s="16" t="inlineStr">
        <is>
          <t>1.440160</t>
        </is>
      </c>
      <c r="E32" s="16" t="inlineStr">
        <is>
          <t>9.192 SOL</t>
        </is>
      </c>
      <c r="F32" s="16" t="inlineStr">
        <is>
          <t>543.281 SOL</t>
        </is>
      </c>
      <c r="G32" s="23" t="inlineStr">
        <is>
          <t>532.649 SOL</t>
        </is>
      </c>
      <c r="H32" s="23" t="inlineStr">
        <is>
          <t>5009.77%</t>
        </is>
      </c>
      <c r="I32" s="16" t="inlineStr">
        <is>
          <t>N/A</t>
        </is>
      </c>
      <c r="J32" s="16" t="n">
        <v>1</v>
      </c>
      <c r="K32" s="16" t="n">
        <v>16</v>
      </c>
      <c r="L32" s="16" t="inlineStr">
        <is>
          <t>22.10.2024 23:05:36</t>
        </is>
      </c>
      <c r="M32" s="16" t="inlineStr">
        <is>
          <t>7 min</t>
        </is>
      </c>
      <c r="N32" s="16" t="inlineStr">
        <is>
          <t xml:space="preserve">         25K             2M            21K</t>
        </is>
      </c>
      <c r="O32" s="16" t="inlineStr">
        <is>
          <t>HYTWunEns5k3CBBrr8gTJjNqA93avuEPB3RB1Kud3MWg</t>
        </is>
      </c>
      <c r="P32" s="16">
        <f>HYPERLINK("https://photon-sol.tinyastro.io/en/lp/HYTWunEns5k3CBBrr8gTJjNqA93avuEPB3RB1Kud3MWg?handle=676050794bc1b1657a56b", "View")</f>
        <v/>
      </c>
    </row>
    <row r="33">
      <c r="A33" s="19" t="inlineStr">
        <is>
          <t>AI</t>
        </is>
      </c>
      <c r="B33" s="20" t="n">
        <v>5234818</v>
      </c>
      <c r="C33" s="20" t="n">
        <v>5234818</v>
      </c>
      <c r="D33" s="20" t="inlineStr">
        <is>
          <t>0.260610</t>
        </is>
      </c>
      <c r="E33" s="20" t="inlineStr">
        <is>
          <t>2.250 SOL</t>
        </is>
      </c>
      <c r="F33" s="20" t="inlineStr">
        <is>
          <t>0.099 SOL</t>
        </is>
      </c>
      <c r="G33" s="24" t="inlineStr">
        <is>
          <t>-2.412 SOL</t>
        </is>
      </c>
      <c r="H33" s="24" t="inlineStr">
        <is>
          <t>-96.06%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20.10.2024 22:01:52</t>
        </is>
      </c>
      <c r="M33" s="20" t="inlineStr">
        <is>
          <t>2 min</t>
        </is>
      </c>
      <c r="N33" s="20" t="inlineStr">
        <is>
          <t xml:space="preserve">         75K             4K             3K</t>
        </is>
      </c>
      <c r="O33" s="20" t="inlineStr">
        <is>
          <t>13dHCRJRRRJkWY6vcuzKL9Y9hroD1qDF5YPc5w6opump</t>
        </is>
      </c>
      <c r="P33" s="20">
        <f>HYPERLINK("https://dexscreener.com/solana/13dHCRJRRRJkWY6vcuzKL9Y9hroD1qDF5YPc5w6opump", "View")</f>
        <v/>
      </c>
    </row>
    <row r="34">
      <c r="A34" s="15" t="inlineStr">
        <is>
          <t>GG</t>
        </is>
      </c>
      <c r="B34" s="16" t="n">
        <v>5715233</v>
      </c>
      <c r="C34" s="16" t="n">
        <v>5715233</v>
      </c>
      <c r="D34" s="16" t="inlineStr">
        <is>
          <t>0.001210</t>
        </is>
      </c>
      <c r="E34" s="16" t="inlineStr">
        <is>
          <t>2.250 SOL</t>
        </is>
      </c>
      <c r="F34" s="16" t="inlineStr">
        <is>
          <t>2.526 SOL</t>
        </is>
      </c>
      <c r="G34" s="22" t="inlineStr">
        <is>
          <t>0.275 SOL</t>
        </is>
      </c>
      <c r="H34" s="22" t="inlineStr">
        <is>
          <t>12.23%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20.10.2024 21:28:45</t>
        </is>
      </c>
      <c r="M34" s="18" t="inlineStr">
        <is>
          <t>33 sec</t>
        </is>
      </c>
      <c r="N34" s="16" t="inlineStr">
        <is>
          <t xml:space="preserve">         69K            77K             4K</t>
        </is>
      </c>
      <c r="O34" s="16" t="inlineStr">
        <is>
          <t>38p6i5mwXZMWSLzF3HCCQ3c8UNdpndF1ZUAhXYfJpump</t>
        </is>
      </c>
      <c r="P34" s="16">
        <f>HYPERLINK("https://dexscreener.com/solana/38p6i5mwXZMWSLzF3HCCQ3c8UNdpndF1ZUAhXYfJpump", "View")</f>
        <v/>
      </c>
    </row>
    <row r="35">
      <c r="A35" s="19" t="inlineStr">
        <is>
          <t>MCDONALD</t>
        </is>
      </c>
      <c r="B35" s="20" t="n">
        <v>1177110</v>
      </c>
      <c r="C35" s="20" t="n">
        <v>1177110</v>
      </c>
      <c r="D35" s="20" t="inlineStr">
        <is>
          <t>0.260610</t>
        </is>
      </c>
      <c r="E35" s="20" t="inlineStr">
        <is>
          <t>2.250 SOL</t>
        </is>
      </c>
      <c r="F35" s="20" t="inlineStr">
        <is>
          <t>0.391 SOL</t>
        </is>
      </c>
      <c r="G35" s="24" t="inlineStr">
        <is>
          <t>-2.119 SOL</t>
        </is>
      </c>
      <c r="H35" s="24" t="inlineStr">
        <is>
          <t>-84.42%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20.10.2024 18:10:24</t>
        </is>
      </c>
      <c r="M35" s="20" t="inlineStr">
        <is>
          <t>3 min</t>
        </is>
      </c>
      <c r="N35" s="20" t="inlineStr">
        <is>
          <t xml:space="preserve">        335K            58K            21K</t>
        </is>
      </c>
      <c r="O35" s="20" t="inlineStr">
        <is>
          <t>8nQK8znsxfUdTQajfHKqFcLiJwMmVeMxUGgRG5oHpump</t>
        </is>
      </c>
      <c r="P35" s="20">
        <f>HYPERLINK("https://dexscreener.com/solana/8nQK8znsxfUdTQajfHKqFcLiJwMmVeMxUGgRG5oHpump", "View")</f>
        <v/>
      </c>
    </row>
    <row r="36">
      <c r="A36" s="15" t="inlineStr">
        <is>
          <t>AITA</t>
        </is>
      </c>
      <c r="B36" s="16" t="n">
        <v>4609961</v>
      </c>
      <c r="C36" s="16" t="n">
        <v>4609961</v>
      </c>
      <c r="D36" s="16" t="inlineStr">
        <is>
          <t>0.282030</t>
        </is>
      </c>
      <c r="E36" s="16" t="inlineStr">
        <is>
          <t>2.250 SOL</t>
        </is>
      </c>
      <c r="F36" s="16" t="inlineStr">
        <is>
          <t>3.020 SOL</t>
        </is>
      </c>
      <c r="G36" s="22" t="inlineStr">
        <is>
          <t>0.488 SOL</t>
        </is>
      </c>
      <c r="H36" s="22" t="inlineStr">
        <is>
          <t>19.26%</t>
        </is>
      </c>
      <c r="I36" s="16" t="inlineStr">
        <is>
          <t>N/A</t>
        </is>
      </c>
      <c r="J36" s="16" t="n">
        <v>1</v>
      </c>
      <c r="K36" s="16" t="n">
        <v>2</v>
      </c>
      <c r="L36" s="16" t="inlineStr">
        <is>
          <t>19.10.2024 21:31:42</t>
        </is>
      </c>
      <c r="M36" s="18" t="inlineStr">
        <is>
          <t>12 sec</t>
        </is>
      </c>
      <c r="N36" s="16" t="inlineStr">
        <is>
          <t xml:space="preserve">         86K           123K             9K</t>
        </is>
      </c>
      <c r="O36" s="16" t="inlineStr">
        <is>
          <t>6xtcGLaRYpNR7v9T8BND2NiD4snHu7PjNtDxaZszpump</t>
        </is>
      </c>
      <c r="P36" s="16">
        <f>HYPERLINK("https://dexscreener.com/solana/6xtcGLaRYpNR7v9T8BND2NiD4snHu7PjNtDxaZszpump", "View")</f>
        <v/>
      </c>
    </row>
    <row r="37">
      <c r="A37" s="19" t="inlineStr">
        <is>
          <t>Mika</t>
        </is>
      </c>
      <c r="B37" s="20" t="n">
        <v>15175499</v>
      </c>
      <c r="C37" s="20" t="n">
        <v>15175499</v>
      </c>
      <c r="D37" s="20" t="inlineStr">
        <is>
          <t>0.066630</t>
        </is>
      </c>
      <c r="E37" s="20" t="inlineStr">
        <is>
          <t>5.293 SOL</t>
        </is>
      </c>
      <c r="F37" s="20" t="inlineStr">
        <is>
          <t>10.486 SOL</t>
        </is>
      </c>
      <c r="G37" s="23" t="inlineStr">
        <is>
          <t>5.126 SOL</t>
        </is>
      </c>
      <c r="H37" s="23" t="inlineStr">
        <is>
          <t>95.65%</t>
        </is>
      </c>
      <c r="I37" s="20" t="inlineStr">
        <is>
          <t>N/A</t>
        </is>
      </c>
      <c r="J37" s="20" t="n">
        <v>1</v>
      </c>
      <c r="K37" s="20" t="n">
        <v>2</v>
      </c>
      <c r="L37" s="20" t="inlineStr">
        <is>
          <t>19.10.2024 03:07:31</t>
        </is>
      </c>
      <c r="M37" s="20" t="inlineStr">
        <is>
          <t>5 min</t>
        </is>
      </c>
      <c r="N37" s="20" t="inlineStr">
        <is>
          <t xml:space="preserve">         61K           142K             4K</t>
        </is>
      </c>
      <c r="O37" s="20" t="inlineStr">
        <is>
          <t>AgX57sxGHL2sUMmsiFrAXZExpzJVbdhnHwauGAVtpump</t>
        </is>
      </c>
      <c r="P37" s="20">
        <f>HYPERLINK("https://photon-sol.tinyastro.io/en/lp/AgX57sxGHL2sUMmsiFrAXZExpzJVbdhnHwauGAVtpump?handle=676050794bc1b1657a56b", "View")</f>
        <v/>
      </c>
    </row>
    <row r="38">
      <c r="A38" s="15" t="inlineStr">
        <is>
          <t>$WGNON</t>
        </is>
      </c>
      <c r="B38" s="16" t="n">
        <v>12977948</v>
      </c>
      <c r="C38" s="16" t="n">
        <v>12977948</v>
      </c>
      <c r="D38" s="16" t="inlineStr">
        <is>
          <t>0.001210</t>
        </is>
      </c>
      <c r="E38" s="16" t="inlineStr">
        <is>
          <t>5.293 SOL</t>
        </is>
      </c>
      <c r="F38" s="16" t="inlineStr">
        <is>
          <t>4.075 SOL</t>
        </is>
      </c>
      <c r="G38" s="21" t="inlineStr">
        <is>
          <t>-1.219 SOL</t>
        </is>
      </c>
      <c r="H38" s="21" t="inlineStr">
        <is>
          <t>-23.02%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19.10.2024 03:01:15</t>
        </is>
      </c>
      <c r="M38" s="18" t="inlineStr">
        <is>
          <t>2 sec</t>
        </is>
      </c>
      <c r="N38" s="16" t="inlineStr">
        <is>
          <t xml:space="preserve">         72K            54K             4K</t>
        </is>
      </c>
      <c r="O38" s="16" t="inlineStr">
        <is>
          <t>4LaydhpoXsds6tjfbZqotdYaqgrqKB1MYnYEg8qSpump</t>
        </is>
      </c>
      <c r="P38" s="16">
        <f>HYPERLINK("https://photon-sol.tinyastro.io/en/lp/4LaydhpoXsds6tjfbZqotdYaqgrqKB1MYnYEg8qSpump?handle=676050794bc1b1657a56b", "View")</f>
        <v/>
      </c>
    </row>
    <row r="39">
      <c r="A39" s="19" t="inlineStr">
        <is>
          <t>(real)</t>
        </is>
      </c>
      <c r="B39" s="20" t="n">
        <v>5440548</v>
      </c>
      <c r="C39" s="20" t="n">
        <v>5440548</v>
      </c>
      <c r="D39" s="20" t="inlineStr">
        <is>
          <t>0.261010</t>
        </is>
      </c>
      <c r="E39" s="20" t="inlineStr">
        <is>
          <t>2.250 SOL</t>
        </is>
      </c>
      <c r="F39" s="20" t="inlineStr">
        <is>
          <t>2.129 SOL</t>
        </is>
      </c>
      <c r="G39" s="21" t="inlineStr">
        <is>
          <t>-0.382 SOL</t>
        </is>
      </c>
      <c r="H39" s="21" t="inlineStr">
        <is>
          <t>-15.22%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19.10.2024 00:44:47</t>
        </is>
      </c>
      <c r="M39" s="20" t="inlineStr">
        <is>
          <t>1 min</t>
        </is>
      </c>
      <c r="N39" s="20" t="inlineStr">
        <is>
          <t xml:space="preserve">         72K            68K             3K</t>
        </is>
      </c>
      <c r="O39" s="20" t="inlineStr">
        <is>
          <t>CvsEoZq1DaC56WEJ117aagPE63kqL2Mw4Rbf5Kv6pump</t>
        </is>
      </c>
      <c r="P39" s="20">
        <f>HYPERLINK("https://dexscreener.com/solana/CvsEoZq1DaC56WEJ117aagPE63kqL2Mw4Rbf5Kv6pump", "View")</f>
        <v/>
      </c>
    </row>
    <row r="40">
      <c r="A40" s="15" t="inlineStr">
        <is>
          <t>intuition</t>
        </is>
      </c>
      <c r="B40" s="16" t="n">
        <v>2800716</v>
      </c>
      <c r="C40" s="16" t="n">
        <v>2800716</v>
      </c>
      <c r="D40" s="16" t="inlineStr">
        <is>
          <t>0.011730</t>
        </is>
      </c>
      <c r="E40" s="16" t="inlineStr">
        <is>
          <t>4.000 SOL</t>
        </is>
      </c>
      <c r="F40" s="16" t="inlineStr">
        <is>
          <t>3.319 SOL</t>
        </is>
      </c>
      <c r="G40" s="21" t="inlineStr">
        <is>
          <t>-0.692 SOL</t>
        </is>
      </c>
      <c r="H40" s="21" t="inlineStr">
        <is>
          <t>-17.26%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18.10.2024 21:35:37</t>
        </is>
      </c>
      <c r="M40" s="18" t="inlineStr">
        <is>
          <t>32 sec</t>
        </is>
      </c>
      <c r="N40" s="16" t="inlineStr">
        <is>
          <t xml:space="preserve">        251K           209K             5K</t>
        </is>
      </c>
      <c r="O40" s="16" t="inlineStr">
        <is>
          <t>DmZXD5jWQWFj1iN43Mhsa3oGtUfdLc5E9bwfi3MUpump</t>
        </is>
      </c>
      <c r="P40" s="16">
        <f>HYPERLINK("https://dexscreener.com/solana/DmZXD5jWQWFj1iN43Mhsa3oGtUfdLc5E9bwfi3MUpump", "View")</f>
        <v/>
      </c>
    </row>
    <row r="41">
      <c r="A41" s="19" t="inlineStr">
        <is>
          <t>ELIEZER</t>
        </is>
      </c>
      <c r="B41" s="20" t="n">
        <v>3859151</v>
      </c>
      <c r="C41" s="20" t="n">
        <v>3859151</v>
      </c>
      <c r="D41" s="20" t="inlineStr">
        <is>
          <t>0.121120</t>
        </is>
      </c>
      <c r="E41" s="20" t="inlineStr">
        <is>
          <t>4.000 SOL</t>
        </is>
      </c>
      <c r="F41" s="20" t="inlineStr">
        <is>
          <t>7.462 SOL</t>
        </is>
      </c>
      <c r="G41" s="23" t="inlineStr">
        <is>
          <t>3.341 SOL</t>
        </is>
      </c>
      <c r="H41" s="23" t="inlineStr">
        <is>
          <t>81.08%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18.10.2024 20:10:19</t>
        </is>
      </c>
      <c r="M41" s="18" t="inlineStr">
        <is>
          <t>19 sec</t>
        </is>
      </c>
      <c r="N41" s="20" t="inlineStr">
        <is>
          <t xml:space="preserve">        183K           339K             6K</t>
        </is>
      </c>
      <c r="O41" s="20" t="inlineStr">
        <is>
          <t>3KAcoiMCBd7wcDKYVFrDCaJoyP6A9UZUXXz5BeMJpump</t>
        </is>
      </c>
      <c r="P41" s="20">
        <f>HYPERLINK("https://dexscreener.com/solana/3KAcoiMCBd7wcDKYVFrDCaJoyP6A9UZUXXz5BeMJpump", "View")</f>
        <v/>
      </c>
    </row>
    <row r="42">
      <c r="A42" s="15" t="inlineStr">
        <is>
          <t>🍌</t>
        </is>
      </c>
      <c r="B42" s="16" t="n">
        <v>11159266</v>
      </c>
      <c r="C42" s="16" t="n">
        <v>11159266</v>
      </c>
      <c r="D42" s="16" t="inlineStr">
        <is>
          <t>0.001410</t>
        </is>
      </c>
      <c r="E42" s="16" t="inlineStr">
        <is>
          <t>2.012 SOL</t>
        </is>
      </c>
      <c r="F42" s="16" t="inlineStr">
        <is>
          <t>1.794 SOL</t>
        </is>
      </c>
      <c r="G42" s="21" t="inlineStr">
        <is>
          <t>-0.220 SOL</t>
        </is>
      </c>
      <c r="H42" s="21" t="inlineStr">
        <is>
          <t>-10.91%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18.10.2024 18:51:18</t>
        </is>
      </c>
      <c r="M42" s="16" t="inlineStr">
        <is>
          <t>2 min</t>
        </is>
      </c>
      <c r="N42" s="16" t="inlineStr">
        <is>
          <t xml:space="preserve">         32K            28K            24K</t>
        </is>
      </c>
      <c r="O42" s="16" t="inlineStr">
        <is>
          <t>9vWPPxkMuBaxnpDsrxDtM69QzAHmxSxXWBytftYrpump</t>
        </is>
      </c>
      <c r="P42" s="16">
        <f>HYPERLINK("https://photon-sol.tinyastro.io/en/lp/9vWPPxkMuBaxnpDsrxDtM69QzAHmxSxXWBytftYrpump?handle=676050794bc1b1657a56b", "View")</f>
        <v/>
      </c>
    </row>
    <row r="43">
      <c r="A43" s="19" t="inlineStr">
        <is>
          <t>bees</t>
        </is>
      </c>
      <c r="B43" s="20" t="n">
        <v>12285732</v>
      </c>
      <c r="C43" s="20" t="n">
        <v>12285732</v>
      </c>
      <c r="D43" s="20" t="inlineStr">
        <is>
          <t>0.456630</t>
        </is>
      </c>
      <c r="E43" s="20" t="inlineStr">
        <is>
          <t>5.000 SOL</t>
        </is>
      </c>
      <c r="F43" s="20" t="inlineStr">
        <is>
          <t>7.682 SOL</t>
        </is>
      </c>
      <c r="G43" s="22" t="inlineStr">
        <is>
          <t>2.225 SOL</t>
        </is>
      </c>
      <c r="H43" s="22" t="inlineStr">
        <is>
          <t>40.78%</t>
        </is>
      </c>
      <c r="I43" s="20" t="inlineStr">
        <is>
          <t>N/A</t>
        </is>
      </c>
      <c r="J43" s="20" t="n">
        <v>1</v>
      </c>
      <c r="K43" s="20" t="n">
        <v>3</v>
      </c>
      <c r="L43" s="20" t="inlineStr">
        <is>
          <t>18.10.2024 18:51:03</t>
        </is>
      </c>
      <c r="M43" s="18" t="inlineStr">
        <is>
          <t>53 sec</t>
        </is>
      </c>
      <c r="N43" s="20" t="inlineStr">
        <is>
          <t xml:space="preserve">         72K           104K            11K</t>
        </is>
      </c>
      <c r="O43" s="20" t="inlineStr">
        <is>
          <t>DCrPFBDZBVdVaiu98Jr9woaPRT5BUqZwSNr9Chdgpump</t>
        </is>
      </c>
      <c r="P43" s="20">
        <f>HYPERLINK("https://dexscreener.com/solana/DCrPFBDZBVdVaiu98Jr9woaPRT5BUqZwSNr9Chdgpump", "View")</f>
        <v/>
      </c>
    </row>
    <row r="44">
      <c r="A44" s="15" t="inlineStr">
        <is>
          <t xml:space="preserve">EXONUMIA </t>
        </is>
      </c>
      <c r="B44" s="16" t="n">
        <v>9776158</v>
      </c>
      <c r="C44" s="16" t="n">
        <v>9776158</v>
      </c>
      <c r="D44" s="16" t="inlineStr">
        <is>
          <t>0.039220</t>
        </is>
      </c>
      <c r="E44" s="16" t="inlineStr">
        <is>
          <t>2.011 SOL</t>
        </is>
      </c>
      <c r="F44" s="16" t="inlineStr">
        <is>
          <t>1.808 SOL</t>
        </is>
      </c>
      <c r="G44" s="21" t="inlineStr">
        <is>
          <t>-0.243 SOL</t>
        </is>
      </c>
      <c r="H44" s="21" t="inlineStr">
        <is>
          <t>-11.83%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18.10.2024 17:09:03</t>
        </is>
      </c>
      <c r="M44" s="18" t="inlineStr">
        <is>
          <t>42 sec</t>
        </is>
      </c>
      <c r="N44" s="16" t="inlineStr">
        <is>
          <t xml:space="preserve">         37K            32K            10K</t>
        </is>
      </c>
      <c r="O44" s="16" t="inlineStr">
        <is>
          <t>7XTBPLyRXFB4Vs1cXMVaeHFN4hQPL7JZHVV2A54Dpump</t>
        </is>
      </c>
      <c r="P44" s="16">
        <f>HYPERLINK("https://photon-sol.tinyastro.io/en/lp/7XTBPLyRXFB4Vs1cXMVaeHFN4hQPL7JZHVV2A54Dpump?handle=676050794bc1b1657a56b", "View")</f>
        <v/>
      </c>
    </row>
    <row r="45">
      <c r="A45" s="19" t="inlineStr">
        <is>
          <t>GMAGA</t>
        </is>
      </c>
      <c r="B45" s="20" t="n">
        <v>4412315</v>
      </c>
      <c r="C45" s="20" t="n">
        <v>4412315</v>
      </c>
      <c r="D45" s="20" t="inlineStr">
        <is>
          <t>0.121130</t>
        </is>
      </c>
      <c r="E45" s="20" t="inlineStr">
        <is>
          <t>4.000 SOL</t>
        </is>
      </c>
      <c r="F45" s="20" t="inlineStr">
        <is>
          <t>4.977 SOL</t>
        </is>
      </c>
      <c r="G45" s="22" t="inlineStr">
        <is>
          <t>0.856 SOL</t>
        </is>
      </c>
      <c r="H45" s="22" t="inlineStr">
        <is>
          <t>20.78%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17.10.2024 21:50:46</t>
        </is>
      </c>
      <c r="M45" s="18" t="inlineStr">
        <is>
          <t>49 sec</t>
        </is>
      </c>
      <c r="N45" s="20" t="inlineStr">
        <is>
          <t xml:space="preserve">        160K           198K             9K</t>
        </is>
      </c>
      <c r="O45" s="20" t="inlineStr">
        <is>
          <t>Gb4cNCK8UuFRM1P1uZCAaefztE8kwFhHFfM8yy8Fpump</t>
        </is>
      </c>
      <c r="P45" s="20">
        <f>HYPERLINK("https://dexscreener.com/solana/Gb4cNCK8UuFRM1P1uZCAaefztE8kwFhHFfM8yy8Fpump", "View")</f>
        <v/>
      </c>
    </row>
    <row r="46">
      <c r="A46" s="15" t="inlineStr">
        <is>
          <t>gem</t>
        </is>
      </c>
      <c r="B46" s="16" t="n">
        <v>2134292</v>
      </c>
      <c r="C46" s="16" t="n">
        <v>2134292</v>
      </c>
      <c r="D46" s="16" t="inlineStr">
        <is>
          <t>0.121120</t>
        </is>
      </c>
      <c r="E46" s="16" t="inlineStr">
        <is>
          <t>4.000 SOL</t>
        </is>
      </c>
      <c r="F46" s="16" t="inlineStr">
        <is>
          <t>4.015 SOL</t>
        </is>
      </c>
      <c r="G46" s="21" t="inlineStr">
        <is>
          <t>-0.106 SOL</t>
        </is>
      </c>
      <c r="H46" s="21" t="inlineStr">
        <is>
          <t>-2.57%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17.10.2024 21:26:47</t>
        </is>
      </c>
      <c r="M46" s="18" t="inlineStr">
        <is>
          <t>41 sec</t>
        </is>
      </c>
      <c r="N46" s="16" t="inlineStr">
        <is>
          <t xml:space="preserve">        328K           330K             7K</t>
        </is>
      </c>
      <c r="O46" s="16" t="inlineStr">
        <is>
          <t>4BJ1aXPzYhiV3TDPdyfg63cgrVuLbRh2DvejCzS7pump</t>
        </is>
      </c>
      <c r="P46" s="16">
        <f>HYPERLINK("https://dexscreener.com/solana/4BJ1aXPzYhiV3TDPdyfg63cgrVuLbRh2DvejCzS7pump", "View")</f>
        <v/>
      </c>
    </row>
    <row r="47">
      <c r="A47" s="19" t="inlineStr">
        <is>
          <t>GREG</t>
        </is>
      </c>
      <c r="B47" s="20" t="n">
        <v>1700361</v>
      </c>
      <c r="C47" s="20" t="n">
        <v>1700361</v>
      </c>
      <c r="D47" s="20" t="inlineStr">
        <is>
          <t>0.121130</t>
        </is>
      </c>
      <c r="E47" s="20" t="inlineStr">
        <is>
          <t>4.000 SOL</t>
        </is>
      </c>
      <c r="F47" s="20" t="inlineStr">
        <is>
          <t>3.569 SOL</t>
        </is>
      </c>
      <c r="G47" s="21" t="inlineStr">
        <is>
          <t>-0.552 SOL</t>
        </is>
      </c>
      <c r="H47" s="21" t="inlineStr">
        <is>
          <t>-13.39%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17.10.2024 18:25:10</t>
        </is>
      </c>
      <c r="M47" s="18" t="inlineStr">
        <is>
          <t>37 sec</t>
        </is>
      </c>
      <c r="N47" s="20" t="inlineStr">
        <is>
          <t xml:space="preserve">        413K           369K             5K</t>
        </is>
      </c>
      <c r="O47" s="20" t="inlineStr">
        <is>
          <t>H6M3nycmXLnVWuXjX7rZv7MPSQ3Rhkp9AeFG7Jo8pump</t>
        </is>
      </c>
      <c r="P47" s="20">
        <f>HYPERLINK("https://dexscreener.com/solana/H6M3nycmXLnVWuXjX7rZv7MPSQ3Rhkp9AeFG7Jo8pump", "View")</f>
        <v/>
      </c>
    </row>
    <row r="48">
      <c r="A48" s="15" t="inlineStr">
        <is>
          <t>SNIF</t>
        </is>
      </c>
      <c r="B48" s="16" t="n">
        <v>33345444</v>
      </c>
      <c r="C48" s="16" t="n">
        <v>33345444</v>
      </c>
      <c r="D48" s="16" t="inlineStr">
        <is>
          <t>0.220610</t>
        </is>
      </c>
      <c r="E48" s="16" t="inlineStr">
        <is>
          <t>5.272 SOL</t>
        </is>
      </c>
      <c r="F48" s="16" t="inlineStr">
        <is>
          <t>6.215 SOL</t>
        </is>
      </c>
      <c r="G48" s="22" t="inlineStr">
        <is>
          <t>0.723 SOL</t>
        </is>
      </c>
      <c r="H48" s="22" t="inlineStr">
        <is>
          <t>13.16%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17.10.2024 17:38:21</t>
        </is>
      </c>
      <c r="M48" s="18" t="inlineStr">
        <is>
          <t>29 sec</t>
        </is>
      </c>
      <c r="N48" s="16" t="inlineStr">
        <is>
          <t xml:space="preserve">         28K            33K             5K</t>
        </is>
      </c>
      <c r="O48" s="16" t="inlineStr">
        <is>
          <t>3QyMdXffzUUhjdQXiaejnCku3Lx7FxxkbT3DaZgMpump</t>
        </is>
      </c>
      <c r="P48" s="16">
        <f>HYPERLINK("https://photon-sol.tinyastro.io/en/lp/3QyMdXffzUUhjdQXiaejnCku3Lx7FxxkbT3DaZgMpump?handle=676050794bc1b1657a56b", "View")</f>
        <v/>
      </c>
    </row>
    <row r="49">
      <c r="A49" s="19" t="inlineStr">
        <is>
          <t>AID</t>
        </is>
      </c>
      <c r="B49" s="20" t="n">
        <v>64623902</v>
      </c>
      <c r="C49" s="20" t="n">
        <v>64623902</v>
      </c>
      <c r="D49" s="20" t="inlineStr">
        <is>
          <t>0.220610</t>
        </is>
      </c>
      <c r="E49" s="20" t="inlineStr">
        <is>
          <t>5.222 SOL</t>
        </is>
      </c>
      <c r="F49" s="20" t="inlineStr">
        <is>
          <t>2.359 SOL</t>
        </is>
      </c>
      <c r="G49" s="24" t="inlineStr">
        <is>
          <t>-3.084 SOL</t>
        </is>
      </c>
      <c r="H49" s="24" t="inlineStr">
        <is>
          <t>-56.66%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17.10.2024 17:16:09</t>
        </is>
      </c>
      <c r="M49" s="18" t="inlineStr">
        <is>
          <t>15 sec</t>
        </is>
      </c>
      <c r="N49" s="20" t="inlineStr">
        <is>
          <t xml:space="preserve">         14K             7K             5K</t>
        </is>
      </c>
      <c r="O49" s="20" t="inlineStr">
        <is>
          <t>U5Q79bVyHBT3QDrngUS4CHjS5kHT11koSJDvgfZ62cv</t>
        </is>
      </c>
      <c r="P49" s="20">
        <f>HYPERLINK("https://dexscreener.com/solana/U5Q79bVyHBT3QDrngUS4CHjS5kHT11koSJDvgfZ62cv", "View")</f>
        <v/>
      </c>
    </row>
    <row r="50">
      <c r="A50" s="15" t="inlineStr">
        <is>
          <t>DD</t>
        </is>
      </c>
      <c r="B50" s="16" t="n">
        <v>37037301</v>
      </c>
      <c r="C50" s="16" t="n">
        <v>37037301</v>
      </c>
      <c r="D50" s="16" t="inlineStr">
        <is>
          <t>0.012330</t>
        </is>
      </c>
      <c r="E50" s="16" t="inlineStr">
        <is>
          <t>5.223 SOL</t>
        </is>
      </c>
      <c r="F50" s="16" t="inlineStr">
        <is>
          <t>17.688 SOL</t>
        </is>
      </c>
      <c r="G50" s="23" t="inlineStr">
        <is>
          <t>12.453 SOL</t>
        </is>
      </c>
      <c r="H50" s="23" t="inlineStr">
        <is>
          <t>237.88%</t>
        </is>
      </c>
      <c r="I50" s="16" t="inlineStr">
        <is>
          <t>N/A</t>
        </is>
      </c>
      <c r="J50" s="16" t="n">
        <v>1</v>
      </c>
      <c r="K50" s="16" t="n">
        <v>3</v>
      </c>
      <c r="L50" s="16" t="inlineStr">
        <is>
          <t>17.10.2024 16:32:31</t>
        </is>
      </c>
      <c r="M50" s="16" t="inlineStr">
        <is>
          <t>3 min</t>
        </is>
      </c>
      <c r="N50" s="16" t="inlineStr">
        <is>
          <t xml:space="preserve">         22K           134K             6K</t>
        </is>
      </c>
      <c r="O50" s="16" t="inlineStr">
        <is>
          <t>DUnEr82vouuEhahEcoVzpQyRJFtvafTk2eyh9fAMYvQS</t>
        </is>
      </c>
      <c r="P50" s="16">
        <f>HYPERLINK("https://dexscreener.com/solana/DUnEr82vouuEhahEcoVzpQyRJFtvafTk2eyh9fAMYvQS", "View")</f>
        <v/>
      </c>
    </row>
    <row r="51">
      <c r="A51" s="19" t="inlineStr">
        <is>
          <t>THESIS</t>
        </is>
      </c>
      <c r="B51" s="20" t="n">
        <v>3639954</v>
      </c>
      <c r="C51" s="20" t="n">
        <v>3639954</v>
      </c>
      <c r="D51" s="20" t="inlineStr">
        <is>
          <t>0.001210</t>
        </is>
      </c>
      <c r="E51" s="20" t="inlineStr">
        <is>
          <t>4.000 SOL</t>
        </is>
      </c>
      <c r="F51" s="20" t="inlineStr">
        <is>
          <t>4.171 SOL</t>
        </is>
      </c>
      <c r="G51" s="22" t="inlineStr">
        <is>
          <t>0.170 SOL</t>
        </is>
      </c>
      <c r="H51" s="22" t="inlineStr">
        <is>
          <t>4.24%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17.10.2024 03:07:59</t>
        </is>
      </c>
      <c r="M51" s="18" t="inlineStr">
        <is>
          <t>35 sec</t>
        </is>
      </c>
      <c r="N51" s="20" t="inlineStr">
        <is>
          <t xml:space="preserve">        189K           198K            23K</t>
        </is>
      </c>
      <c r="O51" s="20" t="inlineStr">
        <is>
          <t>6kh61NRDxmiUVyTGVEiMbMqXDMjCZvs4eRQYTbBvpump</t>
        </is>
      </c>
      <c r="P51" s="20">
        <f>HYPERLINK("https://dexscreener.com/solana/6kh61NRDxmiUVyTGVEiMbMqXDMjCZvs4eRQYTbBvpump", "View")</f>
        <v/>
      </c>
    </row>
    <row r="52">
      <c r="A52" s="15" t="inlineStr">
        <is>
          <t>SLAP</t>
        </is>
      </c>
      <c r="B52" s="16" t="n">
        <v>58068806</v>
      </c>
      <c r="C52" s="16" t="n">
        <v>58068806</v>
      </c>
      <c r="D52" s="16" t="inlineStr">
        <is>
          <t>0.001430</t>
        </is>
      </c>
      <c r="E52" s="16" t="inlineStr">
        <is>
          <t>2.012 SOL</t>
        </is>
      </c>
      <c r="F52" s="16" t="inlineStr">
        <is>
          <t>2.149 SOL</t>
        </is>
      </c>
      <c r="G52" s="22" t="inlineStr">
        <is>
          <t>0.136 SOL</t>
        </is>
      </c>
      <c r="H52" s="22" t="inlineStr">
        <is>
          <t>6.74%</t>
        </is>
      </c>
      <c r="I52" s="16" t="inlineStr">
        <is>
          <t>N/A</t>
        </is>
      </c>
      <c r="J52" s="16" t="n">
        <v>1</v>
      </c>
      <c r="K52" s="16" t="n">
        <v>1</v>
      </c>
      <c r="L52" s="16" t="inlineStr">
        <is>
          <t>16.10.2024 23:19:33</t>
        </is>
      </c>
      <c r="M52" s="18" t="inlineStr">
        <is>
          <t>6 sec</t>
        </is>
      </c>
      <c r="N52" s="16" t="inlineStr">
        <is>
          <t xml:space="preserve">          5K             7K             5K</t>
        </is>
      </c>
      <c r="O52" s="16" t="inlineStr">
        <is>
          <t>6WCLc9uLdKCAfk36da7Y6BHLo2z6GugszbkAX75gpump</t>
        </is>
      </c>
      <c r="P52" s="16">
        <f>HYPERLINK("https://photon-sol.tinyastro.io/en/lp/6WCLc9uLdKCAfk36da7Y6BHLo2z6GugszbkAX75gpump?handle=676050794bc1b1657a56b", "View")</f>
        <v/>
      </c>
    </row>
    <row r="53">
      <c r="A53" s="19" t="inlineStr">
        <is>
          <t>MORE</t>
        </is>
      </c>
      <c r="B53" s="20" t="n">
        <v>42389970</v>
      </c>
      <c r="C53" s="20" t="n">
        <v>42389970</v>
      </c>
      <c r="D53" s="20" t="inlineStr">
        <is>
          <t>0.001420</t>
        </is>
      </c>
      <c r="E53" s="20" t="inlineStr">
        <is>
          <t>2.012 SOL</t>
        </is>
      </c>
      <c r="F53" s="20" t="inlineStr">
        <is>
          <t>2.366 SOL</t>
        </is>
      </c>
      <c r="G53" s="22" t="inlineStr">
        <is>
          <t>0.353 SOL</t>
        </is>
      </c>
      <c r="H53" s="22" t="inlineStr">
        <is>
          <t>17.52%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16.10.2024 20:31:15</t>
        </is>
      </c>
      <c r="M53" s="18" t="inlineStr">
        <is>
          <t>9 sec</t>
        </is>
      </c>
      <c r="N53" s="20" t="inlineStr">
        <is>
          <t xml:space="preserve">          9K            11K             5K</t>
        </is>
      </c>
      <c r="O53" s="20" t="inlineStr">
        <is>
          <t>5LFnyRQp2zeyxM85N24mBanUrviSepaNizBjM8nxpump</t>
        </is>
      </c>
      <c r="P53" s="20">
        <f>HYPERLINK("https://photon-sol.tinyastro.io/en/lp/5LFnyRQp2zeyxM85N24mBanUrviSepaNizBjM8nxpump?handle=676050794bc1b1657a56b", "View")</f>
        <v/>
      </c>
    </row>
    <row r="54">
      <c r="A54" s="15" t="inlineStr">
        <is>
          <t>DEAD</t>
        </is>
      </c>
      <c r="B54" s="16" t="n">
        <v>19935568</v>
      </c>
      <c r="C54" s="16" t="n">
        <v>19935568</v>
      </c>
      <c r="D54" s="16" t="inlineStr">
        <is>
          <t>0.001410</t>
        </is>
      </c>
      <c r="E54" s="16" t="inlineStr">
        <is>
          <t>2.012 SOL</t>
        </is>
      </c>
      <c r="F54" s="16" t="inlineStr">
        <is>
          <t>2.839 SOL</t>
        </is>
      </c>
      <c r="G54" s="22" t="inlineStr">
        <is>
          <t>0.826 SOL</t>
        </is>
      </c>
      <c r="H54" s="22" t="inlineStr">
        <is>
          <t>41.00%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16.10.2024 20:29:42</t>
        </is>
      </c>
      <c r="M54" s="18" t="inlineStr">
        <is>
          <t>10 sec</t>
        </is>
      </c>
      <c r="N54" s="16" t="inlineStr">
        <is>
          <t xml:space="preserve">         18K            25K             5K</t>
        </is>
      </c>
      <c r="O54" s="16" t="inlineStr">
        <is>
          <t>C6z1VjEKAZqFVpg5cfeFR3ZZZEtVhtbcvmYBjUGSpump</t>
        </is>
      </c>
      <c r="P54" s="16">
        <f>HYPERLINK("https://photon-sol.tinyastro.io/en/lp/C6z1VjEKAZqFVpg5cfeFR3ZZZEtVhtbcvmYBjUGSpump?handle=676050794bc1b1657a56b", "View")</f>
        <v/>
      </c>
    </row>
    <row r="55">
      <c r="A55" s="19" t="inlineStr">
        <is>
          <t>Bikini</t>
        </is>
      </c>
      <c r="B55" s="20" t="n">
        <v>4856777</v>
      </c>
      <c r="C55" s="20" t="n">
        <v>4856777</v>
      </c>
      <c r="D55" s="20" t="inlineStr">
        <is>
          <t>0.121120</t>
        </is>
      </c>
      <c r="E55" s="20" t="inlineStr">
        <is>
          <t>4.000 SOL</t>
        </is>
      </c>
      <c r="F55" s="20" t="inlineStr">
        <is>
          <t>4.205 SOL</t>
        </is>
      </c>
      <c r="G55" s="22" t="inlineStr">
        <is>
          <t>0.084 SOL</t>
        </is>
      </c>
      <c r="H55" s="22" t="inlineStr">
        <is>
          <t>2.04%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16.10.2024 19:33:32</t>
        </is>
      </c>
      <c r="M55" s="18" t="inlineStr">
        <is>
          <t>5 sec</t>
        </is>
      </c>
      <c r="N55" s="20" t="inlineStr">
        <is>
          <t xml:space="preserve">        144K           153K             4K</t>
        </is>
      </c>
      <c r="O55" s="20" t="inlineStr">
        <is>
          <t>BdhskhNymvECsP3QqpTcyMBNrLmQLGS41Dez5aj9pump</t>
        </is>
      </c>
      <c r="P55" s="20">
        <f>HYPERLINK("https://dexscreener.com/solana/BdhskhNymvECsP3QqpTcyMBNrLmQLGS41Dez5aj9pump", "View")</f>
        <v/>
      </c>
    </row>
    <row r="56">
      <c r="A56" s="15" t="inlineStr">
        <is>
          <t>FEESHA</t>
        </is>
      </c>
      <c r="B56" s="16" t="n">
        <v>3529253</v>
      </c>
      <c r="C56" s="16" t="n">
        <v>3529253</v>
      </c>
      <c r="D56" s="16" t="inlineStr">
        <is>
          <t>0.010020</t>
        </is>
      </c>
      <c r="E56" s="16" t="inlineStr">
        <is>
          <t>0.108 SOL</t>
        </is>
      </c>
      <c r="F56" s="16" t="inlineStr">
        <is>
          <t>0.093 SOL</t>
        </is>
      </c>
      <c r="G56" s="21" t="inlineStr">
        <is>
          <t>-0.025 SOL</t>
        </is>
      </c>
      <c r="H56" s="21" t="inlineStr">
        <is>
          <t>-21.37%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16.10.2024 19:31:44</t>
        </is>
      </c>
      <c r="M56" s="18" t="inlineStr">
        <is>
          <t>4 sec</t>
        </is>
      </c>
      <c r="N56" s="16" t="inlineStr">
        <is>
          <t xml:space="preserve">        N/A           N/A           N/A</t>
        </is>
      </c>
      <c r="O56" s="16" t="inlineStr">
        <is>
          <t>4hFLfY8Qigncj9rhaYjGmXzVLsdtvStKY6e1ngwsxWPM</t>
        </is>
      </c>
      <c r="P56" s="16">
        <f>HYPERLINK("https://dexscreener.com/solana/4hFLfY8Qigncj9rhaYjGmXzVLsdtvStKY6e1ngwsxWPM", "View")</f>
        <v/>
      </c>
    </row>
    <row r="57">
      <c r="A57" s="19" t="inlineStr">
        <is>
          <t>GALA</t>
        </is>
      </c>
      <c r="B57" s="20" t="n">
        <v>3387663</v>
      </c>
      <c r="C57" s="20" t="n">
        <v>3387663</v>
      </c>
      <c r="D57" s="20" t="inlineStr">
        <is>
          <t>0.010020</t>
        </is>
      </c>
      <c r="E57" s="20" t="inlineStr">
        <is>
          <t>0.108 SOL</t>
        </is>
      </c>
      <c r="F57" s="20" t="inlineStr">
        <is>
          <t>0.093 SOL</t>
        </is>
      </c>
      <c r="G57" s="21" t="inlineStr">
        <is>
          <t>-0.025 SOL</t>
        </is>
      </c>
      <c r="H57" s="21" t="inlineStr">
        <is>
          <t>-21.38%</t>
        </is>
      </c>
      <c r="I57" s="20" t="inlineStr">
        <is>
          <t>N/A</t>
        </is>
      </c>
      <c r="J57" s="20" t="n">
        <v>1</v>
      </c>
      <c r="K57" s="20" t="n">
        <v>1</v>
      </c>
      <c r="L57" s="20" t="inlineStr">
        <is>
          <t>16.10.2024 19:31:23</t>
        </is>
      </c>
      <c r="M57" s="18" t="inlineStr">
        <is>
          <t>6 sec</t>
        </is>
      </c>
      <c r="N57" s="20" t="inlineStr">
        <is>
          <t xml:space="preserve">        N/A           N/A           N/A</t>
        </is>
      </c>
      <c r="O57" s="20" t="inlineStr">
        <is>
          <t>4y3f6Ue71Nf4JiAckNBxpsgkppjSjRzUt7kPAAkK5pXD</t>
        </is>
      </c>
      <c r="P57" s="20">
        <f>HYPERLINK("https://dexscreener.com/solana/4y3f6Ue71Nf4JiAckNBxpsgkppjSjRzUt7kPAAkK5pXD", "View")</f>
        <v/>
      </c>
    </row>
    <row r="58">
      <c r="A58" s="15" t="inlineStr">
        <is>
          <t>GASTON</t>
        </is>
      </c>
      <c r="B58" s="16" t="n">
        <v>17736605</v>
      </c>
      <c r="C58" s="16" t="n">
        <v>17736605</v>
      </c>
      <c r="D58" s="16" t="inlineStr">
        <is>
          <t>0.001420</t>
        </is>
      </c>
      <c r="E58" s="16" t="inlineStr">
        <is>
          <t>2.012 SOL</t>
        </is>
      </c>
      <c r="F58" s="16" t="inlineStr">
        <is>
          <t>1.984 SOL</t>
        </is>
      </c>
      <c r="G58" s="21" t="inlineStr">
        <is>
          <t>-0.030 SOL</t>
        </is>
      </c>
      <c r="H58" s="21" t="inlineStr">
        <is>
          <t>-1.48%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16.10.2024 18:56:27</t>
        </is>
      </c>
      <c r="M58" s="18" t="inlineStr">
        <is>
          <t>43 sec</t>
        </is>
      </c>
      <c r="N58" s="16" t="inlineStr">
        <is>
          <t xml:space="preserve">         19K            19K             4K</t>
        </is>
      </c>
      <c r="O58" s="16" t="inlineStr">
        <is>
          <t>Dx48YdY55JWu4UnbidjBe62j6avzQ2XrYDNMWWjGpump</t>
        </is>
      </c>
      <c r="P58" s="16">
        <f>HYPERLINK("https://photon-sol.tinyastro.io/en/lp/Dx48YdY55JWu4UnbidjBe62j6avzQ2XrYDNMWWjGpump?handle=676050794bc1b1657a56b", "View")</f>
        <v/>
      </c>
    </row>
    <row r="59">
      <c r="A59" s="19" t="inlineStr">
        <is>
          <t>KIKY</t>
        </is>
      </c>
      <c r="B59" s="20" t="n">
        <v>6634887</v>
      </c>
      <c r="C59" s="20" t="n">
        <v>6634887</v>
      </c>
      <c r="D59" s="20" t="inlineStr">
        <is>
          <t>0.012440</t>
        </is>
      </c>
      <c r="E59" s="20" t="inlineStr">
        <is>
          <t>2.012 SOL</t>
        </is>
      </c>
      <c r="F59" s="20" t="inlineStr">
        <is>
          <t>4.427 SOL</t>
        </is>
      </c>
      <c r="G59" s="23" t="inlineStr">
        <is>
          <t>2.403 SOL</t>
        </is>
      </c>
      <c r="H59" s="23" t="inlineStr">
        <is>
          <t>118.68%</t>
        </is>
      </c>
      <c r="I59" s="20" t="inlineStr">
        <is>
          <t>N/A</t>
        </is>
      </c>
      <c r="J59" s="20" t="n">
        <v>1</v>
      </c>
      <c r="K59" s="20" t="n">
        <v>2</v>
      </c>
      <c r="L59" s="20" t="inlineStr">
        <is>
          <t>16.10.2024 18:26:51</t>
        </is>
      </c>
      <c r="M59" s="20" t="inlineStr">
        <is>
          <t>3 min</t>
        </is>
      </c>
      <c r="N59" s="20" t="inlineStr">
        <is>
          <t xml:space="preserve">         53K           100K             3K</t>
        </is>
      </c>
      <c r="O59" s="20" t="inlineStr">
        <is>
          <t>4Ze6899QhN3z7TJ8Jdu34jxzppJrmNsp4cfsBtGbpump</t>
        </is>
      </c>
      <c r="P59" s="20">
        <f>HYPERLINK("https://photon-sol.tinyastro.io/en/lp/4Ze6899QhN3z7TJ8Jdu34jxzppJrmNsp4cfsBtGbpump?handle=676050794bc1b1657a56b", "View")</f>
        <v/>
      </c>
    </row>
    <row r="60">
      <c r="A60" s="15" t="inlineStr">
        <is>
          <t>VoteTrump</t>
        </is>
      </c>
      <c r="B60" s="16" t="n">
        <v>3564784</v>
      </c>
      <c r="C60" s="16" t="n">
        <v>3564784</v>
      </c>
      <c r="D60" s="16" t="inlineStr">
        <is>
          <t>0.010020</t>
        </is>
      </c>
      <c r="E60" s="16" t="inlineStr">
        <is>
          <t>0.109 SOL</t>
        </is>
      </c>
      <c r="F60" s="16" t="inlineStr">
        <is>
          <t>0.094 SOL</t>
        </is>
      </c>
      <c r="G60" s="21" t="inlineStr">
        <is>
          <t>-0.025 SOL</t>
        </is>
      </c>
      <c r="H60" s="21" t="inlineStr">
        <is>
          <t>-21.18%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16.10.2024 07:16:10</t>
        </is>
      </c>
      <c r="M60" s="18" t="inlineStr">
        <is>
          <t>5 sec</t>
        </is>
      </c>
      <c r="N60" s="16" t="inlineStr">
        <is>
          <t xml:space="preserve">        N/A           N/A           N/A</t>
        </is>
      </c>
      <c r="O60" s="16" t="inlineStr">
        <is>
          <t>2SFpM6UnDaEr1Rwvyriyrvries993PvCBpUB72LUpump</t>
        </is>
      </c>
      <c r="P60" s="16">
        <f>HYPERLINK("https://photon-sol.tinyastro.io/en/lp/2SFpM6UnDaEr1Rwvyriyrvries993PvCBpUB72LUpump?handle=676050794bc1b1657a56b", "View")</f>
        <v/>
      </c>
    </row>
    <row r="61">
      <c r="A61" s="19" t="inlineStr">
        <is>
          <t>EMC2</t>
        </is>
      </c>
      <c r="B61" s="20" t="n">
        <v>3448858</v>
      </c>
      <c r="C61" s="20" t="n">
        <v>3448858</v>
      </c>
      <c r="D61" s="20" t="inlineStr">
        <is>
          <t>0.010020</t>
        </is>
      </c>
      <c r="E61" s="20" t="inlineStr">
        <is>
          <t>0.109 SOL</t>
        </is>
      </c>
      <c r="F61" s="20" t="inlineStr">
        <is>
          <t>0.094 SOL</t>
        </is>
      </c>
      <c r="G61" s="21" t="inlineStr">
        <is>
          <t>-0.025 SOL</t>
        </is>
      </c>
      <c r="H61" s="21" t="inlineStr">
        <is>
          <t>-21.19%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16.10.2024 07:14:29</t>
        </is>
      </c>
      <c r="M61" s="18" t="inlineStr">
        <is>
          <t>4 sec</t>
        </is>
      </c>
      <c r="N61" s="20" t="inlineStr">
        <is>
          <t xml:space="preserve">        N/A           N/A           N/A</t>
        </is>
      </c>
      <c r="O61" s="20" t="inlineStr">
        <is>
          <t>8xz8r9PABRsRGfBJkRVDmFhXUMzFHkEt1bBBKgHXpump</t>
        </is>
      </c>
      <c r="P61" s="20">
        <f>HYPERLINK("https://photon-sol.tinyastro.io/en/lp/8xz8r9PABRsRGfBJkRVDmFhXUMzFHkEt1bBBKgHXpump?handle=676050794bc1b1657a56b", "View")</f>
        <v/>
      </c>
    </row>
    <row r="62">
      <c r="A62" s="15" t="inlineStr">
        <is>
          <t>$TEST</t>
        </is>
      </c>
      <c r="B62" s="16" t="n">
        <v>3564784</v>
      </c>
      <c r="C62" s="16" t="n">
        <v>3564784</v>
      </c>
      <c r="D62" s="16" t="inlineStr">
        <is>
          <t>0.010020</t>
        </is>
      </c>
      <c r="E62" s="16" t="inlineStr">
        <is>
          <t>0.109 SOL</t>
        </is>
      </c>
      <c r="F62" s="16" t="inlineStr">
        <is>
          <t>0.094 SOL</t>
        </is>
      </c>
      <c r="G62" s="21" t="inlineStr">
        <is>
          <t>-0.025 SOL</t>
        </is>
      </c>
      <c r="H62" s="21" t="inlineStr">
        <is>
          <t>-21.18%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16.10.2024 07:12:56</t>
        </is>
      </c>
      <c r="M62" s="18" t="inlineStr">
        <is>
          <t>11 sec</t>
        </is>
      </c>
      <c r="N62" s="16" t="inlineStr">
        <is>
          <t xml:space="preserve">        N/A           N/A           N/A</t>
        </is>
      </c>
      <c r="O62" s="16" t="inlineStr">
        <is>
          <t>CyamW4higBvKeBneHVtBaqtzve25vRPkzZeh7A2vpump</t>
        </is>
      </c>
      <c r="P62" s="16">
        <f>HYPERLINK("https://photon-sol.tinyastro.io/en/lp/CyamW4higBvKeBneHVtBaqtzve25vRPkzZeh7A2vpump?handle=676050794bc1b1657a56b", "View")</f>
        <v/>
      </c>
    </row>
    <row r="63">
      <c r="A63" s="19" t="inlineStr">
        <is>
          <t>🥭</t>
        </is>
      </c>
      <c r="B63" s="20" t="n">
        <v>3495209</v>
      </c>
      <c r="C63" s="20" t="n">
        <v>3495209</v>
      </c>
      <c r="D63" s="20" t="inlineStr">
        <is>
          <t>0.010020</t>
        </is>
      </c>
      <c r="E63" s="20" t="inlineStr">
        <is>
          <t>0.109 SOL</t>
        </is>
      </c>
      <c r="F63" s="20" t="inlineStr">
        <is>
          <t>0.094 SOL</t>
        </is>
      </c>
      <c r="G63" s="21" t="inlineStr">
        <is>
          <t>-0.025 SOL</t>
        </is>
      </c>
      <c r="H63" s="21" t="inlineStr">
        <is>
          <t>-21.19%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16.10.2024 07:12:26</t>
        </is>
      </c>
      <c r="M63" s="18" t="inlineStr">
        <is>
          <t>9 sec</t>
        </is>
      </c>
      <c r="N63" s="20" t="inlineStr">
        <is>
          <t xml:space="preserve">        N/A           N/A           N/A</t>
        </is>
      </c>
      <c r="O63" s="20" t="inlineStr">
        <is>
          <t>EibyYcWp5p6pK81qaSBnVz7vpSkAxd6sGXxQmnZxqWXU</t>
        </is>
      </c>
      <c r="P63" s="20">
        <f>HYPERLINK("https://photon-sol.tinyastro.io/en/lp/EibyYcWp5p6pK81qaSBnVz7vpSkAxd6sGXxQmnZxqWXU?handle=676050794bc1b1657a56b", "View")</f>
        <v/>
      </c>
    </row>
    <row r="64">
      <c r="A64" s="15" t="inlineStr">
        <is>
          <t>meme</t>
        </is>
      </c>
      <c r="B64" s="16" t="n">
        <v>20066954</v>
      </c>
      <c r="C64" s="16" t="n">
        <v>20066954</v>
      </c>
      <c r="D64" s="16" t="inlineStr">
        <is>
          <t>0.023240</t>
        </is>
      </c>
      <c r="E64" s="16" t="inlineStr">
        <is>
          <t>5.273 SOL</t>
        </is>
      </c>
      <c r="F64" s="16" t="inlineStr">
        <is>
          <t>8.121 SOL</t>
        </is>
      </c>
      <c r="G64" s="23" t="inlineStr">
        <is>
          <t>2.826 SOL</t>
        </is>
      </c>
      <c r="H64" s="23" t="inlineStr">
        <is>
          <t>53.35%</t>
        </is>
      </c>
      <c r="I64" s="16" t="inlineStr">
        <is>
          <t>N/A</t>
        </is>
      </c>
      <c r="J64" s="16" t="n">
        <v>1</v>
      </c>
      <c r="K64" s="16" t="n">
        <v>3</v>
      </c>
      <c r="L64" s="16" t="inlineStr">
        <is>
          <t>15.10.2024 23:51:31</t>
        </is>
      </c>
      <c r="M64" s="16" t="inlineStr">
        <is>
          <t>5 min</t>
        </is>
      </c>
      <c r="N64" s="16" t="inlineStr">
        <is>
          <t xml:space="preserve">         46K            53K             3K</t>
        </is>
      </c>
      <c r="O64" s="16" t="inlineStr">
        <is>
          <t>H8JnaX1T764AQfzRs9uVoLV2HocEtk6UbCoZVEsWh87a</t>
        </is>
      </c>
      <c r="P64" s="16">
        <f>HYPERLINK("https://photon-sol.tinyastro.io/en/lp/H8JnaX1T764AQfzRs9uVoLV2HocEtk6UbCoZVEsWh87a?handle=676050794bc1b1657a56b", "View")</f>
        <v/>
      </c>
    </row>
    <row r="65">
      <c r="A65" s="19" t="inlineStr">
        <is>
          <t xml:space="preserve">Ulysses </t>
        </is>
      </c>
      <c r="B65" s="20" t="n">
        <v>157471349</v>
      </c>
      <c r="C65" s="20" t="n">
        <v>157471349</v>
      </c>
      <c r="D65" s="20" t="inlineStr">
        <is>
          <t>0.002670</t>
        </is>
      </c>
      <c r="E65" s="20" t="inlineStr">
        <is>
          <t>5.000 SOL</t>
        </is>
      </c>
      <c r="F65" s="20" t="inlineStr">
        <is>
          <t>4.676 SOL</t>
        </is>
      </c>
      <c r="G65" s="21" t="inlineStr">
        <is>
          <t>-0.327 SOL</t>
        </is>
      </c>
      <c r="H65" s="21" t="inlineStr">
        <is>
          <t>-6.53%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15.10.2024 22:11:59</t>
        </is>
      </c>
      <c r="M65" s="18" t="inlineStr">
        <is>
          <t>28 sec</t>
        </is>
      </c>
      <c r="N65" s="20" t="inlineStr">
        <is>
          <t xml:space="preserve">          5K             5K             3K</t>
        </is>
      </c>
      <c r="O65" s="20" t="inlineStr">
        <is>
          <t>3L4c6to2jL4C71hZrqeESBnixYqfw6s7NfZaPio6pump</t>
        </is>
      </c>
      <c r="P65" s="20">
        <f>HYPERLINK("https://dexscreener.com/solana/3L4c6to2jL4C71hZrqeESBnixYqfw6s7NfZaPio6pump", "View")</f>
        <v/>
      </c>
    </row>
    <row r="66">
      <c r="A66" s="15" t="inlineStr">
        <is>
          <t>GROK</t>
        </is>
      </c>
      <c r="B66" s="16" t="n">
        <v>16422439</v>
      </c>
      <c r="C66" s="16" t="n">
        <v>16422439</v>
      </c>
      <c r="D66" s="16" t="inlineStr">
        <is>
          <t>0.220620</t>
        </is>
      </c>
      <c r="E66" s="16" t="inlineStr">
        <is>
          <t>5.272 SOL</t>
        </is>
      </c>
      <c r="F66" s="16" t="inlineStr">
        <is>
          <t>6.053 SOL</t>
        </is>
      </c>
      <c r="G66" s="22" t="inlineStr">
        <is>
          <t>0.560 SOL</t>
        </is>
      </c>
      <c r="H66" s="22" t="inlineStr">
        <is>
          <t>10.20%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15.10.2024 22:07:28</t>
        </is>
      </c>
      <c r="M66" s="16" t="inlineStr">
        <is>
          <t>2 min</t>
        </is>
      </c>
      <c r="N66" s="16" t="inlineStr">
        <is>
          <t xml:space="preserve">         56K            65K             3K</t>
        </is>
      </c>
      <c r="O66" s="16" t="inlineStr">
        <is>
          <t>2SaVDiGQok5wmGzv9Ca7n9HPoSapCBep8fTgCB9Mpump</t>
        </is>
      </c>
      <c r="P66" s="16">
        <f>HYPERLINK("https://photon-sol.tinyastro.io/en/lp/2SaVDiGQok5wmGzv9Ca7n9HPoSapCBep8fTgCB9Mpump?handle=676050794bc1b1657a56b", "View")</f>
        <v/>
      </c>
    </row>
    <row r="67">
      <c r="A67" s="19" t="inlineStr">
        <is>
          <t>Delusional</t>
        </is>
      </c>
      <c r="B67" s="20" t="n">
        <v>5316893</v>
      </c>
      <c r="C67" s="20" t="n">
        <v>5316893</v>
      </c>
      <c r="D67" s="20" t="inlineStr">
        <is>
          <t>0.001220</t>
        </is>
      </c>
      <c r="E67" s="20" t="inlineStr">
        <is>
          <t>4.000 SOL</t>
        </is>
      </c>
      <c r="F67" s="20" t="inlineStr">
        <is>
          <t>5.396 SOL</t>
        </is>
      </c>
      <c r="G67" s="22" t="inlineStr">
        <is>
          <t>1.395 SOL</t>
        </is>
      </c>
      <c r="H67" s="22" t="inlineStr">
        <is>
          <t>34.87%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15.10.2024 21:30:49</t>
        </is>
      </c>
      <c r="M67" s="20" t="inlineStr">
        <is>
          <t>1 min</t>
        </is>
      </c>
      <c r="N67" s="20" t="inlineStr">
        <is>
          <t xml:space="preserve">        131K           177K             4K</t>
        </is>
      </c>
      <c r="O67" s="20" t="inlineStr">
        <is>
          <t>jndHgy714E4xPf7qzHsomKqQknJVfmswgBz227Epump</t>
        </is>
      </c>
      <c r="P67" s="20">
        <f>HYPERLINK("https://dexscreener.com/solana/jndHgy714E4xPf7qzHsomKqQknJVfmswgBz227Epump", "View")</f>
        <v/>
      </c>
    </row>
    <row r="68">
      <c r="A68" s="15" t="inlineStr">
        <is>
          <t>RETARDAI</t>
        </is>
      </c>
      <c r="B68" s="16" t="n">
        <v>44858317</v>
      </c>
      <c r="C68" s="16" t="n">
        <v>44858317</v>
      </c>
      <c r="D68" s="16" t="inlineStr">
        <is>
          <t>0.000810</t>
        </is>
      </c>
      <c r="E68" s="16" t="inlineStr">
        <is>
          <t>5.273 SOL</t>
        </is>
      </c>
      <c r="F68" s="16" t="inlineStr">
        <is>
          <t>6.056 SOL</t>
        </is>
      </c>
      <c r="G68" s="22" t="inlineStr">
        <is>
          <t>0.783 SOL</t>
        </is>
      </c>
      <c r="H68" s="22" t="inlineStr">
        <is>
          <t>14.84%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15.10.2024 20:48:56</t>
        </is>
      </c>
      <c r="M68" s="16" t="inlineStr">
        <is>
          <t>1 min</t>
        </is>
      </c>
      <c r="N68" s="16" t="inlineStr">
        <is>
          <t xml:space="preserve">         21K            25K             4K</t>
        </is>
      </c>
      <c r="O68" s="16" t="inlineStr">
        <is>
          <t>DzsjLMixTiMuoCL3kdvSDmWcTt1y7KqMWVzRGhEkpump</t>
        </is>
      </c>
      <c r="P68" s="16">
        <f>HYPERLINK("https://photon-sol.tinyastro.io/en/lp/DzsjLMixTiMuoCL3kdvSDmWcTt1y7KqMWVzRGhEkpump?handle=676050794bc1b1657a56b", "View")</f>
        <v/>
      </c>
    </row>
    <row r="69">
      <c r="A69" s="19" t="inlineStr">
        <is>
          <t>AI EGirl</t>
        </is>
      </c>
      <c r="B69" s="20" t="n">
        <v>7729319</v>
      </c>
      <c r="C69" s="20" t="n">
        <v>7729319</v>
      </c>
      <c r="D69" s="20" t="inlineStr">
        <is>
          <t>0.231010</t>
        </is>
      </c>
      <c r="E69" s="20" t="inlineStr">
        <is>
          <t>5.000 SOL</t>
        </is>
      </c>
      <c r="F69" s="20" t="inlineStr">
        <is>
          <t>4.476 SOL</t>
        </is>
      </c>
      <c r="G69" s="21" t="inlineStr">
        <is>
          <t>-0.755 SOL</t>
        </is>
      </c>
      <c r="H69" s="21" t="inlineStr">
        <is>
          <t>-14.43%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15.10.2024 20:37:42</t>
        </is>
      </c>
      <c r="M69" s="18" t="inlineStr">
        <is>
          <t>15 sec</t>
        </is>
      </c>
      <c r="N69" s="20" t="inlineStr">
        <is>
          <t xml:space="preserve">        114K           102K             3K</t>
        </is>
      </c>
      <c r="O69" s="20" t="inlineStr">
        <is>
          <t>GGfZsKaL8En2ApVdtvKGNCGBQkMWSfJQw2CMonnspump</t>
        </is>
      </c>
      <c r="P69" s="20">
        <f>HYPERLINK("https://dexscreener.com/solana/GGfZsKaL8En2ApVdtvKGNCGBQkMWSfJQw2CMonnspump", "View")</f>
        <v/>
      </c>
    </row>
    <row r="70">
      <c r="A70" s="15" t="inlineStr">
        <is>
          <t>Slother</t>
        </is>
      </c>
      <c r="B70" s="16" t="n">
        <v>5439907</v>
      </c>
      <c r="C70" s="16" t="n">
        <v>5439907</v>
      </c>
      <c r="D70" s="16" t="inlineStr">
        <is>
          <t>0.011620</t>
        </is>
      </c>
      <c r="E70" s="16" t="inlineStr">
        <is>
          <t>5.000 SOL</t>
        </is>
      </c>
      <c r="F70" s="16" t="inlineStr">
        <is>
          <t>4.628 SOL</t>
        </is>
      </c>
      <c r="G70" s="21" t="inlineStr">
        <is>
          <t>-0.383 SOL</t>
        </is>
      </c>
      <c r="H70" s="21" t="inlineStr">
        <is>
          <t>-7.65%</t>
        </is>
      </c>
      <c r="I70" s="16" t="inlineStr">
        <is>
          <t>N/A</t>
        </is>
      </c>
      <c r="J70" s="16" t="n">
        <v>1</v>
      </c>
      <c r="K70" s="16" t="n">
        <v>1</v>
      </c>
      <c r="L70" s="16" t="inlineStr">
        <is>
          <t>15.10.2024 20:11:42</t>
        </is>
      </c>
      <c r="M70" s="18" t="inlineStr">
        <is>
          <t>25 sec</t>
        </is>
      </c>
      <c r="N70" s="16" t="inlineStr">
        <is>
          <t xml:space="preserve">        160K           147K             6K</t>
        </is>
      </c>
      <c r="O70" s="16" t="inlineStr">
        <is>
          <t>2ZvcCgSBkgkgyBBkgXVwLBmZSWAFWthVNTdKk58Hpump</t>
        </is>
      </c>
      <c r="P70" s="16">
        <f>HYPERLINK("https://dexscreener.com/solana/2ZvcCgSBkgkgyBBkgXVwLBmZSWAFWthVNTdKk58Hpump", "View")</f>
        <v/>
      </c>
    </row>
    <row r="71">
      <c r="A71" s="19" t="inlineStr">
        <is>
          <t>Pliny</t>
        </is>
      </c>
      <c r="B71" s="20" t="n">
        <v>17790835</v>
      </c>
      <c r="C71" s="20" t="n">
        <v>17790835</v>
      </c>
      <c r="D71" s="20" t="inlineStr">
        <is>
          <t>0.013350</t>
        </is>
      </c>
      <c r="E71" s="20" t="inlineStr">
        <is>
          <t>5.822 SOL</t>
        </is>
      </c>
      <c r="F71" s="20" t="inlineStr">
        <is>
          <t>13.087 SOL</t>
        </is>
      </c>
      <c r="G71" s="23" t="inlineStr">
        <is>
          <t>7.252 SOL</t>
        </is>
      </c>
      <c r="H71" s="23" t="inlineStr">
        <is>
          <t>124.29%</t>
        </is>
      </c>
      <c r="I71" s="20" t="inlineStr">
        <is>
          <t>N/A</t>
        </is>
      </c>
      <c r="J71" s="20" t="n">
        <v>2</v>
      </c>
      <c r="K71" s="20" t="n">
        <v>2</v>
      </c>
      <c r="L71" s="20" t="inlineStr">
        <is>
          <t>14.10.2024 09:01:59</t>
        </is>
      </c>
      <c r="M71" s="20" t="inlineStr">
        <is>
          <t>2 min</t>
        </is>
      </c>
      <c r="N71" s="20" t="inlineStr">
        <is>
          <t xml:space="preserve">         52K           188K             4K</t>
        </is>
      </c>
      <c r="O71" s="20" t="inlineStr">
        <is>
          <t>CRF93sJpSXRP19opxWAgiH1sr2uv39DqGAXUvbVpump</t>
        </is>
      </c>
      <c r="P71" s="20">
        <f>HYPERLINK("https://photon-sol.tinyastro.io/en/lp/CRF93sJpSXRP19opxWAgiH1sr2uv39DqGAXUvbVpump?handle=676050794bc1b1657a56b", "View")</f>
        <v/>
      </c>
    </row>
    <row r="72">
      <c r="A72" s="15" t="inlineStr">
        <is>
          <t>Emily</t>
        </is>
      </c>
      <c r="B72" s="16" t="n">
        <v>55229736</v>
      </c>
      <c r="C72" s="16" t="n">
        <v>55229736</v>
      </c>
      <c r="D72" s="16" t="inlineStr">
        <is>
          <t>0.026100</t>
        </is>
      </c>
      <c r="E72" s="16" t="inlineStr">
        <is>
          <t>4.088 SOL</t>
        </is>
      </c>
      <c r="F72" s="16" t="inlineStr">
        <is>
          <t>28.139 SOL</t>
        </is>
      </c>
      <c r="G72" s="23" t="inlineStr">
        <is>
          <t>24.025 SOL</t>
        </is>
      </c>
      <c r="H72" s="23" t="inlineStr">
        <is>
          <t>584.02%</t>
        </is>
      </c>
      <c r="I72" s="16" t="inlineStr">
        <is>
          <t>N/A</t>
        </is>
      </c>
      <c r="J72" s="16" t="n">
        <v>1</v>
      </c>
      <c r="K72" s="16" t="n">
        <v>7</v>
      </c>
      <c r="L72" s="16" t="inlineStr">
        <is>
          <t>14.10.2024 07:46:00</t>
        </is>
      </c>
      <c r="M72" s="16" t="inlineStr">
        <is>
          <t>3 min</t>
        </is>
      </c>
      <c r="N72" s="16" t="inlineStr">
        <is>
          <t xml:space="preserve">         12K            47K            22K</t>
        </is>
      </c>
      <c r="O72" s="16" t="inlineStr">
        <is>
          <t>8TYUnpKJmMeXfw2feRZJnUzHnzMkXbFK5jfpP6zGpump</t>
        </is>
      </c>
      <c r="P72" s="16">
        <f>HYPERLINK("https://photon-sol.tinyastro.io/en/lp/8TYUnpKJmMeXfw2feRZJnUzHnzMkXbFK5jfpP6zGpump?handle=676050794bc1b1657a56b", "View")</f>
        <v/>
      </c>
    </row>
    <row r="73">
      <c r="A73" s="19" t="inlineStr">
        <is>
          <t>ADOLF</t>
        </is>
      </c>
      <c r="B73" s="20" t="n">
        <v>3667610</v>
      </c>
      <c r="C73" s="20" t="n">
        <v>3667610</v>
      </c>
      <c r="D73" s="20" t="inlineStr">
        <is>
          <t>0.001220</t>
        </is>
      </c>
      <c r="E73" s="20" t="inlineStr">
        <is>
          <t>4.000 SOL</t>
        </is>
      </c>
      <c r="F73" s="20" t="inlineStr">
        <is>
          <t>3.563 SOL</t>
        </is>
      </c>
      <c r="G73" s="21" t="inlineStr">
        <is>
          <t>-0.439 SOL</t>
        </is>
      </c>
      <c r="H73" s="21" t="inlineStr">
        <is>
          <t>-10.96%</t>
        </is>
      </c>
      <c r="I73" s="20" t="inlineStr">
        <is>
          <t>N/A</t>
        </is>
      </c>
      <c r="J73" s="20" t="n">
        <v>1</v>
      </c>
      <c r="K73" s="20" t="n">
        <v>1</v>
      </c>
      <c r="L73" s="20" t="inlineStr">
        <is>
          <t>14.10.2024 05:41:28</t>
        </is>
      </c>
      <c r="M73" s="18" t="inlineStr">
        <is>
          <t>8 sec</t>
        </is>
      </c>
      <c r="N73" s="20" t="inlineStr">
        <is>
          <t xml:space="preserve">        191K           170K             4K</t>
        </is>
      </c>
      <c r="O73" s="20" t="inlineStr">
        <is>
          <t>CiMwmuUiTmpyWN6TyjjKi3QqsVPUkHb2PA6soiaQpump</t>
        </is>
      </c>
      <c r="P73" s="20">
        <f>HYPERLINK("https://dexscreener.com/solana/CiMwmuUiTmpyWN6TyjjKi3QqsVPUkHb2PA6soiaQpump", "View")</f>
        <v/>
      </c>
    </row>
    <row r="74">
      <c r="A74" s="15" t="inlineStr">
        <is>
          <t>PUMP</t>
        </is>
      </c>
      <c r="B74" s="16" t="n">
        <v>2476118</v>
      </c>
      <c r="C74" s="16" t="n">
        <v>2476118</v>
      </c>
      <c r="D74" s="16" t="inlineStr">
        <is>
          <t>0.011720</t>
        </is>
      </c>
      <c r="E74" s="16" t="inlineStr">
        <is>
          <t>4.000 SOL</t>
        </is>
      </c>
      <c r="F74" s="16" t="inlineStr">
        <is>
          <t>4.473 SOL</t>
        </is>
      </c>
      <c r="G74" s="22" t="inlineStr">
        <is>
          <t>0.461 SOL</t>
        </is>
      </c>
      <c r="H74" s="22" t="inlineStr">
        <is>
          <t>11.50%</t>
        </is>
      </c>
      <c r="I74" s="16" t="inlineStr">
        <is>
          <t>N/A</t>
        </is>
      </c>
      <c r="J74" s="16" t="n">
        <v>1</v>
      </c>
      <c r="K74" s="16" t="n">
        <v>1</v>
      </c>
      <c r="L74" s="16" t="inlineStr">
        <is>
          <t>14.10.2024 03:53:59</t>
        </is>
      </c>
      <c r="M74" s="18" t="inlineStr">
        <is>
          <t>10 sec</t>
        </is>
      </c>
      <c r="N74" s="16" t="inlineStr">
        <is>
          <t xml:space="preserve">        284K           318K             8K</t>
        </is>
      </c>
      <c r="O74" s="16" t="inlineStr">
        <is>
          <t>fdvP1MJgStYmCUALk2zPYNHBxsMH24P9YAzhvY4pump</t>
        </is>
      </c>
      <c r="P74" s="16">
        <f>HYPERLINK("https://dexscreener.com/solana/fdvP1MJgStYmCUALk2zPYNHBxsMH24P9YAzhvY4pump", "View")</f>
        <v/>
      </c>
    </row>
    <row r="75">
      <c r="A75" s="19" t="inlineStr">
        <is>
          <t>GOATCUM</t>
        </is>
      </c>
      <c r="B75" s="20" t="n">
        <v>5652810</v>
      </c>
      <c r="C75" s="20" t="n">
        <v>5652810</v>
      </c>
      <c r="D75" s="20" t="inlineStr">
        <is>
          <t>0.011720</t>
        </is>
      </c>
      <c r="E75" s="20" t="inlineStr">
        <is>
          <t>4.000 SOL</t>
        </is>
      </c>
      <c r="F75" s="20" t="inlineStr">
        <is>
          <t>5.882 SOL</t>
        </is>
      </c>
      <c r="G75" s="22" t="inlineStr">
        <is>
          <t>1.870 SOL</t>
        </is>
      </c>
      <c r="H75" s="22" t="inlineStr">
        <is>
          <t>46.62%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13.10.2024 22:47:06</t>
        </is>
      </c>
      <c r="M75" s="18" t="inlineStr">
        <is>
          <t>12 sec</t>
        </is>
      </c>
      <c r="N75" s="20" t="inlineStr">
        <is>
          <t xml:space="preserve">        125K           182K             5K</t>
        </is>
      </c>
      <c r="O75" s="20" t="inlineStr">
        <is>
          <t>A7nd1vqisyZymT4nJW2MmAeQ8gNoLWPFDV5LDevhpump</t>
        </is>
      </c>
      <c r="P75" s="20">
        <f>HYPERLINK("https://dexscreener.com/solana/A7nd1vqisyZymT4nJW2MmAeQ8gNoLWPFDV5LDevhpump", "View")</f>
        <v/>
      </c>
    </row>
    <row r="76">
      <c r="A76" s="15" t="inlineStr">
        <is>
          <t>dorime</t>
        </is>
      </c>
      <c r="B76" s="16" t="n">
        <v>2655386</v>
      </c>
      <c r="C76" s="16" t="n">
        <v>2655386</v>
      </c>
      <c r="D76" s="16" t="inlineStr">
        <is>
          <t>0.011720</t>
        </is>
      </c>
      <c r="E76" s="16" t="inlineStr">
        <is>
          <t>4.000 SOL</t>
        </is>
      </c>
      <c r="F76" s="16" t="inlineStr">
        <is>
          <t>4.124 SOL</t>
        </is>
      </c>
      <c r="G76" s="22" t="inlineStr">
        <is>
          <t>0.112 SOL</t>
        </is>
      </c>
      <c r="H76" s="22" t="inlineStr">
        <is>
          <t>2.79%</t>
        </is>
      </c>
      <c r="I76" s="16" t="inlineStr">
        <is>
          <t>N/A</t>
        </is>
      </c>
      <c r="J76" s="16" t="n">
        <v>1</v>
      </c>
      <c r="K76" s="16" t="n">
        <v>1</v>
      </c>
      <c r="L76" s="16" t="inlineStr">
        <is>
          <t>13.10.2024 22:33:08</t>
        </is>
      </c>
      <c r="M76" s="18" t="inlineStr">
        <is>
          <t>12 sec</t>
        </is>
      </c>
      <c r="N76" s="16" t="inlineStr">
        <is>
          <t xml:space="preserve">        265K           272K           253K</t>
        </is>
      </c>
      <c r="O76" s="16" t="inlineStr">
        <is>
          <t>3cFVS5jQNVgFQxBJiuuZL1jKa3fs7uhCetjKHSSipump</t>
        </is>
      </c>
      <c r="P76" s="16">
        <f>HYPERLINK("https://dexscreener.com/solana/3cFVS5jQNVgFQxBJiuuZL1jKa3fs7uhCetjKHSSipump", "View")</f>
        <v/>
      </c>
    </row>
    <row r="77">
      <c r="A77" s="19" t="inlineStr">
        <is>
          <t>GOATCUM</t>
        </is>
      </c>
      <c r="B77" s="20" t="n">
        <v>5095848</v>
      </c>
      <c r="C77" s="20" t="n">
        <v>5095848</v>
      </c>
      <c r="D77" s="20" t="inlineStr">
        <is>
          <t>0.353240</t>
        </is>
      </c>
      <c r="E77" s="20" t="inlineStr">
        <is>
          <t>2.000 SOL</t>
        </is>
      </c>
      <c r="F77" s="20" t="inlineStr">
        <is>
          <t>8.167 SOL</t>
        </is>
      </c>
      <c r="G77" s="23" t="inlineStr">
        <is>
          <t>5.814 SOL</t>
        </is>
      </c>
      <c r="H77" s="23" t="inlineStr">
        <is>
          <t>247.07%</t>
        </is>
      </c>
      <c r="I77" s="20" t="inlineStr">
        <is>
          <t>N/A</t>
        </is>
      </c>
      <c r="J77" s="20" t="n">
        <v>1</v>
      </c>
      <c r="K77" s="20" t="n">
        <v>4</v>
      </c>
      <c r="L77" s="20" t="inlineStr">
        <is>
          <t>13.10.2024 22:29:05</t>
        </is>
      </c>
      <c r="M77" s="20" t="inlineStr">
        <is>
          <t>1 min</t>
        </is>
      </c>
      <c r="N77" s="20" t="inlineStr">
        <is>
          <t xml:space="preserve">         68K           574K             6K</t>
        </is>
      </c>
      <c r="O77" s="20" t="inlineStr">
        <is>
          <t>97L8Pp7NnxEz8MLzrASVzPku4rrp8YKDLCKzGkcZpump</t>
        </is>
      </c>
      <c r="P77" s="20">
        <f>HYPERLINK("https://dexscreener.com/solana/97L8Pp7NnxEz8MLzrASVzPku4rrp8YKDLCKzGkcZpump", "View")</f>
        <v/>
      </c>
    </row>
    <row r="78">
      <c r="A78" s="15" t="inlineStr">
        <is>
          <t xml:space="preserve">GOATCUM </t>
        </is>
      </c>
      <c r="B78" s="16" t="n">
        <v>2959770</v>
      </c>
      <c r="C78" s="16" t="n">
        <v>2959770</v>
      </c>
      <c r="D78" s="16" t="inlineStr">
        <is>
          <t>0.022740</t>
        </is>
      </c>
      <c r="E78" s="16" t="inlineStr">
        <is>
          <t>2.000 SOL</t>
        </is>
      </c>
      <c r="F78" s="16" t="inlineStr">
        <is>
          <t>3.882 SOL</t>
        </is>
      </c>
      <c r="G78" s="23" t="inlineStr">
        <is>
          <t>1.859 SOL</t>
        </is>
      </c>
      <c r="H78" s="23" t="inlineStr">
        <is>
          <t>91.92%</t>
        </is>
      </c>
      <c r="I78" s="16" t="inlineStr">
        <is>
          <t>N/A</t>
        </is>
      </c>
      <c r="J78" s="16" t="n">
        <v>1</v>
      </c>
      <c r="K78" s="16" t="n">
        <v>2</v>
      </c>
      <c r="L78" s="16" t="inlineStr">
        <is>
          <t>13.10.2024 22:28:56</t>
        </is>
      </c>
      <c r="M78" s="18" t="inlineStr">
        <is>
          <t>57 sec</t>
        </is>
      </c>
      <c r="N78" s="16" t="inlineStr">
        <is>
          <t xml:space="preserve">        119K           165K             5K</t>
        </is>
      </c>
      <c r="O78" s="16" t="inlineStr">
        <is>
          <t>DVE369JLQ4w6wVyS2bZqKk67atCBLSAbpzZT5FiCpump</t>
        </is>
      </c>
      <c r="P78" s="16">
        <f>HYPERLINK("https://dexscreener.com/solana/DVE369JLQ4w6wVyS2bZqKk67atCBLSAbpzZT5FiCpump", "View")</f>
        <v/>
      </c>
    </row>
    <row r="79">
      <c r="A79" s="19" t="inlineStr">
        <is>
          <t>MemesAI</t>
        </is>
      </c>
      <c r="B79" s="20" t="n">
        <v>17805557</v>
      </c>
      <c r="C79" s="20" t="n">
        <v>17805557</v>
      </c>
      <c r="D79" s="20" t="inlineStr">
        <is>
          <t>0.012340</t>
        </is>
      </c>
      <c r="E79" s="20" t="inlineStr">
        <is>
          <t>4.000 SOL</t>
        </is>
      </c>
      <c r="F79" s="20" t="inlineStr">
        <is>
          <t>10.799 SOL</t>
        </is>
      </c>
      <c r="G79" s="23" t="inlineStr">
        <is>
          <t>6.787 SOL</t>
        </is>
      </c>
      <c r="H79" s="23" t="inlineStr">
        <is>
          <t>169.16%</t>
        </is>
      </c>
      <c r="I79" s="20" t="inlineStr">
        <is>
          <t>N/A</t>
        </is>
      </c>
      <c r="J79" s="20" t="n">
        <v>1</v>
      </c>
      <c r="K79" s="20" t="n">
        <v>2</v>
      </c>
      <c r="L79" s="20" t="inlineStr">
        <is>
          <t>13.10.2024 22:16:02</t>
        </is>
      </c>
      <c r="M79" s="18" t="inlineStr">
        <is>
          <t>26 sec</t>
        </is>
      </c>
      <c r="N79" s="20" t="inlineStr">
        <is>
          <t xml:space="preserve">         39K           109K            13M</t>
        </is>
      </c>
      <c r="O79" s="20" t="inlineStr">
        <is>
          <t>39qibQxVzemuZTEvjSB7NePhw9WyyHdQCqP8xmBMpump</t>
        </is>
      </c>
      <c r="P79" s="20">
        <f>HYPERLINK("https://dexscreener.com/solana/39qibQxVzemuZTEvjSB7NePhw9WyyHdQCqP8xmBMpump", "View")</f>
        <v/>
      </c>
    </row>
    <row r="80">
      <c r="A80" s="15" t="inlineStr">
        <is>
          <t>Spup</t>
        </is>
      </c>
      <c r="B80" s="16" t="n">
        <v>5376820</v>
      </c>
      <c r="C80" s="16" t="n">
        <v>5376820</v>
      </c>
      <c r="D80" s="16" t="inlineStr">
        <is>
          <t>0.001220</t>
        </is>
      </c>
      <c r="E80" s="16" t="inlineStr">
        <is>
          <t>2.432 SOL</t>
        </is>
      </c>
      <c r="F80" s="16" t="inlineStr">
        <is>
          <t>1.639 SOL</t>
        </is>
      </c>
      <c r="G80" s="21" t="inlineStr">
        <is>
          <t>-0.794 SOL</t>
        </is>
      </c>
      <c r="H80" s="21" t="inlineStr">
        <is>
          <t>-32.63%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13.10.2024 22:03:10</t>
        </is>
      </c>
      <c r="M80" s="16" t="inlineStr">
        <is>
          <t>12 min</t>
        </is>
      </c>
      <c r="N80" s="16" t="inlineStr">
        <is>
          <t xml:space="preserve">         79K            53K             4K</t>
        </is>
      </c>
      <c r="O80" s="16" t="inlineStr">
        <is>
          <t>6PPtQsohN3rDRwcJRavEFPLjGiXjfn14yrYfK9MQpump</t>
        </is>
      </c>
      <c r="P80" s="16">
        <f>HYPERLINK("https://photon-sol.tinyastro.io/en/lp/6PPtQsohN3rDRwcJRavEFPLjGiXjfn14yrYfK9MQpump?handle=676050794bc1b1657a56b", "View")</f>
        <v/>
      </c>
    </row>
    <row r="81">
      <c r="A81" s="19" t="inlineStr">
        <is>
          <t>seal</t>
        </is>
      </c>
      <c r="B81" s="20" t="n">
        <v>16775827</v>
      </c>
      <c r="C81" s="20" t="n">
        <v>16775827</v>
      </c>
      <c r="D81" s="20" t="inlineStr">
        <is>
          <t>0.001210</t>
        </is>
      </c>
      <c r="E81" s="20" t="inlineStr">
        <is>
          <t>5.293 SOL</t>
        </is>
      </c>
      <c r="F81" s="20" t="inlineStr">
        <is>
          <t>5.940 SOL</t>
        </is>
      </c>
      <c r="G81" s="22" t="inlineStr">
        <is>
          <t>0.646 SOL</t>
        </is>
      </c>
      <c r="H81" s="22" t="inlineStr">
        <is>
          <t>12.20%</t>
        </is>
      </c>
      <c r="I81" s="20" t="inlineStr">
        <is>
          <t>N/A</t>
        </is>
      </c>
      <c r="J81" s="20" t="n">
        <v>1</v>
      </c>
      <c r="K81" s="20" t="n">
        <v>1</v>
      </c>
      <c r="L81" s="20" t="inlineStr">
        <is>
          <t>13.10.2024 21:53:12</t>
        </is>
      </c>
      <c r="M81" s="18" t="inlineStr">
        <is>
          <t>6 sec</t>
        </is>
      </c>
      <c r="N81" s="20" t="inlineStr">
        <is>
          <t xml:space="preserve">         56K            61K             5K</t>
        </is>
      </c>
      <c r="O81" s="20" t="inlineStr">
        <is>
          <t>Ee5yAfH8fbzDfwMhQFi7aQHWuD6o4UySxUYzo7Njpump</t>
        </is>
      </c>
      <c r="P81" s="20">
        <f>HYPERLINK("https://photon-sol.tinyastro.io/en/lp/Ee5yAfH8fbzDfwMhQFi7aQHWuD6o4UySxUYzo7Njpump?handle=676050794bc1b1657a56b", "View")</f>
        <v/>
      </c>
    </row>
    <row r="82">
      <c r="A82" s="15" t="inlineStr">
        <is>
          <t>MURAD</t>
        </is>
      </c>
      <c r="B82" s="16" t="n">
        <v>2652547</v>
      </c>
      <c r="C82" s="16" t="n">
        <v>2652547</v>
      </c>
      <c r="D82" s="16" t="inlineStr">
        <is>
          <t>0.011720</t>
        </is>
      </c>
      <c r="E82" s="16" t="inlineStr">
        <is>
          <t>4.000 SOL</t>
        </is>
      </c>
      <c r="F82" s="16" t="inlineStr">
        <is>
          <t>4.916 SOL</t>
        </is>
      </c>
      <c r="G82" s="22" t="inlineStr">
        <is>
          <t>0.905 SOL</t>
        </is>
      </c>
      <c r="H82" s="22" t="inlineStr">
        <is>
          <t>22.55%</t>
        </is>
      </c>
      <c r="I82" s="16" t="inlineStr">
        <is>
          <t>N/A</t>
        </is>
      </c>
      <c r="J82" s="16" t="n">
        <v>1</v>
      </c>
      <c r="K82" s="16" t="n">
        <v>1</v>
      </c>
      <c r="L82" s="16" t="inlineStr">
        <is>
          <t>13.10.2024 19:25:19</t>
        </is>
      </c>
      <c r="M82" s="18" t="inlineStr">
        <is>
          <t>12 sec</t>
        </is>
      </c>
      <c r="N82" s="16" t="inlineStr">
        <is>
          <t xml:space="preserve">        265K           325K             5K</t>
        </is>
      </c>
      <c r="O82" s="16" t="inlineStr">
        <is>
          <t>Gg1gKh39CDhwAyscqpfTxkXZktB4TXrWnERVWQHRpump</t>
        </is>
      </c>
      <c r="P82" s="16">
        <f>HYPERLINK("https://dexscreener.com/solana/Gg1gKh39CDhwAyscqpfTxkXZktB4TXrWnERVWQHRpump", "View")</f>
        <v/>
      </c>
    </row>
    <row r="83">
      <c r="A83" s="19" t="inlineStr">
        <is>
          <t>Rockie</t>
        </is>
      </c>
      <c r="B83" s="20" t="n">
        <v>16413325</v>
      </c>
      <c r="C83" s="20" t="n">
        <v>16413325</v>
      </c>
      <c r="D83" s="20" t="inlineStr">
        <is>
          <t>0.033630</t>
        </is>
      </c>
      <c r="E83" s="20" t="inlineStr">
        <is>
          <t>5.141 SOL</t>
        </is>
      </c>
      <c r="F83" s="20" t="inlineStr">
        <is>
          <t>8.852 SOL</t>
        </is>
      </c>
      <c r="G83" s="23" t="inlineStr">
        <is>
          <t>3.677 SOL</t>
        </is>
      </c>
      <c r="H83" s="23" t="inlineStr">
        <is>
          <t>71.07%</t>
        </is>
      </c>
      <c r="I83" s="20" t="inlineStr">
        <is>
          <t>N/A</t>
        </is>
      </c>
      <c r="J83" s="20" t="n">
        <v>1</v>
      </c>
      <c r="K83" s="20" t="n">
        <v>2</v>
      </c>
      <c r="L83" s="20" t="inlineStr">
        <is>
          <t>13.10.2024 05:29:10</t>
        </is>
      </c>
      <c r="M83" s="20" t="inlineStr">
        <is>
          <t>3 min</t>
        </is>
      </c>
      <c r="N83" s="20" t="inlineStr">
        <is>
          <t xml:space="preserve">         54K           116K             3K</t>
        </is>
      </c>
      <c r="O83" s="20" t="inlineStr">
        <is>
          <t>3ug3ohJ5kS3c8DkehzrufkCwcrN9hRf7hN7U2BEVpump</t>
        </is>
      </c>
      <c r="P83" s="20">
        <f>HYPERLINK("https://photon-sol.tinyastro.io/en/lp/3ug3ohJ5kS3c8DkehzrufkCwcrN9hRf7hN7U2BEVpump?handle=676050794bc1b1657a56b", "View")</f>
        <v/>
      </c>
    </row>
    <row r="84">
      <c r="A84" s="15" t="inlineStr">
        <is>
          <t>Awkward</t>
        </is>
      </c>
      <c r="B84" s="16" t="n">
        <v>28734466</v>
      </c>
      <c r="C84" s="16" t="n">
        <v>28734466</v>
      </c>
      <c r="D84" s="16" t="inlineStr">
        <is>
          <t>0.111850</t>
        </is>
      </c>
      <c r="E84" s="16" t="inlineStr">
        <is>
          <t>5.140 SOL</t>
        </is>
      </c>
      <c r="F84" s="16" t="inlineStr">
        <is>
          <t>15.024 SOL</t>
        </is>
      </c>
      <c r="G84" s="23" t="inlineStr">
        <is>
          <t>9.772 SOL</t>
        </is>
      </c>
      <c r="H84" s="23" t="inlineStr">
        <is>
          <t>186.08%</t>
        </is>
      </c>
      <c r="I84" s="16" t="inlineStr">
        <is>
          <t>N/A</t>
        </is>
      </c>
      <c r="J84" s="16" t="n">
        <v>1</v>
      </c>
      <c r="K84" s="16" t="n">
        <v>5</v>
      </c>
      <c r="L84" s="16" t="inlineStr">
        <is>
          <t>13.10.2024 05:11:50</t>
        </is>
      </c>
      <c r="M84" s="16" t="inlineStr">
        <is>
          <t>5 min</t>
        </is>
      </c>
      <c r="N84" s="16" t="inlineStr">
        <is>
          <t xml:space="preserve">         32K           125K             3K</t>
        </is>
      </c>
      <c r="O84" s="16" t="inlineStr">
        <is>
          <t>GmnhdjaVZbgzjyYXEGGUawMrb1oS9V6WAtE9bxCZpump</t>
        </is>
      </c>
      <c r="P84" s="16">
        <f>HYPERLINK("https://photon-sol.tinyastro.io/en/lp/GmnhdjaVZbgzjyYXEGGUawMrb1oS9V6WAtE9bxCZpump?handle=676050794bc1b1657a56b", "View")</f>
        <v/>
      </c>
    </row>
    <row r="85">
      <c r="A85" s="19" t="inlineStr">
        <is>
          <t>SPED</t>
        </is>
      </c>
      <c r="B85" s="20" t="n">
        <v>24897827</v>
      </c>
      <c r="C85" s="20" t="n">
        <v>24897827</v>
      </c>
      <c r="D85" s="20" t="inlineStr">
        <is>
          <t>0.111850</t>
        </is>
      </c>
      <c r="E85" s="20" t="inlineStr">
        <is>
          <t>5.140 SOL</t>
        </is>
      </c>
      <c r="F85" s="20" t="inlineStr">
        <is>
          <t>9.919 SOL</t>
        </is>
      </c>
      <c r="G85" s="23" t="inlineStr">
        <is>
          <t>4.667 SOL</t>
        </is>
      </c>
      <c r="H85" s="23" t="inlineStr">
        <is>
          <t>88.87%</t>
        </is>
      </c>
      <c r="I85" s="20" t="inlineStr">
        <is>
          <t>N/A</t>
        </is>
      </c>
      <c r="J85" s="20" t="n">
        <v>1</v>
      </c>
      <c r="K85" s="20" t="n">
        <v>4</v>
      </c>
      <c r="L85" s="20" t="inlineStr">
        <is>
          <t>13.10.2024 02:07:54</t>
        </is>
      </c>
      <c r="M85" s="20" t="inlineStr">
        <is>
          <t>6 min</t>
        </is>
      </c>
      <c r="N85" s="20" t="inlineStr">
        <is>
          <t xml:space="preserve">         37K           105K             4K</t>
        </is>
      </c>
      <c r="O85" s="20" t="inlineStr">
        <is>
          <t>5ywAUL3Xnb9D13dQxexp6uBapHqWWS77xQDaLqd7pump</t>
        </is>
      </c>
      <c r="P85" s="20">
        <f>HYPERLINK("https://photon-sol.tinyastro.io/en/lp/5ywAUL3Xnb9D13dQxexp6uBapHqWWS77xQDaLqd7pump?handle=676050794bc1b1657a56b", "View")</f>
        <v/>
      </c>
    </row>
    <row r="86">
      <c r="A86" s="15" t="inlineStr">
        <is>
          <t>Miko</t>
        </is>
      </c>
      <c r="B86" s="16" t="n">
        <v>20778479</v>
      </c>
      <c r="C86" s="16" t="n">
        <v>20778479</v>
      </c>
      <c r="D86" s="16" t="inlineStr">
        <is>
          <t>0.001830</t>
        </is>
      </c>
      <c r="E86" s="16" t="inlineStr">
        <is>
          <t>5.141 SOL</t>
        </is>
      </c>
      <c r="F86" s="16" t="inlineStr">
        <is>
          <t>12.450 SOL</t>
        </is>
      </c>
      <c r="G86" s="23" t="inlineStr">
        <is>
          <t>7.307 SOL</t>
        </is>
      </c>
      <c r="H86" s="23" t="inlineStr">
        <is>
          <t>142.10%</t>
        </is>
      </c>
      <c r="I86" s="16" t="inlineStr">
        <is>
          <t>N/A</t>
        </is>
      </c>
      <c r="J86" s="16" t="n">
        <v>1</v>
      </c>
      <c r="K86" s="16" t="n">
        <v>2</v>
      </c>
      <c r="L86" s="16" t="inlineStr">
        <is>
          <t>11.10.2024 04:27:41</t>
        </is>
      </c>
      <c r="M86" s="16" t="inlineStr">
        <is>
          <t>4 min</t>
        </is>
      </c>
      <c r="N86" s="16" t="inlineStr">
        <is>
          <t xml:space="preserve">         44K           158K             4K</t>
        </is>
      </c>
      <c r="O86" s="16" t="inlineStr">
        <is>
          <t>BKMK1HXX5T73ubUyJ7zEQ8bSMqVGgJ7mrnr56k9Zpump</t>
        </is>
      </c>
      <c r="P86" s="16">
        <f>HYPERLINK("https://photon-sol.tinyastro.io/en/lp/BKMK1HXX5T73ubUyJ7zEQ8bSMqVGgJ7mrnr56k9Zpump?handle=676050794bc1b1657a56b", "View")</f>
        <v/>
      </c>
    </row>
    <row r="87">
      <c r="A87" s="19" t="inlineStr">
        <is>
          <t>CAT</t>
        </is>
      </c>
      <c r="B87" s="20" t="n">
        <v>105454545</v>
      </c>
      <c r="C87" s="20" t="n">
        <v>105454545</v>
      </c>
      <c r="D87" s="20" t="inlineStr">
        <is>
          <t>0.079020</t>
        </is>
      </c>
      <c r="E87" s="20" t="inlineStr">
        <is>
          <t>4.098 SOL</t>
        </is>
      </c>
      <c r="F87" s="20" t="inlineStr">
        <is>
          <t>3.936 SOL</t>
        </is>
      </c>
      <c r="G87" s="21" t="inlineStr">
        <is>
          <t>-0.241 SOL</t>
        </is>
      </c>
      <c r="H87" s="21" t="inlineStr">
        <is>
          <t>-5.77%</t>
        </is>
      </c>
      <c r="I87" s="20" t="inlineStr">
        <is>
          <t>N/A</t>
        </is>
      </c>
      <c r="J87" s="20" t="n">
        <v>1</v>
      </c>
      <c r="K87" s="20" t="n">
        <v>1</v>
      </c>
      <c r="L87" s="20" t="inlineStr">
        <is>
          <t>10.10.2024 05:48:52</t>
        </is>
      </c>
      <c r="M87" s="18" t="inlineStr">
        <is>
          <t>4 sec</t>
        </is>
      </c>
      <c r="N87" s="20" t="inlineStr">
        <is>
          <t xml:space="preserve">        N/A           N/A           N/A</t>
        </is>
      </c>
      <c r="O87" s="20" t="inlineStr">
        <is>
          <t>2ZQ1Fw9Ufubn5Mp68aNAKES4vLLbM3cGGUJaRB976sdS</t>
        </is>
      </c>
      <c r="P87" s="20">
        <f>HYPERLINK("https://photon-sol.tinyastro.io/en/lp/2ZQ1Fw9Ufubn5Mp68aNAKES4vLLbM3cGGUJaRB976sdS?handle=676050794bc1b1657a56b", "View")</f>
        <v/>
      </c>
    </row>
    <row r="88">
      <c r="A88" s="15" t="inlineStr">
        <is>
          <t>cat</t>
        </is>
      </c>
      <c r="B88" s="16" t="n">
        <v>105454545</v>
      </c>
      <c r="C88" s="16" t="n">
        <v>105454545</v>
      </c>
      <c r="D88" s="16" t="inlineStr">
        <is>
          <t>0.079020</t>
        </is>
      </c>
      <c r="E88" s="16" t="inlineStr">
        <is>
          <t>4.098 SOL</t>
        </is>
      </c>
      <c r="F88" s="16" t="inlineStr">
        <is>
          <t>4.555 SOL</t>
        </is>
      </c>
      <c r="G88" s="22" t="inlineStr">
        <is>
          <t>0.378 SOL</t>
        </is>
      </c>
      <c r="H88" s="22" t="inlineStr">
        <is>
          <t>9.06%</t>
        </is>
      </c>
      <c r="I88" s="16" t="inlineStr">
        <is>
          <t>N/A</t>
        </is>
      </c>
      <c r="J88" s="16" t="n">
        <v>1</v>
      </c>
      <c r="K88" s="16" t="n">
        <v>1</v>
      </c>
      <c r="L88" s="16" t="inlineStr">
        <is>
          <t>10.10.2024 05:48:49</t>
        </is>
      </c>
      <c r="M88" s="18" t="inlineStr">
        <is>
          <t>2 sec</t>
        </is>
      </c>
      <c r="N88" s="16" t="inlineStr">
        <is>
          <t xml:space="preserve">        N/A           N/A           N/A</t>
        </is>
      </c>
      <c r="O88" s="16" t="inlineStr">
        <is>
          <t>7bBBdhdP5kASWM3DPG1MTjrpmBQon6T8aRMX9Fhwpump</t>
        </is>
      </c>
      <c r="P88" s="16">
        <f>HYPERLINK("https://photon-sol.tinyastro.io/en/lp/7bBBdhdP5kASWM3DPG1MTjrpmBQon6T8aRMX9Fhwpump?handle=676050794bc1b1657a56b", "View")</f>
        <v/>
      </c>
    </row>
    <row r="89">
      <c r="A89" s="19" t="inlineStr">
        <is>
          <t xml:space="preserve">katt </t>
        </is>
      </c>
      <c r="B89" s="20" t="n">
        <v>58394558</v>
      </c>
      <c r="C89" s="20" t="n">
        <v>58394558</v>
      </c>
      <c r="D89" s="20" t="inlineStr">
        <is>
          <t>0.079020</t>
        </is>
      </c>
      <c r="E89" s="20" t="inlineStr">
        <is>
          <t>4.098 SOL</t>
        </is>
      </c>
      <c r="F89" s="20" t="inlineStr">
        <is>
          <t>4.476 SOL</t>
        </is>
      </c>
      <c r="G89" s="22" t="inlineStr">
        <is>
          <t>0.300 SOL</t>
        </is>
      </c>
      <c r="H89" s="22" t="inlineStr">
        <is>
          <t>7.17%</t>
        </is>
      </c>
      <c r="I89" s="20" t="inlineStr">
        <is>
          <t>N/A</t>
        </is>
      </c>
      <c r="J89" s="20" t="n">
        <v>1</v>
      </c>
      <c r="K89" s="20" t="n">
        <v>1</v>
      </c>
      <c r="L89" s="20" t="inlineStr">
        <is>
          <t>10.10.2024 02:04:17</t>
        </is>
      </c>
      <c r="M89" s="18" t="inlineStr">
        <is>
          <t>4 sec</t>
        </is>
      </c>
      <c r="N89" s="20" t="inlineStr">
        <is>
          <t xml:space="preserve">        N/A           N/A           N/A</t>
        </is>
      </c>
      <c r="O89" s="20" t="inlineStr">
        <is>
          <t>9jrcKdEkZmNBads83HLGwfCmk56kPWi35eBC2UEgpump</t>
        </is>
      </c>
      <c r="P89" s="20">
        <f>HYPERLINK("https://photon-sol.tinyastro.io/en/lp/9jrcKdEkZmNBads83HLGwfCmk56kPWi35eBC2UEgpump?handle=676050794bc1b1657a56b", "View")</f>
        <v/>
      </c>
    </row>
    <row r="90">
      <c r="A90" s="15" t="inlineStr">
        <is>
          <t>melo</t>
        </is>
      </c>
      <c r="B90" s="16" t="n">
        <v>38321429</v>
      </c>
      <c r="C90" s="16" t="n">
        <v>38321429</v>
      </c>
      <c r="D90" s="16" t="inlineStr">
        <is>
          <t>0.079020</t>
        </is>
      </c>
      <c r="E90" s="16" t="inlineStr">
        <is>
          <t>4.098 SOL</t>
        </is>
      </c>
      <c r="F90" s="16" t="inlineStr">
        <is>
          <t>1.171 SOL</t>
        </is>
      </c>
      <c r="G90" s="24" t="inlineStr">
        <is>
          <t>-3.005 SOL</t>
        </is>
      </c>
      <c r="H90" s="24" t="inlineStr">
        <is>
          <t>-71.96%</t>
        </is>
      </c>
      <c r="I90" s="16" t="inlineStr">
        <is>
          <t>N/A</t>
        </is>
      </c>
      <c r="J90" s="16" t="n">
        <v>1</v>
      </c>
      <c r="K90" s="16" t="n">
        <v>1</v>
      </c>
      <c r="L90" s="16" t="inlineStr">
        <is>
          <t>09.10.2024 20:40:50</t>
        </is>
      </c>
      <c r="M90" s="18" t="inlineStr">
        <is>
          <t>17 sec</t>
        </is>
      </c>
      <c r="N90" s="16" t="inlineStr">
        <is>
          <t xml:space="preserve">        N/A           N/A           N/A</t>
        </is>
      </c>
      <c r="O90" s="16" t="inlineStr">
        <is>
          <t>BffB7Xrq3fP7xCfzRMXJTnJEvyvLQKBivLJh5YfNpump</t>
        </is>
      </c>
      <c r="P90" s="16">
        <f>HYPERLINK("https://photon-sol.tinyastro.io/en/lp/BffB7Xrq3fP7xCfzRMXJTnJEvyvLQKBivLJh5YfNpump?handle=676050794bc1b1657a56b", "View")</f>
        <v/>
      </c>
    </row>
    <row r="91">
      <c r="A91" s="19" t="inlineStr">
        <is>
          <t>MELO</t>
        </is>
      </c>
      <c r="B91" s="20" t="n">
        <v>60965909</v>
      </c>
      <c r="C91" s="20" t="n">
        <v>60965909</v>
      </c>
      <c r="D91" s="20" t="inlineStr">
        <is>
          <t>0.079020</t>
        </is>
      </c>
      <c r="E91" s="20" t="inlineStr">
        <is>
          <t>4.098 SOL</t>
        </is>
      </c>
      <c r="F91" s="20" t="inlineStr">
        <is>
          <t>1.765 SOL</t>
        </is>
      </c>
      <c r="G91" s="24" t="inlineStr">
        <is>
          <t>-2.412 SOL</t>
        </is>
      </c>
      <c r="H91" s="24" t="inlineStr">
        <is>
          <t>-57.75%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09.10.2024 20:40:49</t>
        </is>
      </c>
      <c r="M91" s="18" t="inlineStr">
        <is>
          <t>16 sec</t>
        </is>
      </c>
      <c r="N91" s="20" t="inlineStr">
        <is>
          <t xml:space="preserve">        N/A           N/A           N/A</t>
        </is>
      </c>
      <c r="O91" s="20" t="inlineStr">
        <is>
          <t>8tvuZGgdZiJaddooeBtvF5N3pAjNX7ZNKXSyNz9iQAKp</t>
        </is>
      </c>
      <c r="P91" s="20">
        <f>HYPERLINK("https://photon-sol.tinyastro.io/en/lp/8tvuZGgdZiJaddooeBtvF5N3pAjNX7ZNKXSyNz9iQAKp?handle=676050794bc1b1657a56b", "View")</f>
        <v/>
      </c>
    </row>
    <row r="92">
      <c r="A92" s="15" t="inlineStr">
        <is>
          <t>BCAT</t>
        </is>
      </c>
      <c r="B92" s="16" t="n">
        <v>403129</v>
      </c>
      <c r="C92" s="16" t="n">
        <v>403129</v>
      </c>
      <c r="D92" s="16" t="inlineStr">
        <is>
          <t>0.044120</t>
        </is>
      </c>
      <c r="E92" s="16" t="inlineStr">
        <is>
          <t>3.000 SOL</t>
        </is>
      </c>
      <c r="F92" s="16" t="inlineStr">
        <is>
          <t>3.184 SOL</t>
        </is>
      </c>
      <c r="G92" s="22" t="inlineStr">
        <is>
          <t>0.140 SOL</t>
        </is>
      </c>
      <c r="H92" s="22" t="inlineStr">
        <is>
          <t>4.61%</t>
        </is>
      </c>
      <c r="I92" s="16" t="inlineStr">
        <is>
          <t>N/A</t>
        </is>
      </c>
      <c r="J92" s="16" t="n">
        <v>1</v>
      </c>
      <c r="K92" s="16" t="n">
        <v>1</v>
      </c>
      <c r="L92" s="16" t="inlineStr">
        <is>
          <t>09.10.2024 08:40:35</t>
        </is>
      </c>
      <c r="M92" s="16" t="inlineStr">
        <is>
          <t>1 min</t>
        </is>
      </c>
      <c r="N92" s="16" t="inlineStr">
        <is>
          <t xml:space="preserve">          1M             1M           805K</t>
        </is>
      </c>
      <c r="O92" s="16" t="inlineStr">
        <is>
          <t>7bQsj9DciGXs6cTkhB3D1WbcEjuMpmD7amQRWjEVBpu</t>
        </is>
      </c>
      <c r="P92" s="16">
        <f>HYPERLINK("https://dexscreener.com/solana/7bQsj9DciGXs6cTkhB3D1WbcEjuMpmD7amQRWjEVBpu", "View")</f>
        <v/>
      </c>
    </row>
    <row r="93">
      <c r="A93" s="19" t="inlineStr">
        <is>
          <t>TEST</t>
        </is>
      </c>
      <c r="B93" s="20" t="n">
        <v>1785358</v>
      </c>
      <c r="C93" s="20" t="n">
        <v>1785357</v>
      </c>
      <c r="D93" s="20" t="inlineStr">
        <is>
          <t>0.000230</t>
        </is>
      </c>
      <c r="E93" s="20" t="inlineStr">
        <is>
          <t>0.056 SOL</t>
        </is>
      </c>
      <c r="F93" s="20" t="inlineStr">
        <is>
          <t>0.046 SOL</t>
        </is>
      </c>
      <c r="G93" s="21" t="inlineStr">
        <is>
          <t>-0.010 SOL</t>
        </is>
      </c>
      <c r="H93" s="21" t="inlineStr">
        <is>
          <t>-17.04%</t>
        </is>
      </c>
      <c r="I93" s="20" t="inlineStr">
        <is>
          <t>N/A</t>
        </is>
      </c>
      <c r="J93" s="20" t="n">
        <v>1</v>
      </c>
      <c r="K93" s="20" t="n">
        <v>1</v>
      </c>
      <c r="L93" s="20" t="inlineStr">
        <is>
          <t>06.10.2024 19:49:53</t>
        </is>
      </c>
      <c r="M93" s="18" t="inlineStr">
        <is>
          <t>35 sec</t>
        </is>
      </c>
      <c r="N93" s="20" t="inlineStr">
        <is>
          <t xml:space="preserve">        N/A           N/A           N/A</t>
        </is>
      </c>
      <c r="O93" s="20" t="inlineStr">
        <is>
          <t>676ysbBaAxYFoMm7ja3Cmdi3U1EXK92zpkKLx5nrhpvf</t>
        </is>
      </c>
      <c r="P93" s="20">
        <f>HYPERLINK("https://photon-sol.tinyastro.io/en/lp/676ysbBaAxYFoMm7ja3Cmdi3U1EXK92zpkKLx5nrhpvf?handle=676050794bc1b1657a56b", "View")</f>
        <v/>
      </c>
    </row>
    <row r="94">
      <c r="A94" s="15" t="inlineStr">
        <is>
          <t>CASH</t>
        </is>
      </c>
      <c r="B94" s="16" t="n">
        <v>1665027</v>
      </c>
      <c r="C94" s="16" t="n">
        <v>1665027</v>
      </c>
      <c r="D94" s="16" t="inlineStr">
        <is>
          <t>0.000230</t>
        </is>
      </c>
      <c r="E94" s="16" t="inlineStr">
        <is>
          <t>0.056 SOL</t>
        </is>
      </c>
      <c r="F94" s="16" t="inlineStr">
        <is>
          <t>0.046 SOL</t>
        </is>
      </c>
      <c r="G94" s="21" t="inlineStr">
        <is>
          <t>-0.009 SOL</t>
        </is>
      </c>
      <c r="H94" s="21" t="inlineStr">
        <is>
          <t>-17.02%</t>
        </is>
      </c>
      <c r="I94" s="16" t="inlineStr">
        <is>
          <t>N/A</t>
        </is>
      </c>
      <c r="J94" s="16" t="n">
        <v>1</v>
      </c>
      <c r="K94" s="16" t="n">
        <v>1</v>
      </c>
      <c r="L94" s="16" t="inlineStr">
        <is>
          <t>06.10.2024 19:48:40</t>
        </is>
      </c>
      <c r="M94" s="18" t="inlineStr">
        <is>
          <t>42 sec</t>
        </is>
      </c>
      <c r="N94" s="16" t="inlineStr">
        <is>
          <t xml:space="preserve">        N/A           N/A           N/A</t>
        </is>
      </c>
      <c r="O94" s="16" t="inlineStr">
        <is>
          <t>uFHfE7vMdwbELsRjicMALWnY8hCzk8aQkXsbJW7pump</t>
        </is>
      </c>
      <c r="P94" s="16">
        <f>HYPERLINK("https://photon-sol.tinyastro.io/en/lp/uFHfE7vMdwbELsRjicMALWnY8hCzk8aQkXsbJW7pump?handle=676050794bc1b1657a56b", "View")</f>
        <v/>
      </c>
    </row>
    <row r="95">
      <c r="A95" s="19" t="inlineStr">
        <is>
          <t>mancat</t>
        </is>
      </c>
      <c r="B95" s="20" t="n">
        <v>13150941</v>
      </c>
      <c r="C95" s="20" t="n">
        <v>13150941</v>
      </c>
      <c r="D95" s="20" t="inlineStr">
        <is>
          <t>0.011730</t>
        </is>
      </c>
      <c r="E95" s="20" t="inlineStr">
        <is>
          <t>4.000 SOL</t>
        </is>
      </c>
      <c r="F95" s="20" t="inlineStr">
        <is>
          <t>5.674 SOL</t>
        </is>
      </c>
      <c r="G95" s="22" t="inlineStr">
        <is>
          <t>1.663 SOL</t>
        </is>
      </c>
      <c r="H95" s="22" t="inlineStr">
        <is>
          <t>41.45%</t>
        </is>
      </c>
      <c r="I95" s="20" t="inlineStr">
        <is>
          <t>N/A</t>
        </is>
      </c>
      <c r="J95" s="20" t="n">
        <v>1</v>
      </c>
      <c r="K95" s="20" t="n">
        <v>1</v>
      </c>
      <c r="L95" s="20" t="inlineStr">
        <is>
          <t>03.10.2024 23:24:34</t>
        </is>
      </c>
      <c r="M95" s="18" t="inlineStr">
        <is>
          <t>10 sec</t>
        </is>
      </c>
      <c r="N95" s="20" t="inlineStr">
        <is>
          <t xml:space="preserve">         53K            75K             6K</t>
        </is>
      </c>
      <c r="O95" s="20" t="inlineStr">
        <is>
          <t>6ZvA7thtPgmTRgmXWfia5uNtShEBrY4YTVfLkY2suYZ9</t>
        </is>
      </c>
      <c r="P95" s="20">
        <f>HYPERLINK("https://dexscreener.com/solana/6ZvA7thtPgmTRgmXWfia5uNtShEBrY4YTVfLkY2suYZ9", "View")</f>
        <v/>
      </c>
    </row>
    <row r="96">
      <c r="A96" s="15" t="inlineStr">
        <is>
          <t>MISSILE</t>
        </is>
      </c>
      <c r="B96" s="16" t="n">
        <v>4088858</v>
      </c>
      <c r="C96" s="16" t="n">
        <v>4088858</v>
      </c>
      <c r="D96" s="16" t="inlineStr">
        <is>
          <t>0.131010</t>
        </is>
      </c>
      <c r="E96" s="16" t="inlineStr">
        <is>
          <t>1.972 SOL</t>
        </is>
      </c>
      <c r="F96" s="16" t="inlineStr">
        <is>
          <t>1.699 SOL</t>
        </is>
      </c>
      <c r="G96" s="21" t="inlineStr">
        <is>
          <t>-0.404 SOL</t>
        </is>
      </c>
      <c r="H96" s="21" t="inlineStr">
        <is>
          <t>-19.23%</t>
        </is>
      </c>
      <c r="I96" s="16" t="inlineStr">
        <is>
          <t>N/A</t>
        </is>
      </c>
      <c r="J96" s="16" t="n">
        <v>1</v>
      </c>
      <c r="K96" s="16" t="n">
        <v>1</v>
      </c>
      <c r="L96" s="16" t="inlineStr">
        <is>
          <t>01.10.2024 16:59:16</t>
        </is>
      </c>
      <c r="M96" s="18" t="inlineStr">
        <is>
          <t>15 sec</t>
        </is>
      </c>
      <c r="N96" s="16" t="inlineStr">
        <is>
          <t xml:space="preserve">         84K            74K             3K</t>
        </is>
      </c>
      <c r="O96" s="16" t="inlineStr">
        <is>
          <t>2x1KALH1oBkqPmmYqsAB3CX9VnYQgCGdvwCDxjrxQj49</t>
        </is>
      </c>
      <c r="P96" s="16">
        <f>HYPERLINK("https://dexscreener.com/solana/2x1KALH1oBkqPmmYqsAB3CX9VnYQgCGdvwCDxjrxQj49", "View")</f>
        <v/>
      </c>
    </row>
    <row r="97">
      <c r="A97" s="19" t="inlineStr">
        <is>
          <t>ARC</t>
        </is>
      </c>
      <c r="B97" s="20" t="n">
        <v>18951047</v>
      </c>
      <c r="C97" s="20" t="n">
        <v>18951047</v>
      </c>
      <c r="D97" s="20" t="inlineStr">
        <is>
          <t>0.011730</t>
        </is>
      </c>
      <c r="E97" s="20" t="inlineStr">
        <is>
          <t>1.993 SOL</t>
        </is>
      </c>
      <c r="F97" s="20" t="inlineStr">
        <is>
          <t>1.639 SOL</t>
        </is>
      </c>
      <c r="G97" s="21" t="inlineStr">
        <is>
          <t>-0.366 SOL</t>
        </is>
      </c>
      <c r="H97" s="21" t="inlineStr">
        <is>
          <t>-18.25%</t>
        </is>
      </c>
      <c r="I97" s="20" t="inlineStr">
        <is>
          <t>N/A</t>
        </is>
      </c>
      <c r="J97" s="20" t="n">
        <v>1</v>
      </c>
      <c r="K97" s="20" t="n">
        <v>1</v>
      </c>
      <c r="L97" s="20" t="inlineStr">
        <is>
          <t>01.10.2024 16:36:05</t>
        </is>
      </c>
      <c r="M97" s="18" t="inlineStr">
        <is>
          <t>6 sec</t>
        </is>
      </c>
      <c r="N97" s="20" t="inlineStr">
        <is>
          <t xml:space="preserve">        N/A           N/A           N/A</t>
        </is>
      </c>
      <c r="O97" s="20" t="inlineStr">
        <is>
          <t>5Te2jsmjoJckarotptArMQmpzQ5mEgBNUXDKJxjCpump</t>
        </is>
      </c>
      <c r="P97" s="20">
        <f>HYPERLINK("https://photon-sol.tinyastro.io/en/lp/5Te2jsmjoJckarotptArMQmpzQ5mEgBNUXDKJxjCpump?handle=676050794bc1b1657a56b", "View")</f>
        <v/>
      </c>
    </row>
    <row r="98">
      <c r="A98" s="15" t="inlineStr">
        <is>
          <t>GLORIA</t>
        </is>
      </c>
      <c r="B98" s="16" t="n">
        <v>3316823</v>
      </c>
      <c r="C98" s="16" t="n">
        <v>3316823</v>
      </c>
      <c r="D98" s="16" t="inlineStr">
        <is>
          <t>0.011610</t>
        </is>
      </c>
      <c r="E98" s="16" t="inlineStr">
        <is>
          <t>1.110 SOL</t>
        </is>
      </c>
      <c r="F98" s="16" t="inlineStr">
        <is>
          <t>1.036 SOL</t>
        </is>
      </c>
      <c r="G98" s="21" t="inlineStr">
        <is>
          <t>-0.086 SOL</t>
        </is>
      </c>
      <c r="H98" s="21" t="inlineStr">
        <is>
          <t>-7.68%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30.09.2024 20:36:57</t>
        </is>
      </c>
      <c r="M98" s="18" t="inlineStr">
        <is>
          <t>39 sec</t>
        </is>
      </c>
      <c r="N98" s="16" t="inlineStr">
        <is>
          <t xml:space="preserve">         58K            54K             3K</t>
        </is>
      </c>
      <c r="O98" s="16" t="inlineStr">
        <is>
          <t>833qDchWq3sBLtiFQ9LzUqX8FGXuGNBaGXiaxCsGpump</t>
        </is>
      </c>
      <c r="P98" s="16">
        <f>HYPERLINK("https://dexscreener.com/solana/833qDchWq3sBLtiFQ9LzUqX8FGXuGNBaGXiaxCsGpump", "View")</f>
        <v/>
      </c>
    </row>
    <row r="99">
      <c r="A99" s="19" t="inlineStr">
        <is>
          <t>ping</t>
        </is>
      </c>
      <c r="B99" s="20" t="n">
        <v>3991384</v>
      </c>
      <c r="C99" s="20" t="n">
        <v>3991384</v>
      </c>
      <c r="D99" s="20" t="inlineStr">
        <is>
          <t>0.182030</t>
        </is>
      </c>
      <c r="E99" s="20" t="inlineStr">
        <is>
          <t>2.500 SOL</t>
        </is>
      </c>
      <c r="F99" s="20" t="inlineStr">
        <is>
          <t>6.039 SOL</t>
        </is>
      </c>
      <c r="G99" s="23" t="inlineStr">
        <is>
          <t>3.357 SOL</t>
        </is>
      </c>
      <c r="H99" s="23" t="inlineStr">
        <is>
          <t>125.16%</t>
        </is>
      </c>
      <c r="I99" s="20" t="inlineStr">
        <is>
          <t>N/A</t>
        </is>
      </c>
      <c r="J99" s="20" t="n">
        <v>1</v>
      </c>
      <c r="K99" s="20" t="n">
        <v>3</v>
      </c>
      <c r="L99" s="20" t="inlineStr">
        <is>
          <t>29.09.2024 23:50:27</t>
        </is>
      </c>
      <c r="M99" s="18" t="inlineStr">
        <is>
          <t>18 sec</t>
        </is>
      </c>
      <c r="N99" s="20" t="inlineStr">
        <is>
          <t xml:space="preserve">        111K           355K             2M</t>
        </is>
      </c>
      <c r="O99" s="20" t="inlineStr">
        <is>
          <t>BCzSJeyX2uVcDrTHzq49Do4vCyL4ZKM4DDo4VhVxpump</t>
        </is>
      </c>
      <c r="P99" s="20">
        <f>HYPERLINK("https://dexscreener.com/solana/BCzSJeyX2uVcDrTHzq49Do4vCyL4ZKM4DDo4VhVxpump", "View")</f>
        <v/>
      </c>
    </row>
    <row r="100">
      <c r="A100" s="15" t="inlineStr">
        <is>
          <t>Moo waan</t>
        </is>
      </c>
      <c r="B100" s="16" t="n">
        <v>98557913</v>
      </c>
      <c r="C100" s="16" t="n">
        <v>98557913</v>
      </c>
      <c r="D100" s="16" t="inlineStr">
        <is>
          <t>0.011610</t>
        </is>
      </c>
      <c r="E100" s="16" t="inlineStr">
        <is>
          <t>4.154 SOL</t>
        </is>
      </c>
      <c r="F100" s="16" t="inlineStr">
        <is>
          <t>2.992 SOL</t>
        </is>
      </c>
      <c r="G100" s="21" t="inlineStr">
        <is>
          <t>-1.173 SOL</t>
        </is>
      </c>
      <c r="H100" s="21" t="inlineStr">
        <is>
          <t>-28.17%</t>
        </is>
      </c>
      <c r="I100" s="16" t="inlineStr">
        <is>
          <t>N/A</t>
        </is>
      </c>
      <c r="J100" s="16" t="n">
        <v>1</v>
      </c>
      <c r="K100" s="16" t="n">
        <v>1</v>
      </c>
      <c r="L100" s="16" t="inlineStr">
        <is>
          <t>29.09.2024 06:34:21</t>
        </is>
      </c>
      <c r="M100" s="18" t="inlineStr">
        <is>
          <t>8 sec</t>
        </is>
      </c>
      <c r="N100" s="16" t="inlineStr">
        <is>
          <t xml:space="preserve">        N/A           N/A           N/A</t>
        </is>
      </c>
      <c r="O100" s="16" t="inlineStr">
        <is>
          <t>6hvXQKzthpSmwNU7EnBMjCUUK1eKw5UAjoXyK6Mwpump</t>
        </is>
      </c>
      <c r="P100" s="16">
        <f>HYPERLINK("https://photon-sol.tinyastro.io/en/lp/6hvXQKzthpSmwNU7EnBMjCUUK1eKw5UAjoXyK6Mwpump?handle=676050794bc1b1657a56b", "View")</f>
        <v/>
      </c>
    </row>
    <row r="101">
      <c r="A101" s="19" t="inlineStr">
        <is>
          <t>Moo waan</t>
        </is>
      </c>
      <c r="B101" s="20" t="n">
        <v>84878049</v>
      </c>
      <c r="C101" s="20" t="n">
        <v>84878049</v>
      </c>
      <c r="D101" s="20" t="inlineStr">
        <is>
          <t>0.133130</t>
        </is>
      </c>
      <c r="E101" s="20" t="inlineStr">
        <is>
          <t>4.153 SOL</t>
        </is>
      </c>
      <c r="F101" s="20" t="inlineStr">
        <is>
          <t>4.245 SOL</t>
        </is>
      </c>
      <c r="G101" s="21" t="inlineStr">
        <is>
          <t>-0.041 SOL</t>
        </is>
      </c>
      <c r="H101" s="21" t="inlineStr">
        <is>
          <t>-0.96%</t>
        </is>
      </c>
      <c r="I101" s="20" t="inlineStr">
        <is>
          <t>N/A</t>
        </is>
      </c>
      <c r="J101" s="20" t="n">
        <v>1</v>
      </c>
      <c r="K101" s="20" t="n">
        <v>2</v>
      </c>
      <c r="L101" s="20" t="inlineStr">
        <is>
          <t>29.09.2024 06:34:20</t>
        </is>
      </c>
      <c r="M101" s="18" t="inlineStr">
        <is>
          <t>11 sec</t>
        </is>
      </c>
      <c r="N101" s="20" t="inlineStr">
        <is>
          <t xml:space="preserve">        N/A           N/A           N/A</t>
        </is>
      </c>
      <c r="O101" s="20" t="inlineStr">
        <is>
          <t>Ddxf5bWe9j5FV4Qjh4fcjAtvGH6gYjRUrwQ9EhHUpump</t>
        </is>
      </c>
      <c r="P101" s="20">
        <f>HYPERLINK("https://photon-sol.tinyastro.io/en/lp/Ddxf5bWe9j5FV4Qjh4fcjAtvGH6gYjRUrwQ9EhHUpump?handle=676050794bc1b1657a56b", "View")</f>
        <v/>
      </c>
    </row>
    <row r="102">
      <c r="A102" s="15" t="inlineStr">
        <is>
          <t>NIGHT ZOO</t>
        </is>
      </c>
      <c r="B102" s="16" t="n">
        <v>18957213</v>
      </c>
      <c r="C102" s="16" t="n">
        <v>18957213</v>
      </c>
      <c r="D102" s="16" t="inlineStr">
        <is>
          <t>0.022240</t>
        </is>
      </c>
      <c r="E102" s="16" t="inlineStr">
        <is>
          <t>1.993 SOL</t>
        </is>
      </c>
      <c r="F102" s="16" t="inlineStr">
        <is>
          <t>1.921 SOL</t>
        </is>
      </c>
      <c r="G102" s="21" t="inlineStr">
        <is>
          <t>-0.094 SOL</t>
        </is>
      </c>
      <c r="H102" s="21" t="inlineStr">
        <is>
          <t>-4.68%</t>
        </is>
      </c>
      <c r="I102" s="16" t="inlineStr">
        <is>
          <t>N/A</t>
        </is>
      </c>
      <c r="J102" s="16" t="n">
        <v>1</v>
      </c>
      <c r="K102" s="16" t="n">
        <v>1</v>
      </c>
      <c r="L102" s="16" t="inlineStr">
        <is>
          <t>28.09.2024 03:26:29</t>
        </is>
      </c>
      <c r="M102" s="18" t="inlineStr">
        <is>
          <t>5 sec</t>
        </is>
      </c>
      <c r="N102" s="16" t="inlineStr">
        <is>
          <t xml:space="preserve">        N/A           N/A           N/A</t>
        </is>
      </c>
      <c r="O102" s="16" t="inlineStr">
        <is>
          <t>5S6LMVEPNyc5yS7bXA8xhieJLvpNT3hPo9qYapZL9bQw</t>
        </is>
      </c>
      <c r="P102" s="16">
        <f>HYPERLINK("https://photon-sol.tinyastro.io/en/lp/5S6LMVEPNyc5yS7bXA8xhieJLvpNT3hPo9qYapZL9bQw?handle=676050794bc1b1657a56b", "View")</f>
        <v/>
      </c>
    </row>
    <row r="103">
      <c r="A103" s="19" t="inlineStr">
        <is>
          <t>DEGG</t>
        </is>
      </c>
      <c r="B103" s="20" t="n">
        <v>9017387</v>
      </c>
      <c r="C103" s="20" t="n">
        <v>9017387</v>
      </c>
      <c r="D103" s="20" t="inlineStr">
        <is>
          <t>0.022240</t>
        </is>
      </c>
      <c r="E103" s="20" t="inlineStr">
        <is>
          <t>1.993 SOL</t>
        </is>
      </c>
      <c r="F103" s="20" t="inlineStr">
        <is>
          <t>3.065 SOL</t>
        </is>
      </c>
      <c r="G103" s="23" t="inlineStr">
        <is>
          <t>1.049 SOL</t>
        </is>
      </c>
      <c r="H103" s="23" t="inlineStr">
        <is>
          <t>52.06%</t>
        </is>
      </c>
      <c r="I103" s="20" t="inlineStr">
        <is>
          <t>N/A</t>
        </is>
      </c>
      <c r="J103" s="20" t="n">
        <v>1</v>
      </c>
      <c r="K103" s="20" t="n">
        <v>1</v>
      </c>
      <c r="L103" s="20" t="inlineStr">
        <is>
          <t>27.09.2024 18:17:39</t>
        </is>
      </c>
      <c r="M103" s="18" t="inlineStr">
        <is>
          <t>14 sec</t>
        </is>
      </c>
      <c r="N103" s="20" t="inlineStr">
        <is>
          <t xml:space="preserve">         39K            60K             4K</t>
        </is>
      </c>
      <c r="O103" s="20" t="inlineStr">
        <is>
          <t>aKtzSjkmrF2oQx7H6aFSBPtRXCvLLkDNt5L4wNqzRNp</t>
        </is>
      </c>
      <c r="P103" s="20">
        <f>HYPERLINK("https://photon-sol.tinyastro.io/en/lp/aKtzSjkmrF2oQx7H6aFSBPtRXCvLLkDNt5L4wNqzRNp?handle=676050794bc1b1657a56b", "View")</f>
        <v/>
      </c>
    </row>
    <row r="104">
      <c r="A104" s="15" t="inlineStr">
        <is>
          <t>puff</t>
        </is>
      </c>
      <c r="B104" s="16" t="n">
        <v>2963073</v>
      </c>
      <c r="C104" s="16" t="n">
        <v>2963073</v>
      </c>
      <c r="D104" s="16" t="inlineStr">
        <is>
          <t>0.166150</t>
        </is>
      </c>
      <c r="E104" s="16" t="inlineStr">
        <is>
          <t>2.500 SOL</t>
        </is>
      </c>
      <c r="F104" s="16" t="inlineStr">
        <is>
          <t>3.943 SOL</t>
        </is>
      </c>
      <c r="G104" s="22" t="inlineStr">
        <is>
          <t>1.277 SOL</t>
        </is>
      </c>
      <c r="H104" s="22" t="inlineStr">
        <is>
          <t>47.88%</t>
        </is>
      </c>
      <c r="I104" s="16" t="inlineStr">
        <is>
          <t>N/A</t>
        </is>
      </c>
      <c r="J104" s="16" t="n">
        <v>1</v>
      </c>
      <c r="K104" s="16" t="n">
        <v>3</v>
      </c>
      <c r="L104" s="16" t="inlineStr">
        <is>
          <t>27.09.2024 17:10:47</t>
        </is>
      </c>
      <c r="M104" s="16" t="inlineStr">
        <is>
          <t>1 min</t>
        </is>
      </c>
      <c r="N104" s="16" t="inlineStr">
        <is>
          <t xml:space="preserve">        147K           225K            86K</t>
        </is>
      </c>
      <c r="O104" s="16" t="inlineStr">
        <is>
          <t>9DZvu8yahirm6NagRa7Cm484VbUwZYKRm3xvpMrbpump</t>
        </is>
      </c>
      <c r="P104" s="16">
        <f>HYPERLINK("https://dexscreener.com/solana/9DZvu8yahirm6NagRa7Cm484VbUwZYKRm3xvpMrbpump", "View")</f>
        <v/>
      </c>
    </row>
    <row r="105">
      <c r="A105" s="19" t="inlineStr">
        <is>
          <t>ZOO</t>
        </is>
      </c>
      <c r="B105" s="20" t="n">
        <v>37620780</v>
      </c>
      <c r="C105" s="20" t="n">
        <v>37620780</v>
      </c>
      <c r="D105" s="20" t="inlineStr">
        <is>
          <t>0.011720</t>
        </is>
      </c>
      <c r="E105" s="20" t="inlineStr">
        <is>
          <t>1.994 SOL</t>
        </is>
      </c>
      <c r="F105" s="20" t="inlineStr">
        <is>
          <t>1.740 SOL</t>
        </is>
      </c>
      <c r="G105" s="21" t="inlineStr">
        <is>
          <t>-0.266 SOL</t>
        </is>
      </c>
      <c r="H105" s="21" t="inlineStr">
        <is>
          <t>-13.26%</t>
        </is>
      </c>
      <c r="I105" s="20" t="inlineStr">
        <is>
          <t>N/A</t>
        </is>
      </c>
      <c r="J105" s="20" t="n">
        <v>1</v>
      </c>
      <c r="K105" s="20" t="n">
        <v>1</v>
      </c>
      <c r="L105" s="20" t="inlineStr">
        <is>
          <t>27.09.2024 16:24:25</t>
        </is>
      </c>
      <c r="M105" s="18" t="inlineStr">
        <is>
          <t>7 sec</t>
        </is>
      </c>
      <c r="N105" s="20" t="inlineStr">
        <is>
          <t xml:space="preserve">        N/A           N/A           N/A</t>
        </is>
      </c>
      <c r="O105" s="20" t="inlineStr">
        <is>
          <t>97X3ueNvfmdEska5q9dcyr29QTWvfTjc934NwtSapump</t>
        </is>
      </c>
      <c r="P105" s="20">
        <f>HYPERLINK("https://photon-sol.tinyastro.io/en/lp/97X3ueNvfmdEska5q9dcyr29QTWvfTjc934NwtSapump?handle=676050794bc1b1657a56b", "View")</f>
        <v/>
      </c>
    </row>
    <row r="106">
      <c r="A106" s="15" t="inlineStr">
        <is>
          <t>PUMPZOO</t>
        </is>
      </c>
      <c r="B106" s="16" t="n">
        <v>14984909</v>
      </c>
      <c r="C106" s="16" t="n">
        <v>14984909</v>
      </c>
      <c r="D106" s="16" t="inlineStr">
        <is>
          <t>0.011720</t>
        </is>
      </c>
      <c r="E106" s="16" t="inlineStr">
        <is>
          <t>1.993 SOL</t>
        </is>
      </c>
      <c r="F106" s="16" t="inlineStr">
        <is>
          <t>0.771 SOL</t>
        </is>
      </c>
      <c r="G106" s="24" t="inlineStr">
        <is>
          <t>-1.234 SOL</t>
        </is>
      </c>
      <c r="H106" s="24" t="inlineStr">
        <is>
          <t>-61.57%</t>
        </is>
      </c>
      <c r="I106" s="16" t="inlineStr">
        <is>
          <t>N/A</t>
        </is>
      </c>
      <c r="J106" s="16" t="n">
        <v>1</v>
      </c>
      <c r="K106" s="16" t="n">
        <v>1</v>
      </c>
      <c r="L106" s="16" t="inlineStr">
        <is>
          <t>27.09.2024 16:19:47</t>
        </is>
      </c>
      <c r="M106" s="18" t="inlineStr">
        <is>
          <t>19 sec</t>
        </is>
      </c>
      <c r="N106" s="16" t="inlineStr">
        <is>
          <t xml:space="preserve">        N/A           N/A           N/A</t>
        </is>
      </c>
      <c r="O106" s="16" t="inlineStr">
        <is>
          <t>6XfbGCyf4N1DyhaBNHqdutHE1eSaaKu6MVAovHdUpump</t>
        </is>
      </c>
      <c r="P106" s="16">
        <f>HYPERLINK("https://photon-sol.tinyastro.io/en/lp/6XfbGCyf4N1DyhaBNHqdutHE1eSaaKu6MVAovHdUpump?handle=676050794bc1b1657a56b", "View")</f>
        <v/>
      </c>
    </row>
    <row r="107">
      <c r="A107" s="19" t="inlineStr">
        <is>
          <t>Millenials</t>
        </is>
      </c>
      <c r="B107" s="20" t="n">
        <v>44545852</v>
      </c>
      <c r="C107" s="20" t="n">
        <v>44545852</v>
      </c>
      <c r="D107" s="20" t="inlineStr">
        <is>
          <t>0.022240</t>
        </is>
      </c>
      <c r="E107" s="20" t="inlineStr">
        <is>
          <t>1.993 SOL</t>
        </is>
      </c>
      <c r="F107" s="20" t="inlineStr">
        <is>
          <t>2.530 SOL</t>
        </is>
      </c>
      <c r="G107" s="22" t="inlineStr">
        <is>
          <t>0.514 SOL</t>
        </is>
      </c>
      <c r="H107" s="22" t="inlineStr">
        <is>
          <t>25.52%</t>
        </is>
      </c>
      <c r="I107" s="20" t="inlineStr">
        <is>
          <t>N/A</t>
        </is>
      </c>
      <c r="J107" s="20" t="n">
        <v>1</v>
      </c>
      <c r="K107" s="20" t="n">
        <v>1</v>
      </c>
      <c r="L107" s="20" t="inlineStr">
        <is>
          <t>27.09.2024 16:04:07</t>
        </is>
      </c>
      <c r="M107" s="18" t="inlineStr">
        <is>
          <t>3 sec</t>
        </is>
      </c>
      <c r="N107" s="20" t="inlineStr">
        <is>
          <t xml:space="preserve">        N/A           N/A           N/A</t>
        </is>
      </c>
      <c r="O107" s="20" t="inlineStr">
        <is>
          <t>GhFiua8iX847ApFwiuvc9n2pPyqkgdNeTErE4D9xpump</t>
        </is>
      </c>
      <c r="P107" s="20">
        <f>HYPERLINK("https://photon-sol.tinyastro.io/en/lp/GhFiua8iX847ApFwiuvc9n2pPyqkgdNeTErE4D9xpump?handle=676050794bc1b1657a56b", "View")</f>
        <v/>
      </c>
    </row>
    <row r="108">
      <c r="A108" s="15" t="inlineStr">
        <is>
          <t>BOOMER</t>
        </is>
      </c>
      <c r="B108" s="16" t="n">
        <v>12543870</v>
      </c>
      <c r="C108" s="16" t="n">
        <v>12543870</v>
      </c>
      <c r="D108" s="16" t="inlineStr">
        <is>
          <t>0.001210</t>
        </is>
      </c>
      <c r="E108" s="16" t="inlineStr">
        <is>
          <t>1.994 SOL</t>
        </is>
      </c>
      <c r="F108" s="16" t="inlineStr">
        <is>
          <t>1.807 SOL</t>
        </is>
      </c>
      <c r="G108" s="21" t="inlineStr">
        <is>
          <t>-0.188 SOL</t>
        </is>
      </c>
      <c r="H108" s="21" t="inlineStr">
        <is>
          <t>-9.44%</t>
        </is>
      </c>
      <c r="I108" s="16" t="inlineStr">
        <is>
          <t>N/A</t>
        </is>
      </c>
      <c r="J108" s="16" t="n">
        <v>1</v>
      </c>
      <c r="K108" s="16" t="n">
        <v>1</v>
      </c>
      <c r="L108" s="16" t="inlineStr">
        <is>
          <t>27.09.2024 15:58:24</t>
        </is>
      </c>
      <c r="M108" s="18" t="inlineStr">
        <is>
          <t>34 sec</t>
        </is>
      </c>
      <c r="N108" s="16" t="inlineStr">
        <is>
          <t xml:space="preserve">        N/A           N/A           N/A</t>
        </is>
      </c>
      <c r="O108" s="16" t="inlineStr">
        <is>
          <t>B2B4imijNxa8KNaTCFxjA84jhiySyJms8vtSayoLpump</t>
        </is>
      </c>
      <c r="P108" s="16">
        <f>HYPERLINK("https://photon-sol.tinyastro.io/en/lp/B2B4imijNxa8KNaTCFxjA84jhiySyJms8vtSayoLpump?handle=676050794bc1b1657a56b", "View")</f>
        <v/>
      </c>
    </row>
    <row r="109">
      <c r="A109" s="19" t="inlineStr">
        <is>
          <t>Skibidog</t>
        </is>
      </c>
      <c r="B109" s="20" t="n">
        <v>50558293</v>
      </c>
      <c r="C109" s="20" t="n">
        <v>50558293</v>
      </c>
      <c r="D109" s="20" t="inlineStr">
        <is>
          <t>0.011720</t>
        </is>
      </c>
      <c r="E109" s="20" t="inlineStr">
        <is>
          <t>1.993 SOL</t>
        </is>
      </c>
      <c r="F109" s="20" t="inlineStr">
        <is>
          <t>1.928 SOL</t>
        </is>
      </c>
      <c r="G109" s="21" t="inlineStr">
        <is>
          <t>-0.077 SOL</t>
        </is>
      </c>
      <c r="H109" s="21" t="inlineStr">
        <is>
          <t>-3.83%</t>
        </is>
      </c>
      <c r="I109" s="20" t="inlineStr">
        <is>
          <t>N/A</t>
        </is>
      </c>
      <c r="J109" s="20" t="n">
        <v>1</v>
      </c>
      <c r="K109" s="20" t="n">
        <v>1</v>
      </c>
      <c r="L109" s="20" t="inlineStr">
        <is>
          <t>27.09.2024 15:55:54</t>
        </is>
      </c>
      <c r="M109" s="18" t="inlineStr">
        <is>
          <t>4 sec</t>
        </is>
      </c>
      <c r="N109" s="20" t="inlineStr">
        <is>
          <t xml:space="preserve">        N/A           N/A           N/A</t>
        </is>
      </c>
      <c r="O109" s="20" t="inlineStr">
        <is>
          <t>JBhvCinNLZwngLNA39SNjxXd5KeKVvfRsXNWneajpump</t>
        </is>
      </c>
      <c r="P109" s="20">
        <f>HYPERLINK("https://photon-sol.tinyastro.io/en/lp/JBhvCinNLZwngLNA39SNjxXd5KeKVvfRsXNWneajpump?handle=676050794bc1b1657a56b", "View")</f>
        <v/>
      </c>
    </row>
    <row r="110">
      <c r="A110" s="15" t="inlineStr">
        <is>
          <t>RIZZ</t>
        </is>
      </c>
      <c r="B110" s="16" t="n">
        <v>44936816</v>
      </c>
      <c r="C110" s="16" t="n">
        <v>44936816</v>
      </c>
      <c r="D110" s="16" t="inlineStr">
        <is>
          <t>0.022240</t>
        </is>
      </c>
      <c r="E110" s="16" t="inlineStr">
        <is>
          <t>1.993 SOL</t>
        </is>
      </c>
      <c r="F110" s="16" t="inlineStr">
        <is>
          <t>1.662 SOL</t>
        </is>
      </c>
      <c r="G110" s="21" t="inlineStr">
        <is>
          <t>-0.354 SOL</t>
        </is>
      </c>
      <c r="H110" s="21" t="inlineStr">
        <is>
          <t>-17.55%</t>
        </is>
      </c>
      <c r="I110" s="16" t="inlineStr">
        <is>
          <t>N/A</t>
        </is>
      </c>
      <c r="J110" s="16" t="n">
        <v>1</v>
      </c>
      <c r="K110" s="16" t="n">
        <v>1</v>
      </c>
      <c r="L110" s="16" t="inlineStr">
        <is>
          <t>27.09.2024 15:48:54</t>
        </is>
      </c>
      <c r="M110" s="18" t="inlineStr">
        <is>
          <t>4 sec</t>
        </is>
      </c>
      <c r="N110" s="16" t="inlineStr">
        <is>
          <t xml:space="preserve">        N/A           N/A           N/A</t>
        </is>
      </c>
      <c r="O110" s="16" t="inlineStr">
        <is>
          <t>8tJD48B93avnEw8HcGjY1En8G3BV2VRMPqFWSnHdpump</t>
        </is>
      </c>
      <c r="P110" s="16">
        <f>HYPERLINK("https://photon-sol.tinyastro.io/en/lp/8tJD48B93avnEw8HcGjY1En8G3BV2VRMPqFWSnHdpump?handle=676050794bc1b1657a56b", "View")</f>
        <v/>
      </c>
    </row>
    <row r="111">
      <c r="A111" s="19" t="inlineStr">
        <is>
          <t>BRAINROT</t>
        </is>
      </c>
      <c r="B111" s="20" t="n">
        <v>39474618</v>
      </c>
      <c r="C111" s="20" t="n">
        <v>39474618</v>
      </c>
      <c r="D111" s="20" t="inlineStr">
        <is>
          <t>0.011730</t>
        </is>
      </c>
      <c r="E111" s="20" t="inlineStr">
        <is>
          <t>1.993 SOL</t>
        </is>
      </c>
      <c r="F111" s="20" t="inlineStr">
        <is>
          <t>2.133 SOL</t>
        </is>
      </c>
      <c r="G111" s="22" t="inlineStr">
        <is>
          <t>0.128 SOL</t>
        </is>
      </c>
      <c r="H111" s="22" t="inlineStr">
        <is>
          <t>6.39%</t>
        </is>
      </c>
      <c r="I111" s="20" t="inlineStr">
        <is>
          <t>N/A</t>
        </is>
      </c>
      <c r="J111" s="20" t="n">
        <v>1</v>
      </c>
      <c r="K111" s="20" t="n">
        <v>1</v>
      </c>
      <c r="L111" s="20" t="inlineStr">
        <is>
          <t>27.09.2024 15:47:23</t>
        </is>
      </c>
      <c r="M111" s="18" t="inlineStr">
        <is>
          <t>3 sec</t>
        </is>
      </c>
      <c r="N111" s="20" t="inlineStr">
        <is>
          <t xml:space="preserve">        N/A           N/A           N/A</t>
        </is>
      </c>
      <c r="O111" s="20" t="inlineStr">
        <is>
          <t>8FBQeS4bnGkA4Vx8Qxr7mofbeTD6MaJvprfcx8YTpump</t>
        </is>
      </c>
      <c r="P111" s="20">
        <f>HYPERLINK("https://photon-sol.tinyastro.io/en/lp/8FBQeS4bnGkA4Vx8Qxr7mofbeTD6MaJvprfcx8YTpump?handle=676050794bc1b1657a56b", "View")</f>
        <v/>
      </c>
    </row>
    <row r="112">
      <c r="A112" s="15" t="inlineStr">
        <is>
          <t>ZWOIDBERG</t>
        </is>
      </c>
      <c r="B112" s="16" t="n">
        <v>22355772</v>
      </c>
      <c r="C112" s="16" t="n">
        <v>22355772</v>
      </c>
      <c r="D112" s="16" t="inlineStr">
        <is>
          <t>0.011730</t>
        </is>
      </c>
      <c r="E112" s="16" t="inlineStr">
        <is>
          <t>1.994 SOL</t>
        </is>
      </c>
      <c r="F112" s="16" t="inlineStr">
        <is>
          <t>1.540 SOL</t>
        </is>
      </c>
      <c r="G112" s="21" t="inlineStr">
        <is>
          <t>-0.466 SOL</t>
        </is>
      </c>
      <c r="H112" s="21" t="inlineStr">
        <is>
          <t>-23.22%</t>
        </is>
      </c>
      <c r="I112" s="16" t="inlineStr">
        <is>
          <t>N/A</t>
        </is>
      </c>
      <c r="J112" s="16" t="n">
        <v>1</v>
      </c>
      <c r="K112" s="16" t="n">
        <v>1</v>
      </c>
      <c r="L112" s="16" t="inlineStr">
        <is>
          <t>27.09.2024 15:40:52</t>
        </is>
      </c>
      <c r="M112" s="18" t="inlineStr">
        <is>
          <t>27 sec</t>
        </is>
      </c>
      <c r="N112" s="16" t="inlineStr">
        <is>
          <t xml:space="preserve">        N/A           N/A           N/A</t>
        </is>
      </c>
      <c r="O112" s="16" t="inlineStr">
        <is>
          <t>J76SAJd6XUg2qiazTGmiprfLm8zAym1gFNJrr1espump</t>
        </is>
      </c>
      <c r="P112" s="16">
        <f>HYPERLINK("https://photon-sol.tinyastro.io/en/lp/J76SAJd6XUg2qiazTGmiprfLm8zAym1gFNJrr1espump?handle=676050794bc1b1657a56b", "View")</f>
        <v/>
      </c>
    </row>
    <row r="113">
      <c r="A113" s="19" t="inlineStr">
        <is>
          <t>Coded</t>
        </is>
      </c>
      <c r="B113" s="20" t="n">
        <v>11716475</v>
      </c>
      <c r="C113" s="20" t="n">
        <v>11716475</v>
      </c>
      <c r="D113" s="20" t="inlineStr">
        <is>
          <t>0.182030</t>
        </is>
      </c>
      <c r="E113" s="20" t="inlineStr">
        <is>
          <t>2.500 SOL</t>
        </is>
      </c>
      <c r="F113" s="20" t="inlineStr">
        <is>
          <t>5.532 SOL</t>
        </is>
      </c>
      <c r="G113" s="23" t="inlineStr">
        <is>
          <t>2.850 SOL</t>
        </is>
      </c>
      <c r="H113" s="23" t="inlineStr">
        <is>
          <t>106.26%</t>
        </is>
      </c>
      <c r="I113" s="20" t="inlineStr">
        <is>
          <t>N/A</t>
        </is>
      </c>
      <c r="J113" s="20" t="n">
        <v>1</v>
      </c>
      <c r="K113" s="20" t="n">
        <v>3</v>
      </c>
      <c r="L113" s="20" t="inlineStr">
        <is>
          <t>27.09.2024 02:39:43</t>
        </is>
      </c>
      <c r="M113" s="18" t="inlineStr">
        <is>
          <t>38 sec</t>
        </is>
      </c>
      <c r="N113" s="20" t="inlineStr">
        <is>
          <t xml:space="preserve">         37K           109K           105K</t>
        </is>
      </c>
      <c r="O113" s="20" t="inlineStr">
        <is>
          <t>2Se6tpGxjBPvuvk93LphyvUKVk7M8J5LMQkKEf4Gpump</t>
        </is>
      </c>
      <c r="P113" s="20">
        <f>HYPERLINK("https://dexscreener.com/solana/2Se6tpGxjBPvuvk93LphyvUKVk7M8J5LMQkKEf4Gpump", "View")</f>
        <v/>
      </c>
    </row>
    <row r="114">
      <c r="A114" s="15" t="inlineStr">
        <is>
          <t>mFROG</t>
        </is>
      </c>
      <c r="B114" s="16" t="n">
        <v>4253757</v>
      </c>
      <c r="C114" s="16" t="n">
        <v>4253757</v>
      </c>
      <c r="D114" s="16" t="inlineStr">
        <is>
          <t>0.810810</t>
        </is>
      </c>
      <c r="E114" s="16" t="inlineStr">
        <is>
          <t>4.930 SOL</t>
        </is>
      </c>
      <c r="F114" s="16" t="inlineStr">
        <is>
          <t>104.240 SOL</t>
        </is>
      </c>
      <c r="G114" s="23" t="inlineStr">
        <is>
          <t>98.499 SOL</t>
        </is>
      </c>
      <c r="H114" s="23" t="inlineStr">
        <is>
          <t>1715.77%</t>
        </is>
      </c>
      <c r="I114" s="16" t="inlineStr">
        <is>
          <t>N/A</t>
        </is>
      </c>
      <c r="J114" s="16" t="n">
        <v>1</v>
      </c>
      <c r="K114" s="16" t="n">
        <v>3</v>
      </c>
      <c r="L114" s="16" t="inlineStr">
        <is>
          <t>27.09.2024 00:35:57</t>
        </is>
      </c>
      <c r="M114" s="18" t="inlineStr">
        <is>
          <t>4 sec</t>
        </is>
      </c>
      <c r="N114" s="16" t="inlineStr">
        <is>
          <t xml:space="preserve">        203K             4M           187K</t>
        </is>
      </c>
      <c r="O114" s="16" t="inlineStr">
        <is>
          <t>AF4ECxbK4C67ZLRttCmUw3hVzgMc7YJLmECWJwTwpozq</t>
        </is>
      </c>
      <c r="P114" s="16">
        <f>HYPERLINK("https://dexscreener.com/solana/AF4ECxbK4C67ZLRttCmUw3hVzgMc7YJLmECWJwTwpozq", "View")</f>
        <v/>
      </c>
    </row>
    <row r="115">
      <c r="A115" s="19" t="inlineStr">
        <is>
          <t>BETRAYAL</t>
        </is>
      </c>
      <c r="B115" s="20" t="n">
        <v>57358430</v>
      </c>
      <c r="C115" s="20" t="n">
        <v>57358430</v>
      </c>
      <c r="D115" s="20" t="inlineStr">
        <is>
          <t>0.011730</t>
        </is>
      </c>
      <c r="E115" s="20" t="inlineStr">
        <is>
          <t>1.993 SOL</t>
        </is>
      </c>
      <c r="F115" s="20" t="inlineStr">
        <is>
          <t>1.665 SOL</t>
        </is>
      </c>
      <c r="G115" s="21" t="inlineStr">
        <is>
          <t>-0.340 SOL</t>
        </is>
      </c>
      <c r="H115" s="21" t="inlineStr">
        <is>
          <t>-16.97%</t>
        </is>
      </c>
      <c r="I115" s="20" t="inlineStr">
        <is>
          <t>N/A</t>
        </is>
      </c>
      <c r="J115" s="20" t="n">
        <v>1</v>
      </c>
      <c r="K115" s="20" t="n">
        <v>1</v>
      </c>
      <c r="L115" s="20" t="inlineStr">
        <is>
          <t>27.09.2024 00:15:11</t>
        </is>
      </c>
      <c r="M115" s="18" t="inlineStr">
        <is>
          <t>5 sec</t>
        </is>
      </c>
      <c r="N115" s="20" t="inlineStr">
        <is>
          <t xml:space="preserve">        N/A           N/A           N/A</t>
        </is>
      </c>
      <c r="O115" s="20" t="inlineStr">
        <is>
          <t>Fr7Rp3KqrLhtskfefd3U7v3AdN1vqjsntRTshhMrpump</t>
        </is>
      </c>
      <c r="P115" s="20">
        <f>HYPERLINK("https://photon-sol.tinyastro.io/en/lp/Fr7Rp3KqrLhtskfefd3U7v3AdN1vqjsntRTshhMrpump?handle=676050794bc1b1657a56b", "View")</f>
        <v/>
      </c>
    </row>
    <row r="116">
      <c r="A116" s="15" t="inlineStr">
        <is>
          <t>GOON</t>
        </is>
      </c>
      <c r="B116" s="16" t="n">
        <v>37117213</v>
      </c>
      <c r="C116" s="16" t="n">
        <v>37117213</v>
      </c>
      <c r="D116" s="16" t="inlineStr">
        <is>
          <t>0.001210</t>
        </is>
      </c>
      <c r="E116" s="16" t="inlineStr">
        <is>
          <t>1.994 SOL</t>
        </is>
      </c>
      <c r="F116" s="16" t="inlineStr">
        <is>
          <t>2.222 SOL</t>
        </is>
      </c>
      <c r="G116" s="22" t="inlineStr">
        <is>
          <t>0.227 SOL</t>
        </is>
      </c>
      <c r="H116" s="22" t="inlineStr">
        <is>
          <t>11.38%</t>
        </is>
      </c>
      <c r="I116" s="16" t="inlineStr">
        <is>
          <t>N/A</t>
        </is>
      </c>
      <c r="J116" s="16" t="n">
        <v>1</v>
      </c>
      <c r="K116" s="16" t="n">
        <v>1</v>
      </c>
      <c r="L116" s="16" t="inlineStr">
        <is>
          <t>27.09.2024 00:14:04</t>
        </is>
      </c>
      <c r="M116" s="18" t="inlineStr">
        <is>
          <t>12 sec</t>
        </is>
      </c>
      <c r="N116" s="16" t="inlineStr">
        <is>
          <t xml:space="preserve">        N/A           N/A           N/A</t>
        </is>
      </c>
      <c r="O116" s="16" t="inlineStr">
        <is>
          <t>9LfWKW8ioMYi1u78Xqv2fYgkbip4SMCYoGg4istLpump</t>
        </is>
      </c>
      <c r="P116" s="16">
        <f>HYPERLINK("https://photon-sol.tinyastro.io/en/lp/9LfWKW8ioMYi1u78Xqv2fYgkbip4SMCYoGg4istLpump?handle=676050794bc1b1657a56b", "View")</f>
        <v/>
      </c>
    </row>
    <row r="117">
      <c r="A117" s="19" t="inlineStr">
        <is>
          <t>GUZ</t>
        </is>
      </c>
      <c r="B117" s="20" t="n">
        <v>35329502</v>
      </c>
      <c r="C117" s="20" t="n">
        <v>35329502</v>
      </c>
      <c r="D117" s="20" t="inlineStr">
        <is>
          <t>0.022240</t>
        </is>
      </c>
      <c r="E117" s="20" t="inlineStr">
        <is>
          <t>1.993 SOL</t>
        </is>
      </c>
      <c r="F117" s="20" t="inlineStr">
        <is>
          <t>1.859 SOL</t>
        </is>
      </c>
      <c r="G117" s="21" t="inlineStr">
        <is>
          <t>-0.157 SOL</t>
        </is>
      </c>
      <c r="H117" s="21" t="inlineStr">
        <is>
          <t>-7.77%</t>
        </is>
      </c>
      <c r="I117" s="20" t="inlineStr">
        <is>
          <t>N/A</t>
        </is>
      </c>
      <c r="J117" s="20" t="n">
        <v>1</v>
      </c>
      <c r="K117" s="20" t="n">
        <v>1</v>
      </c>
      <c r="L117" s="20" t="inlineStr">
        <is>
          <t>26.09.2024 21:45:57</t>
        </is>
      </c>
      <c r="M117" s="18" t="inlineStr">
        <is>
          <t>9 sec</t>
        </is>
      </c>
      <c r="N117" s="20" t="inlineStr">
        <is>
          <t xml:space="preserve">        N/A           N/A           N/A</t>
        </is>
      </c>
      <c r="O117" s="20" t="inlineStr">
        <is>
          <t>9yU5zTntGjzwffosmSQ7jGtbBzXhKosBoUYmRibMpump</t>
        </is>
      </c>
      <c r="P117" s="20">
        <f>HYPERLINK("https://photon-sol.tinyastro.io/en/lp/9yU5zTntGjzwffosmSQ7jGtbBzXhKosBoUYmRibMpump?handle=676050794bc1b1657a56b", "View")</f>
        <v/>
      </c>
    </row>
    <row r="118">
      <c r="A118" s="15" t="inlineStr">
        <is>
          <t>CABO</t>
        </is>
      </c>
      <c r="B118" s="16" t="n">
        <v>45042003</v>
      </c>
      <c r="C118" s="16" t="n">
        <v>45042003</v>
      </c>
      <c r="D118" s="16" t="inlineStr">
        <is>
          <t>0.022240</t>
        </is>
      </c>
      <c r="E118" s="16" t="inlineStr">
        <is>
          <t>1.993 SOL</t>
        </is>
      </c>
      <c r="F118" s="16" t="inlineStr">
        <is>
          <t>2.138 SOL</t>
        </is>
      </c>
      <c r="G118" s="22" t="inlineStr">
        <is>
          <t>0.122 SOL</t>
        </is>
      </c>
      <c r="H118" s="22" t="inlineStr">
        <is>
          <t>6.07%</t>
        </is>
      </c>
      <c r="I118" s="16" t="inlineStr">
        <is>
          <t>N/A</t>
        </is>
      </c>
      <c r="J118" s="16" t="n">
        <v>1</v>
      </c>
      <c r="K118" s="16" t="n">
        <v>1</v>
      </c>
      <c r="L118" s="16" t="inlineStr">
        <is>
          <t>25.09.2024 23:01:21</t>
        </is>
      </c>
      <c r="M118" s="18" t="inlineStr">
        <is>
          <t>4 sec</t>
        </is>
      </c>
      <c r="N118" s="16" t="inlineStr">
        <is>
          <t xml:space="preserve">        N/A           N/A           N/A</t>
        </is>
      </c>
      <c r="O118" s="16" t="inlineStr">
        <is>
          <t>CKAVX1JcaTXSpoDgbw7E5GLjYYrHg4WCpb1fchYApump</t>
        </is>
      </c>
      <c r="P118" s="16">
        <f>HYPERLINK("https://photon-sol.tinyastro.io/en/lp/CKAVX1JcaTXSpoDgbw7E5GLjYYrHg4WCpb1fchYApump?handle=676050794bc1b1657a56b", "View")</f>
        <v/>
      </c>
    </row>
    <row r="119">
      <c r="A119" s="19" t="inlineStr">
        <is>
          <t>FOJO</t>
        </is>
      </c>
      <c r="B119" s="20" t="n">
        <v>2117200</v>
      </c>
      <c r="C119" s="20" t="n">
        <v>2117200</v>
      </c>
      <c r="D119" s="20" t="inlineStr">
        <is>
          <t>0.063360</t>
        </is>
      </c>
      <c r="E119" s="20" t="inlineStr">
        <is>
          <t>0.986 SOL</t>
        </is>
      </c>
      <c r="F119" s="20" t="inlineStr">
        <is>
          <t>0.901 SOL</t>
        </is>
      </c>
      <c r="G119" s="21" t="inlineStr">
        <is>
          <t>-0.148 SOL</t>
        </is>
      </c>
      <c r="H119" s="21" t="inlineStr">
        <is>
          <t>-14.13%</t>
        </is>
      </c>
      <c r="I119" s="20" t="inlineStr">
        <is>
          <t>N/A</t>
        </is>
      </c>
      <c r="J119" s="20" t="n">
        <v>1</v>
      </c>
      <c r="K119" s="20" t="n">
        <v>1</v>
      </c>
      <c r="L119" s="20" t="inlineStr">
        <is>
          <t>24.09.2024 18:40:54</t>
        </is>
      </c>
      <c r="M119" s="18" t="inlineStr">
        <is>
          <t>43 sec</t>
        </is>
      </c>
      <c r="N119" s="20" t="inlineStr">
        <is>
          <t xml:space="preserve">         82K            75K             5K</t>
        </is>
      </c>
      <c r="O119" s="20" t="inlineStr">
        <is>
          <t>55SB5MjrPT7nXmpLbFQqxt6jy6WsqoAYMRPJQ9ayKyyR</t>
        </is>
      </c>
      <c r="P119" s="20">
        <f>HYPERLINK("https://dexscreener.com/solana/55SB5MjrPT7nXmpLbFQqxt6jy6WsqoAYMRPJQ9ayKyyR", "View")</f>
        <v/>
      </c>
    </row>
    <row r="120">
      <c r="A120" s="15" t="inlineStr">
        <is>
          <t>gdog</t>
        </is>
      </c>
      <c r="B120" s="16" t="n">
        <v>3128856</v>
      </c>
      <c r="C120" s="16" t="n">
        <v>3128856</v>
      </c>
      <c r="D120" s="16" t="inlineStr">
        <is>
          <t>0.152530</t>
        </is>
      </c>
      <c r="E120" s="16" t="inlineStr">
        <is>
          <t>2.500 SOL</t>
        </is>
      </c>
      <c r="F120" s="16" t="inlineStr">
        <is>
          <t>3.293 SOL</t>
        </is>
      </c>
      <c r="G120" s="22" t="inlineStr">
        <is>
          <t>0.641 SOL</t>
        </is>
      </c>
      <c r="H120" s="22" t="inlineStr">
        <is>
          <t>24.15%</t>
        </is>
      </c>
      <c r="I120" s="16" t="inlineStr">
        <is>
          <t>N/A</t>
        </is>
      </c>
      <c r="J120" s="16" t="n">
        <v>1</v>
      </c>
      <c r="K120" s="16" t="n">
        <v>1</v>
      </c>
      <c r="L120" s="16" t="inlineStr">
        <is>
          <t>23.09.2024 21:41:24</t>
        </is>
      </c>
      <c r="M120" s="18" t="inlineStr">
        <is>
          <t>38 sec</t>
        </is>
      </c>
      <c r="N120" s="16" t="inlineStr">
        <is>
          <t xml:space="preserve">        137K           179K            18K</t>
        </is>
      </c>
      <c r="O120" s="16" t="inlineStr">
        <is>
          <t>8gJx5cUVC6KCsuNwgUpQZL9oTMyqKqwhR99J7GqDpump</t>
        </is>
      </c>
      <c r="P120" s="16">
        <f>HYPERLINK("https://dexscreener.com/solana/8gJx5cUVC6KCsuNwgUpQZL9oTMyqKqwhR99J7GqDpump", "View")</f>
        <v/>
      </c>
    </row>
    <row r="121">
      <c r="A121" s="19" t="inlineStr">
        <is>
          <t>AMBER</t>
        </is>
      </c>
      <c r="B121" s="20" t="n">
        <v>1834437</v>
      </c>
      <c r="C121" s="20" t="n">
        <v>1834436</v>
      </c>
      <c r="D121" s="20" t="inlineStr">
        <is>
          <t>0.161520</t>
        </is>
      </c>
      <c r="E121" s="20" t="inlineStr">
        <is>
          <t>1.500 SOL</t>
        </is>
      </c>
      <c r="F121" s="20" t="inlineStr">
        <is>
          <t>2.386 SOL</t>
        </is>
      </c>
      <c r="G121" s="22" t="inlineStr">
        <is>
          <t>0.725 SOL</t>
        </is>
      </c>
      <c r="H121" s="22" t="inlineStr">
        <is>
          <t>43.61%</t>
        </is>
      </c>
      <c r="I121" s="20" t="inlineStr">
        <is>
          <t>N/A</t>
        </is>
      </c>
      <c r="J121" s="20" t="n">
        <v>1</v>
      </c>
      <c r="K121" s="20" t="n">
        <v>2</v>
      </c>
      <c r="L121" s="20" t="inlineStr">
        <is>
          <t>21.09.2024 18:18:11</t>
        </is>
      </c>
      <c r="M121" s="20" t="inlineStr">
        <is>
          <t>4 hours</t>
        </is>
      </c>
      <c r="N121" s="20" t="inlineStr">
        <is>
          <t xml:space="preserve">        144K           197K            41K</t>
        </is>
      </c>
      <c r="O121" s="20" t="inlineStr">
        <is>
          <t>DWNfhFpikybDGg4Xg28gA8Kv2VQ58N9YM2UE5B43pump</t>
        </is>
      </c>
      <c r="P121" s="20">
        <f>HYPERLINK("https://dexscreener.com/solana/DWNfhFpikybDGg4Xg28gA8Kv2VQ58N9YM2UE5B43pump", "View")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HYPERLINK("https://gmgn.ai/sol/address/5L2VdnbQDDBLHBxLn79chKbszxbfZKkHp3ENHaErsPGA", "GMGN")</f>
        <v/>
      </c>
    </row>
    <row r="2">
      <c r="A2" s="3" t="inlineStr">
        <is>
          <t>5L2VdnbQDDBLHBxLn79chKbszxbfZKkHp3ENHaErsPGA</t>
        </is>
      </c>
      <c r="B2" s="3" t="inlineStr">
        <is>
          <t>9.26 SOL</t>
        </is>
      </c>
      <c r="C2" s="3" t="inlineStr">
        <is>
          <t>67%</t>
        </is>
      </c>
      <c r="D2" s="3" t="inlineStr">
        <is>
          <t>142%</t>
        </is>
      </c>
      <c r="E2" s="3" t="inlineStr">
        <is>
          <t>9.03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0</v>
      </c>
      <c r="N2" s="3">
        <f>HYPERLINK("https://solscan.io/account/5L2VdnbQDDBLHBxLn79chKbszxbfZKkHp3ENHaErsPGA", "Solscan")</f>
        <v/>
      </c>
    </row>
    <row r="3">
      <c r="A3" s="6" t="inlineStr">
        <is>
          <t>Median ROI</t>
        </is>
      </c>
      <c r="B3" s="4" t="inlineStr">
        <is>
          <t>65.55%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HYPERLINK("https://birdeye.so/profile/5L2VdnbQDDBLHBxLn79chKbszxbfZKkHp3ENHaErsPGA", "Birdeye")</f>
        <v/>
      </c>
    </row>
    <row r="4">
      <c r="A4" s="6" t="inlineStr">
        <is>
          <t>Rockets percent</t>
        </is>
      </c>
      <c r="B4" s="3" t="inlineStr">
        <is>
          <t>22%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1</v>
      </c>
      <c r="D10" s="6" t="n">
        <v>3</v>
      </c>
      <c r="E10" s="6" t="n">
        <v>1</v>
      </c>
      <c r="F10" s="6" t="n">
        <v>2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11.1%</t>
        </is>
      </c>
      <c r="C11" s="6" t="inlineStr">
        <is>
          <t>11.1%</t>
        </is>
      </c>
      <c r="D11" s="6" t="inlineStr">
        <is>
          <t>33.3%</t>
        </is>
      </c>
      <c r="E11" s="6" t="inlineStr">
        <is>
          <t>11.1%</t>
        </is>
      </c>
      <c r="F11" s="6" t="inlineStr">
        <is>
          <t>22.2%</t>
        </is>
      </c>
      <c r="G11" s="6" t="inlineStr">
        <is>
          <t>11.1%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6.6 SOL</t>
        </is>
      </c>
      <c r="C12" s="6" t="inlineStr">
        <is>
          <t>1.1 SOL</t>
        </is>
      </c>
      <c r="D12" s="6" t="inlineStr">
        <is>
          <t>1.9 SOL</t>
        </is>
      </c>
      <c r="E12" s="6" t="inlineStr">
        <is>
          <t>0.0 SOL</t>
        </is>
      </c>
      <c r="F12" s="6" t="inlineStr">
        <is>
          <t>-0.4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12.0K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Glory</t>
        </is>
      </c>
      <c r="B20" s="16" t="n">
        <v>8984506</v>
      </c>
      <c r="C20" s="16" t="n">
        <v>8984506</v>
      </c>
      <c r="D20" s="16" t="inlineStr">
        <is>
          <t>0.020010</t>
        </is>
      </c>
      <c r="E20" s="16" t="inlineStr">
        <is>
          <t>0.522 SOL</t>
        </is>
      </c>
      <c r="F20" s="16" t="inlineStr">
        <is>
          <t>0.543 SOL</t>
        </is>
      </c>
      <c r="G20" s="22" t="inlineStr">
        <is>
          <t>0.001 SOL</t>
        </is>
      </c>
      <c r="H20" s="22" t="inlineStr">
        <is>
          <t>0.20%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17:34:53</t>
        </is>
      </c>
      <c r="M20" s="16" t="inlineStr">
        <is>
          <t>3 min</t>
        </is>
      </c>
      <c r="N20" s="16" t="inlineStr">
        <is>
          <t xml:space="preserve">         11K            11K             6K</t>
        </is>
      </c>
      <c r="O20" s="16" t="inlineStr">
        <is>
          <t>DZqXyNkK52FpPHGN73EmvvLoSZNXskpNvtL1GMjLpump</t>
        </is>
      </c>
      <c r="P20" s="16">
        <f>HYPERLINK("https://photon-sol.tinyastro.io/en/lp/DZqXyNkK52FpPHGN73EmvvLoSZNXskpNvtL1GMjLpump?handle=676050794bc1b1657a56b", "View")</f>
        <v/>
      </c>
    </row>
    <row r="21">
      <c r="A21" s="19" t="inlineStr">
        <is>
          <t>Liberty</t>
        </is>
      </c>
      <c r="B21" s="20" t="n">
        <v>8959841</v>
      </c>
      <c r="C21" s="20" t="n">
        <v>8959841</v>
      </c>
      <c r="D21" s="20" t="inlineStr">
        <is>
          <t>0.190090</t>
        </is>
      </c>
      <c r="E21" s="20" t="inlineStr">
        <is>
          <t>0.586 SOL</t>
        </is>
      </c>
      <c r="F21" s="20" t="inlineStr">
        <is>
          <t>1.497 SOL</t>
        </is>
      </c>
      <c r="G21" s="23" t="inlineStr">
        <is>
          <t>0.720 SOL</t>
        </is>
      </c>
      <c r="H21" s="23" t="inlineStr">
        <is>
          <t>92.75%</t>
        </is>
      </c>
      <c r="I21" s="20" t="inlineStr">
        <is>
          <t>N/A</t>
        </is>
      </c>
      <c r="J21" s="20" t="n">
        <v>1</v>
      </c>
      <c r="K21" s="20" t="n">
        <v>18</v>
      </c>
      <c r="L21" s="20" t="inlineStr">
        <is>
          <t>30.10.2024 13:20:50</t>
        </is>
      </c>
      <c r="M21" s="20" t="inlineStr">
        <is>
          <t>4 min</t>
        </is>
      </c>
      <c r="N21" s="20" t="inlineStr">
        <is>
          <t xml:space="preserve">         12K            12K             5K</t>
        </is>
      </c>
      <c r="O21" s="20" t="inlineStr">
        <is>
          <t>CqBmg5ZUoaPg5Yx5uAKYzpyRcXme2UpVmZ8U5iotpump</t>
        </is>
      </c>
      <c r="P21" s="20">
        <f>HYPERLINK("https://photon-sol.tinyastro.io/en/lp/CqBmg5ZUoaPg5Yx5uAKYzpyRcXme2UpVmZ8U5iotpump?handle=676050794bc1b1657a56b", "View")</f>
        <v/>
      </c>
    </row>
    <row r="22">
      <c r="A22" s="15" t="inlineStr">
        <is>
          <t>Torin</t>
        </is>
      </c>
      <c r="B22" s="16" t="n">
        <v>10163367</v>
      </c>
      <c r="C22" s="16" t="n">
        <v>10163367</v>
      </c>
      <c r="D22" s="16" t="inlineStr">
        <is>
          <t>0.130060</t>
        </is>
      </c>
      <c r="E22" s="16" t="inlineStr">
        <is>
          <t>0.590 SOL</t>
        </is>
      </c>
      <c r="F22" s="16" t="inlineStr">
        <is>
          <t>1.779 SOL</t>
        </is>
      </c>
      <c r="G22" s="23" t="inlineStr">
        <is>
          <t>1.059 SOL</t>
        </is>
      </c>
      <c r="H22" s="23" t="inlineStr">
        <is>
          <t>147.10%</t>
        </is>
      </c>
      <c r="I22" s="16" t="inlineStr">
        <is>
          <t>N/A</t>
        </is>
      </c>
      <c r="J22" s="16" t="n">
        <v>1</v>
      </c>
      <c r="K22" s="16" t="n">
        <v>12</v>
      </c>
      <c r="L22" s="16" t="inlineStr">
        <is>
          <t>30.10.2024 06:27:45</t>
        </is>
      </c>
      <c r="M22" s="16" t="inlineStr">
        <is>
          <t>7 min</t>
        </is>
      </c>
      <c r="N22" s="16" t="inlineStr">
        <is>
          <t xml:space="preserve">         11K            14K             3K</t>
        </is>
      </c>
      <c r="O22" s="16" t="inlineStr">
        <is>
          <t>HxdzGHd2jLF12UHjgFKCb6zMzgfqGnwRvwKweXmXpump</t>
        </is>
      </c>
      <c r="P22" s="16">
        <f>HYPERLINK("https://photon-sol.tinyastro.io/en/lp/HxdzGHd2jLF12UHjgFKCb6zMzgfqGnwRvwKweXmXpump?handle=676050794bc1b1657a56b", "View")</f>
        <v/>
      </c>
    </row>
    <row r="23">
      <c r="A23" s="19" t="inlineStr">
        <is>
          <t>Torin</t>
        </is>
      </c>
      <c r="B23" s="20" t="n">
        <v>8831328</v>
      </c>
      <c r="C23" s="20" t="n">
        <v>8831328</v>
      </c>
      <c r="D23" s="20" t="inlineStr">
        <is>
          <t>0.610300</t>
        </is>
      </c>
      <c r="E23" s="20" t="inlineStr">
        <is>
          <t>0.392 SOL</t>
        </is>
      </c>
      <c r="F23" s="20" t="inlineStr">
        <is>
          <t>7.611 SOL</t>
        </is>
      </c>
      <c r="G23" s="23" t="inlineStr">
        <is>
          <t>6.609 SOL</t>
        </is>
      </c>
      <c r="H23" s="23" t="inlineStr">
        <is>
          <t>659.65%</t>
        </is>
      </c>
      <c r="I23" s="20" t="inlineStr">
        <is>
          <t>N/A</t>
        </is>
      </c>
      <c r="J23" s="20" t="n">
        <v>1</v>
      </c>
      <c r="K23" s="20" t="n">
        <v>60</v>
      </c>
      <c r="L23" s="20" t="inlineStr">
        <is>
          <t>30.10.2024 06:17:46</t>
        </is>
      </c>
      <c r="M23" s="20" t="inlineStr">
        <is>
          <t>7 min</t>
        </is>
      </c>
      <c r="N23" s="20" t="inlineStr">
        <is>
          <t xml:space="preserve">          7K           102K             7K</t>
        </is>
      </c>
      <c r="O23" s="20" t="inlineStr">
        <is>
          <t>ALKTKLRTyF3P83KMCAvGEtY4CsoMzvh1k38uixCgpump</t>
        </is>
      </c>
      <c r="P23" s="20">
        <f>HYPERLINK("https://photon-sol.tinyastro.io/en/lp/ALKTKLRTyF3P83KMCAvGEtY4CsoMzvh1k38uixCgpump?handle=676050794bc1b1657a56b", "View")</f>
        <v/>
      </c>
    </row>
    <row r="24">
      <c r="A24" s="15" t="inlineStr">
        <is>
          <t>Butters</t>
        </is>
      </c>
      <c r="B24" s="16" t="n">
        <v>7929767</v>
      </c>
      <c r="C24" s="16" t="n">
        <v>7929767</v>
      </c>
      <c r="D24" s="16" t="inlineStr">
        <is>
          <t>0.020010</t>
        </is>
      </c>
      <c r="E24" s="16" t="inlineStr">
        <is>
          <t>0.538 SOL</t>
        </is>
      </c>
      <c r="F24" s="16" t="inlineStr">
        <is>
          <t>0.923 SOL</t>
        </is>
      </c>
      <c r="G24" s="23" t="inlineStr">
        <is>
          <t>0.366 SOL</t>
        </is>
      </c>
      <c r="H24" s="23" t="inlineStr">
        <is>
          <t>65.55%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18:24:57</t>
        </is>
      </c>
      <c r="M24" s="16" t="inlineStr">
        <is>
          <t>7 min</t>
        </is>
      </c>
      <c r="N24" s="16" t="inlineStr">
        <is>
          <t xml:space="preserve">         12K            21K             4K</t>
        </is>
      </c>
      <c r="O24" s="16" t="inlineStr">
        <is>
          <t>BFc3G2JaqZA3eCJzWiSMhGZp7aXwonXETtr2Nudppump</t>
        </is>
      </c>
      <c r="P24" s="16">
        <f>HYPERLINK("https://photon-sol.tinyastro.io/en/lp/BFc3G2JaqZA3eCJzWiSMhGZp7aXwonXETtr2Nudppump?handle=676050794bc1b1657a56b", "View")</f>
        <v/>
      </c>
    </row>
    <row r="25">
      <c r="A25" s="19" t="inlineStr">
        <is>
          <t>Nina</t>
        </is>
      </c>
      <c r="B25" s="20" t="n">
        <v>11778199</v>
      </c>
      <c r="C25" s="20" t="n">
        <v>11778199</v>
      </c>
      <c r="D25" s="20" t="inlineStr">
        <is>
          <t>0.020010</t>
        </is>
      </c>
      <c r="E25" s="20" t="inlineStr">
        <is>
          <t>0.806 SOL</t>
        </is>
      </c>
      <c r="F25" s="20" t="inlineStr">
        <is>
          <t>0.726 SOL</t>
        </is>
      </c>
      <c r="G25" s="21" t="inlineStr">
        <is>
          <t>-0.100 SOL</t>
        </is>
      </c>
      <c r="H25" s="21" t="inlineStr">
        <is>
          <t>-12.07%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29.10.2024 15:47:07</t>
        </is>
      </c>
      <c r="M25" s="20" t="inlineStr">
        <is>
          <t>4 min</t>
        </is>
      </c>
      <c r="N25" s="20" t="inlineStr">
        <is>
          <t xml:space="preserve">         12K            11K             5K</t>
        </is>
      </c>
      <c r="O25" s="20" t="inlineStr">
        <is>
          <t>CDkwBE7pPovZLJC2KxM7jvWXkyygR1Y1u2R7f6hmpump</t>
        </is>
      </c>
      <c r="P25" s="20">
        <f>HYPERLINK("https://photon-sol.tinyastro.io/en/lp/CDkwBE7pPovZLJC2KxM7jvWXkyygR1Y1u2R7f6hmpump?handle=676050794bc1b1657a56b", "View")</f>
        <v/>
      </c>
    </row>
    <row r="26">
      <c r="A26" s="15" t="inlineStr">
        <is>
          <t>MOLANG</t>
        </is>
      </c>
      <c r="B26" s="16" t="n">
        <v>1793028</v>
      </c>
      <c r="C26" s="16" t="n">
        <v>1793028</v>
      </c>
      <c r="D26" s="16" t="inlineStr">
        <is>
          <t>0.220020</t>
        </is>
      </c>
      <c r="E26" s="16" t="inlineStr">
        <is>
          <t>0.544 SOL</t>
        </is>
      </c>
      <c r="F26" s="16" t="inlineStr">
        <is>
          <t>0.470 SOL</t>
        </is>
      </c>
      <c r="G26" s="21" t="inlineStr">
        <is>
          <t>-0.294 SOL</t>
        </is>
      </c>
      <c r="H26" s="21" t="inlineStr">
        <is>
          <t>-38.49%</t>
        </is>
      </c>
      <c r="I26" s="16" t="inlineStr">
        <is>
          <t>N/A</t>
        </is>
      </c>
      <c r="J26" s="16" t="n">
        <v>2</v>
      </c>
      <c r="K26" s="16" t="n">
        <v>2</v>
      </c>
      <c r="L26" s="16" t="inlineStr">
        <is>
          <t>29.10.2024 14:48:15</t>
        </is>
      </c>
      <c r="M26" s="16" t="inlineStr">
        <is>
          <t>10 min</t>
        </is>
      </c>
      <c r="N26" s="16" t="inlineStr">
        <is>
          <t xml:space="preserve">         54K            32K             4K</t>
        </is>
      </c>
      <c r="O26" s="16" t="inlineStr">
        <is>
          <t>BPFXTGBjoARa89gbSvbp7Dy6cQwgGc7efW1jE8nTpump</t>
        </is>
      </c>
      <c r="P26" s="16">
        <f>HYPERLINK("https://photon-sol.tinyastro.io/en/lp/BPFXTGBjoARa89gbSvbp7Dy6cQwgGc7efW1jE8nTpump?handle=676050794bc1b1657a56b", "View")</f>
        <v/>
      </c>
    </row>
    <row r="27">
      <c r="A27" s="19" t="inlineStr">
        <is>
          <t>Trina</t>
        </is>
      </c>
      <c r="B27" s="20" t="n">
        <v>11384893</v>
      </c>
      <c r="C27" s="20" t="n">
        <v>11384893</v>
      </c>
      <c r="D27" s="20" t="inlineStr">
        <is>
          <t>0.420160</t>
        </is>
      </c>
      <c r="E27" s="20" t="inlineStr">
        <is>
          <t>0.505 SOL</t>
        </is>
      </c>
      <c r="F27" s="20" t="inlineStr">
        <is>
          <t>1.717 SOL</t>
        </is>
      </c>
      <c r="G27" s="23" t="inlineStr">
        <is>
          <t>0.792 SOL</t>
        </is>
      </c>
      <c r="H27" s="23" t="inlineStr">
        <is>
          <t>85.55%</t>
        </is>
      </c>
      <c r="I27" s="20" t="inlineStr">
        <is>
          <t>N/A</t>
        </is>
      </c>
      <c r="J27" s="20" t="n">
        <v>1</v>
      </c>
      <c r="K27" s="20" t="n">
        <v>32</v>
      </c>
      <c r="L27" s="20" t="inlineStr">
        <is>
          <t>29.10.2024 13:33:44</t>
        </is>
      </c>
      <c r="M27" s="20" t="inlineStr">
        <is>
          <t>10 min</t>
        </is>
      </c>
      <c r="N27" s="20" t="inlineStr">
        <is>
          <t xml:space="preserve">          7K             9K             4K</t>
        </is>
      </c>
      <c r="O27" s="20" t="inlineStr">
        <is>
          <t>DirQ7FDi1C5SZCy8ai1GTSvnm9o8MDf9s4C4cExzpump</t>
        </is>
      </c>
      <c r="P27" s="20">
        <f>HYPERLINK("https://photon-sol.tinyastro.io/en/lp/DirQ7FDi1C5SZCy8ai1GTSvnm9o8MDf9s4C4cExzpump?handle=676050794bc1b1657a56b", "View")</f>
        <v/>
      </c>
    </row>
    <row r="28">
      <c r="A28" s="15" t="inlineStr">
        <is>
          <t>Trina</t>
        </is>
      </c>
      <c r="B28" s="16" t="n">
        <v>585788</v>
      </c>
      <c r="C28" s="16" t="n">
        <v>585788</v>
      </c>
      <c r="D28" s="16" t="inlineStr">
        <is>
          <t>0.110010</t>
        </is>
      </c>
      <c r="E28" s="16" t="inlineStr">
        <is>
          <t>0.131 SOL</t>
        </is>
      </c>
      <c r="F28" s="16" t="inlineStr">
        <is>
          <t>0.119 SOL</t>
        </is>
      </c>
      <c r="G28" s="24" t="inlineStr">
        <is>
          <t>-0.122 SOL</t>
        </is>
      </c>
      <c r="H28" s="24" t="inlineStr">
        <is>
          <t>-50.52%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29.10.2024 13:22:14</t>
        </is>
      </c>
      <c r="M28" s="16" t="inlineStr">
        <is>
          <t>8 min</t>
        </is>
      </c>
      <c r="N28" s="16" t="inlineStr">
        <is>
          <t xml:space="preserve">         39K            35K             5K</t>
        </is>
      </c>
      <c r="O28" s="16" t="inlineStr">
        <is>
          <t>CsT44i2W2MWp23WQ2EqjorxZVVzuN4niw1cj1Qr5pump</t>
        </is>
      </c>
      <c r="P28" s="16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HYPERLINK("https://gmgn.ai/sol/address/DSsSCWgC7rfYfLUvQBt2QEgwLHretBbmxPCgWMwb49pB", "GMGN")</f>
        <v/>
      </c>
    </row>
    <row r="2">
      <c r="A2" s="3" t="inlineStr">
        <is>
          <t>DSsSCWgC7rfYfLUvQBt2QEgwLHretBbmxPCgWMwb49pB</t>
        </is>
      </c>
      <c r="B2" s="3" t="inlineStr">
        <is>
          <t>9.00 SOL</t>
        </is>
      </c>
      <c r="C2" s="3" t="inlineStr">
        <is>
          <t>63%</t>
        </is>
      </c>
      <c r="D2" s="3" t="inlineStr">
        <is>
          <t>157%</t>
        </is>
      </c>
      <c r="E2" s="3" t="inlineStr">
        <is>
          <t>8.73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2</v>
      </c>
      <c r="N2" s="3">
        <f>HYPERLINK("https://solscan.io/account/DSsSCWgC7rfYfLUvQBt2QEgwLHretBbmxPCgWMwb49pB", "Solscan")</f>
        <v/>
      </c>
    </row>
    <row r="3">
      <c r="A3" s="6" t="inlineStr">
        <is>
          <t>Median ROI</t>
        </is>
      </c>
      <c r="B3" s="4" t="inlineStr">
        <is>
          <t>50.45%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HYPERLINK("https://birdeye.so/profile/DSsSCWgC7rfYfLUvQBt2QEgwLHretBbmxPCgWMwb49pB", "Birdeye")</f>
        <v/>
      </c>
    </row>
    <row r="4">
      <c r="A4" s="6" t="inlineStr">
        <is>
          <t>Rockets percent</t>
        </is>
      </c>
      <c r="B4" s="4" t="inlineStr">
        <is>
          <t>38%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2</v>
      </c>
      <c r="D10" s="6" t="n">
        <v>1</v>
      </c>
      <c r="E10" s="6" t="n">
        <v>1</v>
      </c>
      <c r="F10" s="6" t="n">
        <v>2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12.5%</t>
        </is>
      </c>
      <c r="C11" s="6" t="inlineStr">
        <is>
          <t>25.0%</t>
        </is>
      </c>
      <c r="D11" s="6" t="inlineStr">
        <is>
          <t>12.5%</t>
        </is>
      </c>
      <c r="E11" s="6" t="inlineStr">
        <is>
          <t>12.5%</t>
        </is>
      </c>
      <c r="F11" s="6" t="inlineStr">
        <is>
          <t>25.0%</t>
        </is>
      </c>
      <c r="G11" s="6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6.1 SOL</t>
        </is>
      </c>
      <c r="C12" s="6" t="inlineStr">
        <is>
          <t>2.2 SOL</t>
        </is>
      </c>
      <c r="D12" s="6" t="inlineStr">
        <is>
          <t>0.8 SOL</t>
        </is>
      </c>
      <c r="E12" s="6" t="inlineStr">
        <is>
          <t>0.1 SOL</t>
        </is>
      </c>
      <c r="F12" s="6" t="inlineStr">
        <is>
          <t>-0.4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11.5K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Liberty</t>
        </is>
      </c>
      <c r="B20" s="16" t="n">
        <v>8959841</v>
      </c>
      <c r="C20" s="16" t="n">
        <v>8959841</v>
      </c>
      <c r="D20" s="16" t="inlineStr">
        <is>
          <t>0.210100</t>
        </is>
      </c>
      <c r="E20" s="16" t="inlineStr">
        <is>
          <t>0.616 SOL</t>
        </is>
      </c>
      <c r="F20" s="16" t="inlineStr">
        <is>
          <t>1.657 SOL</t>
        </is>
      </c>
      <c r="G20" s="23" t="inlineStr">
        <is>
          <t>0.831 SOL</t>
        </is>
      </c>
      <c r="H20" s="23" t="inlineStr">
        <is>
          <t>100.61%</t>
        </is>
      </c>
      <c r="I20" s="16" t="inlineStr">
        <is>
          <t>N/A</t>
        </is>
      </c>
      <c r="J20" s="16" t="n">
        <v>1</v>
      </c>
      <c r="K20" s="16" t="n">
        <v>20</v>
      </c>
      <c r="L20" s="16" t="inlineStr">
        <is>
          <t>30.10.2024 13:20:49</t>
        </is>
      </c>
      <c r="M20" s="16" t="inlineStr">
        <is>
          <t>4 min</t>
        </is>
      </c>
      <c r="N20" s="16" t="inlineStr">
        <is>
          <t xml:space="preserve">         12K            12K             5K</t>
        </is>
      </c>
      <c r="O20" s="16" t="inlineStr">
        <is>
          <t>CqBmg5ZUoaPg5Yx5uAKYzpyRcXme2UpVmZ8U5iotpump</t>
        </is>
      </c>
      <c r="P20" s="16">
        <f>HYPERLINK("https://photon-sol.tinyastro.io/en/lp/CqBmg5ZUoaPg5Yx5uAKYzpyRcXme2UpVmZ8U5iotpump?handle=676050794bc1b1657a56b", "View")</f>
        <v/>
      </c>
    </row>
    <row r="21">
      <c r="A21" s="19" t="inlineStr">
        <is>
          <t>Torin</t>
        </is>
      </c>
      <c r="B21" s="20" t="n">
        <v>10163367</v>
      </c>
      <c r="C21" s="20" t="n">
        <v>10163367</v>
      </c>
      <c r="D21" s="20" t="inlineStr">
        <is>
          <t>0.150070</t>
        </is>
      </c>
      <c r="E21" s="20" t="inlineStr">
        <is>
          <t>0.414 SOL</t>
        </is>
      </c>
      <c r="F21" s="20" t="inlineStr">
        <is>
          <t>1.979 SOL</t>
        </is>
      </c>
      <c r="G21" s="23" t="inlineStr">
        <is>
          <t>1.415 SOL</t>
        </is>
      </c>
      <c r="H21" s="23" t="inlineStr">
        <is>
          <t>250.67%</t>
        </is>
      </c>
      <c r="I21" s="20" t="inlineStr">
        <is>
          <t>N/A</t>
        </is>
      </c>
      <c r="J21" s="20" t="n">
        <v>1</v>
      </c>
      <c r="K21" s="20" t="n">
        <v>14</v>
      </c>
      <c r="L21" s="20" t="inlineStr">
        <is>
          <t>30.10.2024 06:27:36</t>
        </is>
      </c>
      <c r="M21" s="20" t="inlineStr">
        <is>
          <t>6 min</t>
        </is>
      </c>
      <c r="N21" s="20" t="inlineStr">
        <is>
          <t xml:space="preserve">          7K            19K             3K</t>
        </is>
      </c>
      <c r="O21" s="20" t="inlineStr">
        <is>
          <t>HxdzGHd2jLF12UHjgFKCb6zMzgfqGnwRvwKweXmXpump</t>
        </is>
      </c>
      <c r="P21" s="20">
        <f>HYPERLINK("https://photon-sol.tinyastro.io/en/lp/HxdzGHd2jLF12UHjgFKCb6zMzgfqGnwRvwKweXmXpump?handle=676050794bc1b1657a56b", "View")</f>
        <v/>
      </c>
    </row>
    <row r="22">
      <c r="A22" s="15" t="inlineStr">
        <is>
          <t>Torin</t>
        </is>
      </c>
      <c r="B22" s="16" t="n">
        <v>8831328</v>
      </c>
      <c r="C22" s="16" t="n">
        <v>8831328</v>
      </c>
      <c r="D22" s="16" t="inlineStr">
        <is>
          <t>0.590290</t>
        </is>
      </c>
      <c r="E22" s="16" t="inlineStr">
        <is>
          <t>0.384 SOL</t>
        </is>
      </c>
      <c r="F22" s="16" t="inlineStr">
        <is>
          <t>7.120 SOL</t>
        </is>
      </c>
      <c r="G22" s="23" t="inlineStr">
        <is>
          <t>6.146 SOL</t>
        </is>
      </c>
      <c r="H22" s="23" t="inlineStr">
        <is>
          <t>630.70%</t>
        </is>
      </c>
      <c r="I22" s="16" t="inlineStr">
        <is>
          <t>N/A</t>
        </is>
      </c>
      <c r="J22" s="16" t="n">
        <v>1</v>
      </c>
      <c r="K22" s="16" t="n">
        <v>58</v>
      </c>
      <c r="L22" s="16" t="inlineStr">
        <is>
          <t>30.10.2024 06:17:46</t>
        </is>
      </c>
      <c r="M22" s="16" t="inlineStr">
        <is>
          <t>7 min</t>
        </is>
      </c>
      <c r="N22" s="16" t="inlineStr">
        <is>
          <t xml:space="preserve">          7K           102K             7K</t>
        </is>
      </c>
      <c r="O22" s="16" t="inlineStr">
        <is>
          <t>ALKTKLRTyF3P83KMCAvGEtY4CsoMzvh1k38uixCgpump</t>
        </is>
      </c>
      <c r="P22" s="16">
        <f>HYPERLINK("https://photon-sol.tinyastro.io/en/lp/ALKTKLRTyF3P83KMCAvGEtY4CsoMzvh1k38uixCgpump?handle=676050794bc1b1657a56b", "View")</f>
        <v/>
      </c>
    </row>
    <row r="23">
      <c r="A23" s="19" t="inlineStr">
        <is>
          <t>Butters</t>
        </is>
      </c>
      <c r="B23" s="20" t="n">
        <v>7929767</v>
      </c>
      <c r="C23" s="20" t="n">
        <v>7929767</v>
      </c>
      <c r="D23" s="20" t="inlineStr">
        <is>
          <t>0.020010</t>
        </is>
      </c>
      <c r="E23" s="20" t="inlineStr">
        <is>
          <t>0.575 SOL</t>
        </is>
      </c>
      <c r="F23" s="20" t="inlineStr">
        <is>
          <t>0.572 SOL</t>
        </is>
      </c>
      <c r="G23" s="21" t="inlineStr">
        <is>
          <t>-0.022 SOL</t>
        </is>
      </c>
      <c r="H23" s="21" t="inlineStr">
        <is>
          <t>-3.77%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29.10.2024 18:25:21</t>
        </is>
      </c>
      <c r="M23" s="20" t="inlineStr">
        <is>
          <t>8 min</t>
        </is>
      </c>
      <c r="N23" s="20" t="inlineStr">
        <is>
          <t xml:space="preserve">         12K            12K             4K</t>
        </is>
      </c>
      <c r="O23" s="20" t="inlineStr">
        <is>
          <t>BFc3G2JaqZA3eCJzWiSMhGZp7aXwonXETtr2Nudppump</t>
        </is>
      </c>
      <c r="P23" s="20">
        <f>HYPERLINK("https://photon-sol.tinyastro.io/en/lp/BFc3G2JaqZA3eCJzWiSMhGZp7aXwonXETtr2Nudppump?handle=676050794bc1b1657a56b", "View")</f>
        <v/>
      </c>
    </row>
    <row r="24">
      <c r="A24" s="15" t="inlineStr">
        <is>
          <t>Nina</t>
        </is>
      </c>
      <c r="B24" s="16" t="n">
        <v>11778199</v>
      </c>
      <c r="C24" s="16" t="n">
        <v>11778199</v>
      </c>
      <c r="D24" s="16" t="inlineStr">
        <is>
          <t>0.020010</t>
        </is>
      </c>
      <c r="E24" s="16" t="inlineStr">
        <is>
          <t>0.732 SOL</t>
        </is>
      </c>
      <c r="F24" s="16" t="inlineStr">
        <is>
          <t>0.814 SOL</t>
        </is>
      </c>
      <c r="G24" s="22" t="inlineStr">
        <is>
          <t>0.062 SOL</t>
        </is>
      </c>
      <c r="H24" s="22" t="inlineStr">
        <is>
          <t>8.25%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15:46:54</t>
        </is>
      </c>
      <c r="M24" s="16" t="inlineStr">
        <is>
          <t>4 min</t>
        </is>
      </c>
      <c r="N24" s="16" t="inlineStr">
        <is>
          <t xml:space="preserve">         11K            12K             5K</t>
        </is>
      </c>
      <c r="O24" s="16" t="inlineStr">
        <is>
          <t>CDkwBE7pPovZLJC2KxM7jvWXkyygR1Y1u2R7f6hmpump</t>
        </is>
      </c>
      <c r="P24" s="16">
        <f>HYPERLINK("https://photon-sol.tinyastro.io/en/lp/CDkwBE7pPovZLJC2KxM7jvWXkyygR1Y1u2R7f6hmpump?handle=676050794bc1b1657a56b", "View")</f>
        <v/>
      </c>
    </row>
    <row r="25">
      <c r="A25" s="19" t="inlineStr">
        <is>
          <t>MOLANG</t>
        </is>
      </c>
      <c r="B25" s="20" t="n">
        <v>1793028</v>
      </c>
      <c r="C25" s="20" t="n">
        <v>1793028</v>
      </c>
      <c r="D25" s="20" t="inlineStr">
        <is>
          <t>0.220020</t>
        </is>
      </c>
      <c r="E25" s="20" t="inlineStr">
        <is>
          <t>0.550 SOL</t>
        </is>
      </c>
      <c r="F25" s="20" t="inlineStr">
        <is>
          <t>0.419 SOL</t>
        </is>
      </c>
      <c r="G25" s="21" t="inlineStr">
        <is>
          <t>-0.351 SOL</t>
        </is>
      </c>
      <c r="H25" s="21" t="inlineStr">
        <is>
          <t>-45.55%</t>
        </is>
      </c>
      <c r="I25" s="20" t="inlineStr">
        <is>
          <t>N/A</t>
        </is>
      </c>
      <c r="J25" s="20" t="n">
        <v>2</v>
      </c>
      <c r="K25" s="20" t="n">
        <v>2</v>
      </c>
      <c r="L25" s="20" t="inlineStr">
        <is>
          <t>29.10.2024 14:48:15</t>
        </is>
      </c>
      <c r="M25" s="20" t="inlineStr">
        <is>
          <t>10 min</t>
        </is>
      </c>
      <c r="N25" s="20" t="inlineStr">
        <is>
          <t xml:space="preserve">         54K            32K             4K</t>
        </is>
      </c>
      <c r="O25" s="20" t="inlineStr">
        <is>
          <t>BPFXTGBjoARa89gbSvbp7Dy6cQwgGc7efW1jE8nTpump</t>
        </is>
      </c>
      <c r="P25" s="20">
        <f>HYPERLINK("https://photon-sol.tinyastro.io/en/lp/BPFXTGBjoARa89gbSvbp7Dy6cQwgGc7efW1jE8nTpump?handle=676050794bc1b1657a56b", "View")</f>
        <v/>
      </c>
    </row>
    <row r="26">
      <c r="A26" s="15" t="inlineStr">
        <is>
          <t>Trina</t>
        </is>
      </c>
      <c r="B26" s="16" t="n">
        <v>11384893</v>
      </c>
      <c r="C26" s="16" t="n">
        <v>11384893</v>
      </c>
      <c r="D26" s="16" t="inlineStr">
        <is>
          <t>0.390150</t>
        </is>
      </c>
      <c r="E26" s="16" t="inlineStr">
        <is>
          <t>0.447 SOL</t>
        </is>
      </c>
      <c r="F26" s="16" t="inlineStr">
        <is>
          <t>1.612 SOL</t>
        </is>
      </c>
      <c r="G26" s="23" t="inlineStr">
        <is>
          <t>0.775 SOL</t>
        </is>
      </c>
      <c r="H26" s="23" t="inlineStr">
        <is>
          <t>92.65%</t>
        </is>
      </c>
      <c r="I26" s="16" t="inlineStr">
        <is>
          <t>N/A</t>
        </is>
      </c>
      <c r="J26" s="16" t="n">
        <v>1</v>
      </c>
      <c r="K26" s="16" t="n">
        <v>29</v>
      </c>
      <c r="L26" s="16" t="inlineStr">
        <is>
          <t>29.10.2024 13:33:41</t>
        </is>
      </c>
      <c r="M26" s="16" t="inlineStr">
        <is>
          <t>10 min</t>
        </is>
      </c>
      <c r="N26" s="16" t="inlineStr">
        <is>
          <t xml:space="preserve">          7K            11K             4K</t>
        </is>
      </c>
      <c r="O26" s="16" t="inlineStr">
        <is>
          <t>DirQ7FDi1C5SZCy8ai1GTSvnm9o8MDf9s4C4cExzpump</t>
        </is>
      </c>
      <c r="P26" s="16">
        <f>HYPERLINK("https://photon-sol.tinyastro.io/en/lp/DirQ7FDi1C5SZCy8ai1GTSvnm9o8MDf9s4C4cExzpump?handle=676050794bc1b1657a56b", "View")</f>
        <v/>
      </c>
    </row>
    <row r="27">
      <c r="A27" s="19" t="inlineStr">
        <is>
          <t>Trina</t>
        </is>
      </c>
      <c r="B27" s="20" t="n">
        <v>585788</v>
      </c>
      <c r="C27" s="20" t="n">
        <v>585788</v>
      </c>
      <c r="D27" s="20" t="inlineStr">
        <is>
          <t>0.110010</t>
        </is>
      </c>
      <c r="E27" s="20" t="inlineStr">
        <is>
          <t>0.131 SOL</t>
        </is>
      </c>
      <c r="F27" s="20" t="inlineStr">
        <is>
          <t>0.118 SOL</t>
        </is>
      </c>
      <c r="G27" s="24" t="inlineStr">
        <is>
          <t>-0.123 SOL</t>
        </is>
      </c>
      <c r="H27" s="24" t="inlineStr">
        <is>
          <t>-51.12%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29.10.2024 13:22:12</t>
        </is>
      </c>
      <c r="M27" s="20" t="inlineStr">
        <is>
          <t>8 min</t>
        </is>
      </c>
      <c r="N27" s="20" t="inlineStr">
        <is>
          <t xml:space="preserve">         39K            35K             5K</t>
        </is>
      </c>
      <c r="O27" s="20" t="inlineStr">
        <is>
          <t>CsT44i2W2MWp23WQ2EqjorxZVVzuN4niw1cj1Qr5pump</t>
        </is>
      </c>
      <c r="P27" s="20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34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HYPERLINK("https://gmgn.ai/sol/address/EwMT7ygvaGxSsg7dn9gH6vRXLNSRv9BHYCf8fNUJVxdU", "GMGN")</f>
        <v/>
      </c>
    </row>
    <row r="2">
      <c r="A2" s="3" t="inlineStr">
        <is>
          <t>EwMT7ygvaGxSsg7dn9gH6vRXLNSRv9BHYCf8fNUJVxdU</t>
        </is>
      </c>
      <c r="B2" s="3" t="inlineStr">
        <is>
          <t>10.92 SOL</t>
        </is>
      </c>
      <c r="C2" s="3" t="inlineStr">
        <is>
          <t>20%</t>
        </is>
      </c>
      <c r="D2" s="3" t="inlineStr">
        <is>
          <t>-53%</t>
        </is>
      </c>
      <c r="E2" s="3" t="inlineStr">
        <is>
          <t>-4.30 SOL</t>
        </is>
      </c>
      <c r="F2" s="3" t="inlineStr">
        <is>
          <t>1 (7%)</t>
        </is>
      </c>
      <c r="G2" s="3" t="inlineStr">
        <is>
          <t>0 (0%)</t>
        </is>
      </c>
      <c r="H2" s="3" t="n">
        <v>15</v>
      </c>
      <c r="I2" s="3" t="n">
        <v>3</v>
      </c>
      <c r="J2" s="3" t="inlineStr">
        <is>
          <t>8 days</t>
        </is>
      </c>
      <c r="K2" s="3" t="inlineStr">
        <is>
          <t>12 min</t>
        </is>
      </c>
      <c r="L2" s="3" t="n">
        <v>7</v>
      </c>
      <c r="M2" s="3" t="n">
        <v>12</v>
      </c>
      <c r="N2" s="3">
        <f>HYPERLINK("https://solscan.io/account/EwMT7ygvaGxSsg7dn9gH6vRXLNSRv9BHYCf8fNUJVxdU", "Solscan")</f>
        <v/>
      </c>
    </row>
    <row r="3">
      <c r="A3" s="6" t="inlineStr">
        <is>
          <t>Median ROI</t>
        </is>
      </c>
      <c r="B3" s="5" t="inlineStr">
        <is>
          <t>-84.87%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HYPERLINK("https://birdeye.so/profile/EwMT7ygvaGxSsg7dn9gH6vRXLNSRv9BHYCf8fNUJVxdU", "Birdeye")</f>
        <v/>
      </c>
    </row>
    <row r="4">
      <c r="A4" s="6" t="inlineStr">
        <is>
          <t>Rockets percent</t>
        </is>
      </c>
      <c r="B4" s="3" t="inlineStr">
        <is>
          <t>13%</t>
        </is>
      </c>
      <c r="C4" s="3" t="inlineStr"/>
      <c r="D4" s="3" t="inlineStr">
        <is>
          <t>67%</t>
        </is>
      </c>
      <c r="E4" s="3" t="inlineStr">
        <is>
          <t>5.43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8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2</v>
      </c>
      <c r="D10" s="6" t="n">
        <v>1</v>
      </c>
      <c r="E10" s="6" t="n">
        <v>0</v>
      </c>
      <c r="F10" s="6" t="n">
        <v>3</v>
      </c>
      <c r="G10" s="6" t="n">
        <v>9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13.3%</t>
        </is>
      </c>
      <c r="D11" s="6" t="inlineStr">
        <is>
          <t>6.7%</t>
        </is>
      </c>
      <c r="E11" s="6" t="inlineStr">
        <is>
          <t>0.0%</t>
        </is>
      </c>
      <c r="F11" s="6" t="inlineStr">
        <is>
          <t>20.0%</t>
        </is>
      </c>
      <c r="G11" s="6" t="inlineStr">
        <is>
          <t>60.0%</t>
        </is>
      </c>
      <c r="H11" s="3" t="n"/>
      <c r="I11" s="3" t="inlineStr">
        <is>
          <t>5k-30k</t>
        </is>
      </c>
      <c r="J11" s="3" t="inlineStr">
        <is>
          <t>5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1.0 SOL</t>
        </is>
      </c>
      <c r="D12" s="6" t="inlineStr">
        <is>
          <t>0.5 SOL</t>
        </is>
      </c>
      <c r="E12" s="6" t="inlineStr">
        <is>
          <t>0.0 SOL</t>
        </is>
      </c>
      <c r="F12" s="6" t="inlineStr">
        <is>
          <t>-0.1 SOL</t>
        </is>
      </c>
      <c r="G12" s="6" t="inlineStr">
        <is>
          <t>-5.7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8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525.0K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BFLYZ</t>
        </is>
      </c>
      <c r="B20" s="16" t="n">
        <v>6650</v>
      </c>
      <c r="C20" s="16" t="n">
        <v>6650</v>
      </c>
      <c r="D20" s="16" t="inlineStr">
        <is>
          <t>0.006010</t>
        </is>
      </c>
      <c r="E20" s="16" t="inlineStr">
        <is>
          <t>0.100 SOL</t>
        </is>
      </c>
      <c r="F20" s="16" t="inlineStr">
        <is>
          <t>0.053 SOL</t>
        </is>
      </c>
      <c r="G20" s="21" t="inlineStr">
        <is>
          <t>-0.053 SOL</t>
        </is>
      </c>
      <c r="H20" s="21" t="inlineStr">
        <is>
          <t>-49.86%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07:34:41</t>
        </is>
      </c>
      <c r="M20" s="16" t="inlineStr">
        <is>
          <t>12 min</t>
        </is>
      </c>
      <c r="N20" s="16" t="inlineStr">
        <is>
          <t xml:space="preserve">          3M             1M           170K</t>
        </is>
      </c>
      <c r="O20" s="16" t="inlineStr">
        <is>
          <t>DDxS3mzbFiwPgmpK7j573MDvD7EQj5stPHZ8K8Wppump</t>
        </is>
      </c>
      <c r="P20" s="16">
        <f>HYPERLINK("https://dexscreener.com/solana/DDxS3mzbFiwPgmpK7j573MDvD7EQj5stPHZ8K8Wppump", "View")</f>
        <v/>
      </c>
    </row>
    <row r="21">
      <c r="A21" s="19" t="inlineStr">
        <is>
          <t>치비</t>
        </is>
      </c>
      <c r="B21" s="20" t="n">
        <v>1297850</v>
      </c>
      <c r="C21" s="20" t="n">
        <v>1297850</v>
      </c>
      <c r="D21" s="20" t="inlineStr">
        <is>
          <t>0.006010</t>
        </is>
      </c>
      <c r="E21" s="20" t="inlineStr">
        <is>
          <t>0.137 SOL</t>
        </is>
      </c>
      <c r="F21" s="20" t="inlineStr">
        <is>
          <t>0.298 SOL</t>
        </is>
      </c>
      <c r="G21" s="23" t="inlineStr">
        <is>
          <t>0.155 SOL</t>
        </is>
      </c>
      <c r="H21" s="23" t="inlineStr">
        <is>
          <t>108.71%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06:57:55</t>
        </is>
      </c>
      <c r="M21" s="18" t="inlineStr">
        <is>
          <t>52 sec</t>
        </is>
      </c>
      <c r="N21" s="20" t="inlineStr">
        <is>
          <t xml:space="preserve">         19K            40K             4K</t>
        </is>
      </c>
      <c r="O21" s="20" t="inlineStr">
        <is>
          <t>Brr65HPDUpnYinFiRFqMdFTRjX9mN9Bk9t77PHdTpump</t>
        </is>
      </c>
      <c r="P21" s="20">
        <f>HYPERLINK("https://photon-sol.tinyastro.io/en/lp/Brr65HPDUpnYinFiRFqMdFTRjX9mN9Bk9t77PHdTpump?handle=676050794bc1b1657a56b", "View")</f>
        <v/>
      </c>
    </row>
    <row r="22">
      <c r="A22" s="15" t="inlineStr">
        <is>
          <t>COLIN</t>
        </is>
      </c>
      <c r="B22" s="16" t="n">
        <v>1603805</v>
      </c>
      <c r="C22" s="16" t="n">
        <v>1603805</v>
      </c>
      <c r="D22" s="16" t="inlineStr">
        <is>
          <t>0.006010</t>
        </is>
      </c>
      <c r="E22" s="16" t="inlineStr">
        <is>
          <t>0.119 SOL</t>
        </is>
      </c>
      <c r="F22" s="16" t="inlineStr">
        <is>
          <t>0.066 SOL</t>
        </is>
      </c>
      <c r="G22" s="21" t="inlineStr">
        <is>
          <t>-0.059 SOL</t>
        </is>
      </c>
      <c r="H22" s="21" t="inlineStr">
        <is>
          <t>-46.84%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06:55:59</t>
        </is>
      </c>
      <c r="M22" s="16" t="inlineStr">
        <is>
          <t>1 min</t>
        </is>
      </c>
      <c r="N22" s="16" t="inlineStr">
        <is>
          <t xml:space="preserve">         12K             7K             5K</t>
        </is>
      </c>
      <c r="O22" s="16" t="inlineStr">
        <is>
          <t>DYun9hK6Y5HeWBoRMFGyKZfZt5GztLoa3ErrgUzTpump</t>
        </is>
      </c>
      <c r="P22" s="16">
        <f>HYPERLINK("https://photon-sol.tinyastro.io/en/lp/DYun9hK6Y5HeWBoRMFGyKZfZt5GztLoa3ErrgUzTpump?handle=676050794bc1b1657a56b", "View")</f>
        <v/>
      </c>
    </row>
    <row r="23">
      <c r="A23" s="19" t="inlineStr">
        <is>
          <t>GG</t>
        </is>
      </c>
      <c r="B23" s="20" t="n">
        <v>418455</v>
      </c>
      <c r="C23" s="20" t="n">
        <v>418455</v>
      </c>
      <c r="D23" s="20" t="inlineStr">
        <is>
          <t>0.006010</t>
        </is>
      </c>
      <c r="E23" s="20" t="inlineStr">
        <is>
          <t>0.110 SOL</t>
        </is>
      </c>
      <c r="F23" s="20" t="inlineStr">
        <is>
          <t>0.017 SOL</t>
        </is>
      </c>
      <c r="G23" s="24" t="inlineStr">
        <is>
          <t>-0.098 SOL</t>
        </is>
      </c>
      <c r="H23" s="24" t="inlineStr">
        <is>
          <t>-84.87%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06:54:48</t>
        </is>
      </c>
      <c r="M23" s="20" t="inlineStr">
        <is>
          <t>12 min</t>
        </is>
      </c>
      <c r="N23" s="20" t="inlineStr">
        <is>
          <t xml:space="preserve">         46K             7K             4K</t>
        </is>
      </c>
      <c r="O23" s="20" t="inlineStr">
        <is>
          <t>FcmwNqBmM5Qo3dZXEkhsFGRQTLCDJrhzzb9ubjKrpump</t>
        </is>
      </c>
      <c r="P23" s="20">
        <f>HYPERLINK("https://photon-sol.tinyastro.io/en/lp/FcmwNqBmM5Qo3dZXEkhsFGRQTLCDJrhzzb9ubjKrpump?handle=676050794bc1b1657a56b", "View")</f>
        <v/>
      </c>
    </row>
    <row r="24">
      <c r="A24" s="15" t="inlineStr">
        <is>
          <t>LUCE</t>
        </is>
      </c>
      <c r="B24" s="16" t="n">
        <v>16563</v>
      </c>
      <c r="C24" s="16" t="n">
        <v>6765</v>
      </c>
      <c r="D24" s="16" t="inlineStr">
        <is>
          <t>0.006340</t>
        </is>
      </c>
      <c r="E24" s="16" t="inlineStr">
        <is>
          <t>0.500 SOL</t>
        </is>
      </c>
      <c r="F24" s="16" t="inlineStr">
        <is>
          <t>1.350 SOL</t>
        </is>
      </c>
      <c r="G24" s="23" t="inlineStr">
        <is>
          <t>0.844 SOL</t>
        </is>
      </c>
      <c r="H24" s="23" t="inlineStr">
        <is>
          <t>166.63%</t>
        </is>
      </c>
      <c r="I24" s="16" t="inlineStr">
        <is>
          <t>N/A</t>
        </is>
      </c>
      <c r="J24" s="16" t="n">
        <v>1</v>
      </c>
      <c r="K24" s="16" t="n">
        <v>2</v>
      </c>
      <c r="L24" s="16" t="inlineStr">
        <is>
          <t>29.10.2024 14:18:24</t>
        </is>
      </c>
      <c r="M24" s="16" t="inlineStr">
        <is>
          <t>20 hours</t>
        </is>
      </c>
      <c r="N24" s="16" t="inlineStr">
        <is>
          <t xml:space="preserve">          5M            25M            57M</t>
        </is>
      </c>
      <c r="O24" s="16" t="inlineStr">
        <is>
          <t>CBdCxKo9QavR9hfShgpEBG3zekorAeD7W1jfq2o3pump</t>
        </is>
      </c>
      <c r="P24" s="16">
        <f>HYPERLINK("https://dexscreener.com/solana/CBdCxKo9QavR9hfShgpEBG3zekorAeD7W1jfq2o3pump", "View")</f>
        <v/>
      </c>
    </row>
    <row r="25">
      <c r="A25" s="19" t="inlineStr">
        <is>
          <t>ai16z</t>
        </is>
      </c>
      <c r="B25" s="20" t="n">
        <v>4181</v>
      </c>
      <c r="C25" s="20" t="n">
        <v>1943</v>
      </c>
      <c r="D25" s="20" t="inlineStr">
        <is>
          <t>0.009020</t>
        </is>
      </c>
      <c r="E25" s="20" t="inlineStr">
        <is>
          <t>1.000 SOL</t>
        </is>
      </c>
      <c r="F25" s="20" t="inlineStr">
        <is>
          <t>0.494 SOL</t>
        </is>
      </c>
      <c r="G25" s="24" t="inlineStr">
        <is>
          <t>-0.515 SOL</t>
        </is>
      </c>
      <c r="H25" s="24" t="inlineStr">
        <is>
          <t>-51.06%</t>
        </is>
      </c>
      <c r="I25" s="20" t="inlineStr">
        <is>
          <t>N/A</t>
        </is>
      </c>
      <c r="J25" s="20" t="n">
        <v>2</v>
      </c>
      <c r="K25" s="20" t="n">
        <v>1</v>
      </c>
      <c r="L25" s="20" t="inlineStr">
        <is>
          <t>28.10.2024 02:50:32</t>
        </is>
      </c>
      <c r="M25" s="20" t="inlineStr">
        <is>
          <t>4 min</t>
        </is>
      </c>
      <c r="N25" s="20" t="inlineStr">
        <is>
          <t xml:space="preserve">         46M            46M            23M</t>
        </is>
      </c>
      <c r="O25" s="20" t="inlineStr">
        <is>
          <t>HeLp6NuQkmYB4pYWo2zYs22mESHXPQYzXbB8n4V98jwC</t>
        </is>
      </c>
      <c r="P25" s="20">
        <f>HYPERLINK("https://dexscreener.com/solana/HeLp6NuQkmYB4pYWo2zYs22mESHXPQYzXbB8n4V98jwC", "View")</f>
        <v/>
      </c>
    </row>
    <row r="26">
      <c r="A26" s="15" t="inlineStr">
        <is>
          <t>test</t>
        </is>
      </c>
      <c r="B26" s="16" t="n">
        <v>344423</v>
      </c>
      <c r="C26" s="16" t="n">
        <v>0</v>
      </c>
      <c r="D26" s="16" t="inlineStr">
        <is>
          <t>0.003010</t>
        </is>
      </c>
      <c r="E26" s="16" t="inlineStr">
        <is>
          <t>1.000 SOL</t>
        </is>
      </c>
      <c r="F26" s="16" t="inlineStr">
        <is>
          <t>0.000 SOL</t>
        </is>
      </c>
      <c r="G26" s="17" t="inlineStr">
        <is>
          <t>-1.003 SOL</t>
        </is>
      </c>
      <c r="H26" s="17" t="inlineStr">
        <is>
          <t>0.00%</t>
        </is>
      </c>
      <c r="I26" s="16" t="inlineStr">
        <is>
          <t>344,423</t>
        </is>
      </c>
      <c r="J26" s="16" t="n">
        <v>1</v>
      </c>
      <c r="K26" s="16" t="n">
        <v>0</v>
      </c>
      <c r="L26" s="16" t="inlineStr">
        <is>
          <t>24.10.2024 06:20:27</t>
        </is>
      </c>
      <c r="M26" s="18" t="inlineStr">
        <is>
          <t>0 sec</t>
        </is>
      </c>
      <c r="N26" s="16" t="inlineStr">
        <is>
          <t xml:space="preserve">        509K           509K           398K</t>
        </is>
      </c>
      <c r="O26" s="16" t="inlineStr">
        <is>
          <t>4Hcm1TfA1MvVhCQHvJCcKL7ymUhJZAV7P439H5ZHnKRh</t>
        </is>
      </c>
      <c r="P26" s="16">
        <f>HYPERLINK("https://dexscreener.com/solana/4Hcm1TfA1MvVhCQHvJCcKL7ymUhJZAV7P439H5ZHnKRh", "View")</f>
        <v/>
      </c>
    </row>
    <row r="27">
      <c r="A27" s="19" t="inlineStr">
        <is>
          <t>flavia</t>
        </is>
      </c>
      <c r="B27" s="20" t="n">
        <v>4852</v>
      </c>
      <c r="C27" s="20" t="n">
        <v>0</v>
      </c>
      <c r="D27" s="20" t="inlineStr">
        <is>
          <t>0.003010</t>
        </is>
      </c>
      <c r="E27" s="20" t="inlineStr">
        <is>
          <t>1.000 SOL</t>
        </is>
      </c>
      <c r="F27" s="20" t="inlineStr">
        <is>
          <t>0.000 SOL</t>
        </is>
      </c>
      <c r="G27" s="17" t="inlineStr">
        <is>
          <t>-1.003 SOL</t>
        </is>
      </c>
      <c r="H27" s="17" t="inlineStr">
        <is>
          <t>0.00%</t>
        </is>
      </c>
      <c r="I27" s="20" t="inlineStr">
        <is>
          <t>4,852</t>
        </is>
      </c>
      <c r="J27" s="20" t="n">
        <v>1</v>
      </c>
      <c r="K27" s="20" t="n">
        <v>0</v>
      </c>
      <c r="L27" s="20" t="inlineStr">
        <is>
          <t>24.10.2024 06:20:08</t>
        </is>
      </c>
      <c r="M27" s="18" t="inlineStr">
        <is>
          <t>0 sec</t>
        </is>
      </c>
      <c r="N27" s="20" t="inlineStr">
        <is>
          <t xml:space="preserve">         36M            36M             1M</t>
        </is>
      </c>
      <c r="O27" s="20" t="inlineStr">
        <is>
          <t>3HYx6a9whu5a4dnzE62WNXg46MrEmu9LFxutR2YBpump</t>
        </is>
      </c>
      <c r="P27" s="20">
        <f>HYPERLINK("https://dexscreener.com/solana/3HYx6a9whu5a4dnzE62WNXg46MrEmu9LFxutR2YBpump", "View")</f>
        <v/>
      </c>
    </row>
    <row r="28">
      <c r="A28" s="15" t="inlineStr">
        <is>
          <t>OPUS</t>
        </is>
      </c>
      <c r="B28" s="16" t="n">
        <v>29956</v>
      </c>
      <c r="C28" s="16" t="n">
        <v>0</v>
      </c>
      <c r="D28" s="16" t="inlineStr">
        <is>
          <t>0.003010</t>
        </is>
      </c>
      <c r="E28" s="16" t="inlineStr">
        <is>
          <t>0.500 SOL</t>
        </is>
      </c>
      <c r="F28" s="16" t="inlineStr">
        <is>
          <t>0.000 SOL</t>
        </is>
      </c>
      <c r="G28" s="17" t="inlineStr">
        <is>
          <t>-0.503 SOL</t>
        </is>
      </c>
      <c r="H28" s="17" t="inlineStr">
        <is>
          <t>0.00%</t>
        </is>
      </c>
      <c r="I28" s="16" t="inlineStr">
        <is>
          <t>29,956</t>
        </is>
      </c>
      <c r="J28" s="16" t="n">
        <v>1</v>
      </c>
      <c r="K28" s="16" t="n">
        <v>0</v>
      </c>
      <c r="L28" s="16" t="inlineStr">
        <is>
          <t>23.10.2024 12:34:25</t>
        </is>
      </c>
      <c r="M28" s="18" t="inlineStr">
        <is>
          <t>0 sec</t>
        </is>
      </c>
      <c r="N28" s="16" t="inlineStr">
        <is>
          <t xml:space="preserve">          3M             3M             4M</t>
        </is>
      </c>
      <c r="O28" s="16" t="inlineStr">
        <is>
          <t>9JhFqCA21MoAXs2PTaeqNQp2XngPn1PgYr2rsEVCpump</t>
        </is>
      </c>
      <c r="P28" s="16">
        <f>HYPERLINK("https://dexscreener.com/solana/9JhFqCA21MoAXs2PTaeqNQp2XngPn1PgYr2rsEVCpump", "View")</f>
        <v/>
      </c>
    </row>
    <row r="29">
      <c r="A29" s="19" t="inlineStr">
        <is>
          <t>Claude</t>
        </is>
      </c>
      <c r="B29" s="20" t="n">
        <v>6892794</v>
      </c>
      <c r="C29" s="20" t="n">
        <v>3114874</v>
      </c>
      <c r="D29" s="20" t="inlineStr">
        <is>
          <t>0.003420</t>
        </is>
      </c>
      <c r="E29" s="20" t="inlineStr">
        <is>
          <t>0.510 SOL</t>
        </is>
      </c>
      <c r="F29" s="20" t="inlineStr">
        <is>
          <t>0.500 SOL</t>
        </is>
      </c>
      <c r="G29" s="21" t="inlineStr">
        <is>
          <t>-0.014 SOL</t>
        </is>
      </c>
      <c r="H29" s="21" t="inlineStr">
        <is>
          <t>-2.70%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23.10.2024 11:25:56</t>
        </is>
      </c>
      <c r="M29" s="20" t="inlineStr">
        <is>
          <t>1 days</t>
        </is>
      </c>
      <c r="N29" s="20" t="inlineStr">
        <is>
          <t xml:space="preserve">         12K            12K             8K</t>
        </is>
      </c>
      <c r="O29" s="20" t="inlineStr">
        <is>
          <t>HaL8cPcEZgwLaCbwyf6aAPh7rhw7iHck22zFXSNjpump</t>
        </is>
      </c>
      <c r="P29" s="20">
        <f>HYPERLINK("https://photon-sol.tinyastro.io/en/lp/HaL8cPcEZgwLaCbwyf6aAPh7rhw7iHck22zFXSNjpump?handle=676050794bc1b1657a56b", "View")</f>
        <v/>
      </c>
    </row>
    <row r="30">
      <c r="A30" s="15" t="inlineStr">
        <is>
          <t>kleros</t>
        </is>
      </c>
      <c r="B30" s="16" t="n">
        <v>282384</v>
      </c>
      <c r="C30" s="16" t="n">
        <v>0</v>
      </c>
      <c r="D30" s="16" t="inlineStr">
        <is>
          <t>0.006010</t>
        </is>
      </c>
      <c r="E30" s="16" t="inlineStr">
        <is>
          <t>1.000 SOL</t>
        </is>
      </c>
      <c r="F30" s="16" t="inlineStr">
        <is>
          <t>0.000 SOL</t>
        </is>
      </c>
      <c r="G30" s="17" t="inlineStr">
        <is>
          <t>-1.006 SOL</t>
        </is>
      </c>
      <c r="H30" s="17" t="inlineStr">
        <is>
          <t>0.00%</t>
        </is>
      </c>
      <c r="I30" s="16" t="inlineStr">
        <is>
          <t>282,384</t>
        </is>
      </c>
      <c r="J30" s="16" t="n">
        <v>2</v>
      </c>
      <c r="K30" s="16" t="n">
        <v>0</v>
      </c>
      <c r="L30" s="16" t="inlineStr">
        <is>
          <t>23.10.2024 10:49:23</t>
        </is>
      </c>
      <c r="M30" s="16" t="inlineStr">
        <is>
          <t>4 min</t>
        </is>
      </c>
      <c r="N30" s="16" t="inlineStr">
        <is>
          <t xml:space="preserve">        541K           732K            13K</t>
        </is>
      </c>
      <c r="O30" s="16" t="inlineStr">
        <is>
          <t>6G9UoNmvtpgdwzwNQuqCrTD4Bz3j8VyKVJPsjKnrpump</t>
        </is>
      </c>
      <c r="P30" s="16">
        <f>HYPERLINK("https://dexscreener.com/solana/6G9UoNmvtpgdwzwNQuqCrTD4Bz3j8VyKVJPsjKnrpump", "View")</f>
        <v/>
      </c>
    </row>
    <row r="31">
      <c r="A31" s="19" t="inlineStr">
        <is>
          <t>CLINST</t>
        </is>
      </c>
      <c r="B31" s="20" t="n">
        <v>82861</v>
      </c>
      <c r="C31" s="20" t="n">
        <v>0</v>
      </c>
      <c r="D31" s="20" t="inlineStr">
        <is>
          <t>0.004960</t>
        </is>
      </c>
      <c r="E31" s="20" t="inlineStr">
        <is>
          <t>0.500 SOL</t>
        </is>
      </c>
      <c r="F31" s="20" t="inlineStr">
        <is>
          <t>0.000 SOL</t>
        </is>
      </c>
      <c r="G31" s="17" t="inlineStr">
        <is>
          <t>-0.505 SOL</t>
        </is>
      </c>
      <c r="H31" s="17" t="inlineStr">
        <is>
          <t>0.00%</t>
        </is>
      </c>
      <c r="I31" s="20" t="inlineStr">
        <is>
          <t>82,861</t>
        </is>
      </c>
      <c r="J31" s="20" t="n">
        <v>1</v>
      </c>
      <c r="K31" s="20" t="n">
        <v>0</v>
      </c>
      <c r="L31" s="20" t="inlineStr">
        <is>
          <t>23.10.2024 09:46:55</t>
        </is>
      </c>
      <c r="M31" s="18" t="inlineStr">
        <is>
          <t>0 sec</t>
        </is>
      </c>
      <c r="N31" s="20" t="inlineStr">
        <is>
          <t xml:space="preserve">          1M             1M            97K</t>
        </is>
      </c>
      <c r="O31" s="20" t="inlineStr">
        <is>
          <t>8jv1q4Z1jbd22A5MSWruC77DhHESwMr6Er3D8hBXpump</t>
        </is>
      </c>
      <c r="P31" s="20">
        <f>HYPERLINK("https://dexscreener.com/solana/8jv1q4Z1jbd22A5MSWruC77DhHESwMr6Er3D8hBXpump", "View")</f>
        <v/>
      </c>
    </row>
    <row r="32">
      <c r="A32" s="15" t="inlineStr">
        <is>
          <t>Lima AI</t>
        </is>
      </c>
      <c r="B32" s="16" t="n">
        <v>10021158</v>
      </c>
      <c r="C32" s="16" t="n">
        <v>0</v>
      </c>
      <c r="D32" s="16" t="inlineStr">
        <is>
          <t>0.000220</t>
        </is>
      </c>
      <c r="E32" s="16" t="inlineStr">
        <is>
          <t>0.510 SOL</t>
        </is>
      </c>
      <c r="F32" s="16" t="inlineStr">
        <is>
          <t>0.000 SOL</t>
        </is>
      </c>
      <c r="G32" s="17" t="inlineStr">
        <is>
          <t>-0.510 SOL</t>
        </is>
      </c>
      <c r="H32" s="17" t="inlineStr">
        <is>
          <t>0.00%</t>
        </is>
      </c>
      <c r="I32" s="16" t="inlineStr">
        <is>
          <t>10,021,158</t>
        </is>
      </c>
      <c r="J32" s="16" t="n">
        <v>1</v>
      </c>
      <c r="K32" s="16" t="n">
        <v>0</v>
      </c>
      <c r="L32" s="16" t="inlineStr">
        <is>
          <t>22.10.2024 07:23:32</t>
        </is>
      </c>
      <c r="M32" s="18" t="inlineStr">
        <is>
          <t>0 sec</t>
        </is>
      </c>
      <c r="N32" s="16" t="inlineStr">
        <is>
          <t xml:space="preserve">          9K             9K             4K</t>
        </is>
      </c>
      <c r="O32" s="16" t="inlineStr">
        <is>
          <t>2Ft2kpgH43s98Q8wPksAqejM9cse4wueuzu9ypzspump</t>
        </is>
      </c>
      <c r="P32" s="16">
        <f>HYPERLINK("https://photon-sol.tinyastro.io/en/lp/2Ft2kpgH43s98Q8wPksAqejM9cse4wueuzu9ypzspump?handle=676050794bc1b1657a56b", "View")</f>
        <v/>
      </c>
    </row>
    <row r="33">
      <c r="A33" s="19" t="inlineStr">
        <is>
          <t>MCAT</t>
        </is>
      </c>
      <c r="B33" s="20" t="n">
        <v>6460258</v>
      </c>
      <c r="C33" s="20" t="n">
        <v>0</v>
      </c>
      <c r="D33" s="20" t="inlineStr">
        <is>
          <t>0.000420</t>
        </is>
      </c>
      <c r="E33" s="20" t="inlineStr">
        <is>
          <t>0.510 SOL</t>
        </is>
      </c>
      <c r="F33" s="20" t="inlineStr">
        <is>
          <t>0.000 SOL</t>
        </is>
      </c>
      <c r="G33" s="17" t="inlineStr">
        <is>
          <t>-0.511 SOL</t>
        </is>
      </c>
      <c r="H33" s="17" t="inlineStr">
        <is>
          <t>0.00%</t>
        </is>
      </c>
      <c r="I33" s="20" t="inlineStr">
        <is>
          <t>6,460,258</t>
        </is>
      </c>
      <c r="J33" s="20" t="n">
        <v>1</v>
      </c>
      <c r="K33" s="20" t="n">
        <v>0</v>
      </c>
      <c r="L33" s="20" t="inlineStr">
        <is>
          <t>22.10.2024 07:22:38</t>
        </is>
      </c>
      <c r="M33" s="18" t="inlineStr">
        <is>
          <t>0 sec</t>
        </is>
      </c>
      <c r="N33" s="20" t="inlineStr">
        <is>
          <t xml:space="preserve">        N/A           N/A           N/A</t>
        </is>
      </c>
      <c r="O33" s="20" t="inlineStr">
        <is>
          <t>D9fJwRdzNgh85MApLvQ5cKenhdk5DEoJbfnR9xJjAyVJ</t>
        </is>
      </c>
      <c r="P33" s="20">
        <f>HYPERLINK("https://photon-sol.tinyastro.io/en/lp/D9fJwRdzNgh85MApLvQ5cKenhdk5DEoJbfnR9xJjAyVJ?handle=676050794bc1b1657a56b", "View")</f>
        <v/>
      </c>
    </row>
    <row r="34">
      <c r="A34" s="15" t="inlineStr">
        <is>
          <t>Qliphoth</t>
        </is>
      </c>
      <c r="B34" s="16" t="n">
        <v>3630463</v>
      </c>
      <c r="C34" s="16" t="n">
        <v>774813</v>
      </c>
      <c r="D34" s="16" t="inlineStr">
        <is>
          <t>0.003420</t>
        </is>
      </c>
      <c r="E34" s="16" t="inlineStr">
        <is>
          <t>0.510 SOL</t>
        </is>
      </c>
      <c r="F34" s="16" t="inlineStr">
        <is>
          <t>1.000 SOL</t>
        </is>
      </c>
      <c r="G34" s="23" t="inlineStr">
        <is>
          <t>0.486 SOL</t>
        </is>
      </c>
      <c r="H34" s="23" t="inlineStr">
        <is>
          <t>94.60%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22.10.2024 07:18:39</t>
        </is>
      </c>
      <c r="M34" s="16" t="inlineStr">
        <is>
          <t>49 min</t>
        </is>
      </c>
      <c r="N34" s="16" t="inlineStr">
        <is>
          <t xml:space="preserve">         25K           227K             4K</t>
        </is>
      </c>
      <c r="O34" s="16" t="inlineStr">
        <is>
          <t>9StrGbWhX8nuKSuTNjv5B3BgfLNrbk3c3Hh9YB85pump</t>
        </is>
      </c>
      <c r="P34" s="16">
        <f>HYPERLINK("https://photon-sol.tinyastro.io/en/lp/9StrGbWhX8nuKSuTNjv5B3BgfLNrbk3c3Hh9YB85pump?handle=676050794bc1b1657a56b", "View")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33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HYPERLINK("https://gmgn.ai/sol/address/8h9qMcPD6EddExbrgaxWNh966WvWZVC8LtwoWYzM7mUV", "GMGN")</f>
        <v/>
      </c>
    </row>
    <row r="2">
      <c r="A2" s="3" t="inlineStr">
        <is>
          <t>8h9qMcPD6EddExbrgaxWNh966WvWZVC8LtwoWYzM7mUV</t>
        </is>
      </c>
      <c r="B2" s="3" t="inlineStr">
        <is>
          <t>5.92 SOL</t>
        </is>
      </c>
      <c r="C2" s="3" t="inlineStr">
        <is>
          <t>24%</t>
        </is>
      </c>
      <c r="D2" s="3" t="inlineStr">
        <is>
          <t>-7%</t>
        </is>
      </c>
      <c r="E2" s="3" t="inlineStr">
        <is>
          <t>-3.88 SOL</t>
        </is>
      </c>
      <c r="F2" s="3" t="inlineStr">
        <is>
          <t>0 (0%)</t>
        </is>
      </c>
      <c r="G2" s="3" t="inlineStr">
        <is>
          <t>0 (0%)</t>
        </is>
      </c>
      <c r="H2" s="3" t="n">
        <v>114</v>
      </c>
      <c r="I2" s="3" t="n">
        <v>36</v>
      </c>
      <c r="J2" s="3" t="inlineStr">
        <is>
          <t>88 days</t>
        </is>
      </c>
      <c r="K2" s="3" t="inlineStr">
        <is>
          <t>9 h</t>
        </is>
      </c>
      <c r="L2" s="3" t="n">
        <v>9</v>
      </c>
      <c r="M2" s="3" t="n">
        <v>54</v>
      </c>
      <c r="N2" s="3">
        <f>HYPERLINK("https://solscan.io/account/8h9qMcPD6EddExbrgaxWNh966WvWZVC8LtwoWYzM7mUV", "Solscan")</f>
        <v/>
      </c>
    </row>
    <row r="3">
      <c r="A3" s="6" t="inlineStr">
        <is>
          <t>Median ROI</t>
        </is>
      </c>
      <c r="B3" s="5" t="inlineStr">
        <is>
          <t>-100.00%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HYPERLINK("https://birdeye.so/profile/8h9qMcPD6EddExbrgaxWNh966WvWZVC8LtwoWYzM7mUV", "Birdeye")</f>
        <v/>
      </c>
    </row>
    <row r="4">
      <c r="A4" s="6" t="inlineStr">
        <is>
          <t>Rockets percent</t>
        </is>
      </c>
      <c r="B4" s="3" t="inlineStr">
        <is>
          <t>14%</t>
        </is>
      </c>
      <c r="C4" s="3" t="inlineStr"/>
      <c r="D4" s="3" t="inlineStr">
        <is>
          <t>7%</t>
        </is>
      </c>
      <c r="E4" s="3" t="inlineStr">
        <is>
          <t>3.64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108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1.4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4</v>
      </c>
      <c r="C10" s="6" t="n">
        <v>12</v>
      </c>
      <c r="D10" s="6" t="n">
        <v>7</v>
      </c>
      <c r="E10" s="6" t="n">
        <v>4</v>
      </c>
      <c r="F10" s="6" t="n">
        <v>12</v>
      </c>
      <c r="G10" s="6" t="n">
        <v>75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3.5%</t>
        </is>
      </c>
      <c r="C11" s="6" t="inlineStr">
        <is>
          <t>10.5%</t>
        </is>
      </c>
      <c r="D11" s="6" t="inlineStr">
        <is>
          <t>6.1%</t>
        </is>
      </c>
      <c r="E11" s="6" t="inlineStr">
        <is>
          <t>3.5%</t>
        </is>
      </c>
      <c r="F11" s="6" t="inlineStr">
        <is>
          <t>10.5%</t>
        </is>
      </c>
      <c r="G11" s="6" t="inlineStr">
        <is>
          <t>65.8%</t>
        </is>
      </c>
      <c r="H11" s="3" t="n"/>
      <c r="I11" s="3" t="inlineStr">
        <is>
          <t>5k-30k</t>
        </is>
      </c>
      <c r="J11" s="3" t="inlineStr">
        <is>
          <t>10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18.6 SOL</t>
        </is>
      </c>
      <c r="C12" s="6" t="inlineStr">
        <is>
          <t>7.0 SOL</t>
        </is>
      </c>
      <c r="D12" s="6" t="inlineStr">
        <is>
          <t>2.9 SOL</t>
        </is>
      </c>
      <c r="E12" s="6" t="inlineStr">
        <is>
          <t>0.2 SOL</t>
        </is>
      </c>
      <c r="F12" s="6" t="inlineStr">
        <is>
          <t>-2.0 SOL</t>
        </is>
      </c>
      <c r="G12" s="6" t="inlineStr">
        <is>
          <t>-30.6 SOL</t>
        </is>
      </c>
      <c r="H12" s="3" t="n"/>
      <c r="I12" s="3" t="inlineStr">
        <is>
          <t>30k-100k</t>
        </is>
      </c>
      <c r="J12" s="3" t="inlineStr">
        <is>
          <t>30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46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27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130.0K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foo</t>
        </is>
      </c>
      <c r="B20" s="16" t="n">
        <v>3674530</v>
      </c>
      <c r="C20" s="16" t="n">
        <v>3674530</v>
      </c>
      <c r="D20" s="16" t="inlineStr">
        <is>
          <t>0.004210</t>
        </is>
      </c>
      <c r="E20" s="16" t="inlineStr">
        <is>
          <t>0.514 SOL</t>
        </is>
      </c>
      <c r="F20" s="16" t="inlineStr">
        <is>
          <t>3.991 SOL</t>
        </is>
      </c>
      <c r="G20" s="23" t="inlineStr">
        <is>
          <t>3.472 SOL</t>
        </is>
      </c>
      <c r="H20" s="23" t="inlineStr">
        <is>
          <t>669.32%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15:42:17</t>
        </is>
      </c>
      <c r="M20" s="16" t="inlineStr">
        <is>
          <t>4 hours</t>
        </is>
      </c>
      <c r="N20" s="16" t="inlineStr">
        <is>
          <t xml:space="preserve">         25K            25K             7K</t>
        </is>
      </c>
      <c r="O20" s="16" t="inlineStr">
        <is>
          <t>41g7KyGh4u6QFkZAEEK1cLYjHfg6TMWECE1YTc5apump</t>
        </is>
      </c>
      <c r="P20" s="16">
        <f>HYPERLINK("https://photon-sol.tinyastro.io/en/lp/41g7KyGh4u6QFkZAEEK1cLYjHfg6TMWECE1YTc5apump?handle=676050794bc1b1657a56b", "View")</f>
        <v/>
      </c>
    </row>
    <row r="21">
      <c r="A21" s="19" t="inlineStr">
        <is>
          <t>512</t>
        </is>
      </c>
      <c r="B21" s="20" t="n">
        <v>4085961</v>
      </c>
      <c r="C21" s="20" t="n">
        <v>4085961</v>
      </c>
      <c r="D21" s="20" t="inlineStr">
        <is>
          <t>0.008420</t>
        </is>
      </c>
      <c r="E21" s="20" t="inlineStr">
        <is>
          <t>0.815 SOL</t>
        </is>
      </c>
      <c r="F21" s="20" t="inlineStr">
        <is>
          <t>0.575 SOL</t>
        </is>
      </c>
      <c r="G21" s="21" t="inlineStr">
        <is>
          <t>-0.248 SOL</t>
        </is>
      </c>
      <c r="H21" s="21" t="inlineStr">
        <is>
          <t>-30.13%</t>
        </is>
      </c>
      <c r="I21" s="20" t="inlineStr">
        <is>
          <t>N/A</t>
        </is>
      </c>
      <c r="J21" s="20" t="n">
        <v>2</v>
      </c>
      <c r="K21" s="20" t="n">
        <v>2</v>
      </c>
      <c r="L21" s="20" t="inlineStr">
        <is>
          <t>30.10.2024 13:36:52</t>
        </is>
      </c>
      <c r="M21" s="20" t="inlineStr">
        <is>
          <t>8 hours</t>
        </is>
      </c>
      <c r="N21" s="20" t="inlineStr">
        <is>
          <t xml:space="preserve">         47K            18K             3K</t>
        </is>
      </c>
      <c r="O21" s="20" t="inlineStr">
        <is>
          <t>4XS5MgmvZQog526unuBdgdaqPE7ZBJfgf7XBAjwppump</t>
        </is>
      </c>
      <c r="P21" s="20">
        <f>HYPERLINK("https://photon-sol.tinyastro.io/en/lp/4XS5MgmvZQog526unuBdgdaqPE7ZBJfgf7XBAjwppump?handle=676050794bc1b1657a56b", "View")</f>
        <v/>
      </c>
    </row>
    <row r="22">
      <c r="A22" s="15" t="inlineStr">
        <is>
          <t>DAB</t>
        </is>
      </c>
      <c r="B22" s="16" t="n">
        <v>3346089</v>
      </c>
      <c r="C22" s="16" t="n">
        <v>3346089</v>
      </c>
      <c r="D22" s="16" t="inlineStr">
        <is>
          <t>0.004210</t>
        </is>
      </c>
      <c r="E22" s="16" t="inlineStr">
        <is>
          <t>0.517 SOL</t>
        </is>
      </c>
      <c r="F22" s="16" t="inlineStr">
        <is>
          <t>2.447 SOL</t>
        </is>
      </c>
      <c r="G22" s="23" t="inlineStr">
        <is>
          <t>1.925 SOL</t>
        </is>
      </c>
      <c r="H22" s="23" t="inlineStr">
        <is>
          <t>369.33%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11:01:09</t>
        </is>
      </c>
      <c r="M22" s="16" t="inlineStr">
        <is>
          <t>11 min</t>
        </is>
      </c>
      <c r="N22" s="16" t="inlineStr">
        <is>
          <t xml:space="preserve">         26K           128K             4K</t>
        </is>
      </c>
      <c r="O22" s="16" t="inlineStr">
        <is>
          <t>ENUi1y6e6BJJefCa967J6qS5ujJwmWEzvpYci2xvpump</t>
        </is>
      </c>
      <c r="P22" s="16">
        <f>HYPERLINK("https://photon-sol.tinyastro.io/en/lp/ENUi1y6e6BJJefCa967J6qS5ujJwmWEzvpYci2xvpump?handle=676050794bc1b1657a56b", "View")</f>
        <v/>
      </c>
    </row>
    <row r="23">
      <c r="A23" s="19" t="inlineStr">
        <is>
          <t>Bakso</t>
        </is>
      </c>
      <c r="B23" s="20" t="n">
        <v>16370</v>
      </c>
      <c r="C23" s="20" t="n">
        <v>16370</v>
      </c>
      <c r="D23" s="20" t="inlineStr">
        <is>
          <t>0.000710</t>
        </is>
      </c>
      <c r="E23" s="20" t="inlineStr">
        <is>
          <t>1.000 SOL</t>
        </is>
      </c>
      <c r="F23" s="20" t="inlineStr">
        <is>
          <t>0.070 SOL</t>
        </is>
      </c>
      <c r="G23" s="24" t="inlineStr">
        <is>
          <t>-0.930 SOL</t>
        </is>
      </c>
      <c r="H23" s="24" t="inlineStr">
        <is>
          <t>-92.96%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10:21:00</t>
        </is>
      </c>
      <c r="M23" s="20" t="inlineStr">
        <is>
          <t>13 days</t>
        </is>
      </c>
      <c r="N23" s="20" t="inlineStr">
        <is>
          <t xml:space="preserve">         11M            11M           652K</t>
        </is>
      </c>
      <c r="O23" s="20" t="inlineStr">
        <is>
          <t>FqnqT1GKi8S4Gyk5wnSKvJjXW48HqGtKJt9WS4o2pump</t>
        </is>
      </c>
      <c r="P23" s="20">
        <f>HYPERLINK("https://dexscreener.com/solana/FqnqT1GKi8S4Gyk5wnSKvJjXW48HqGtKJt9WS4o2pump", "View")</f>
        <v/>
      </c>
    </row>
    <row r="24">
      <c r="A24" s="15" t="inlineStr">
        <is>
          <t>MAMA</t>
        </is>
      </c>
      <c r="B24" s="16" t="n">
        <v>150543</v>
      </c>
      <c r="C24" s="16" t="n">
        <v>150543</v>
      </c>
      <c r="D24" s="16" t="inlineStr">
        <is>
          <t>0.000710</t>
        </is>
      </c>
      <c r="E24" s="16" t="inlineStr">
        <is>
          <t>1.000 SOL</t>
        </is>
      </c>
      <c r="F24" s="16" t="inlineStr">
        <is>
          <t>0.108 SOL</t>
        </is>
      </c>
      <c r="G24" s="24" t="inlineStr">
        <is>
          <t>-0.893 SOL</t>
        </is>
      </c>
      <c r="H24" s="24" t="inlineStr">
        <is>
          <t>-89.25%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10:19:43</t>
        </is>
      </c>
      <c r="M24" s="16" t="inlineStr">
        <is>
          <t>12 days</t>
        </is>
      </c>
      <c r="N24" s="16" t="inlineStr">
        <is>
          <t xml:space="preserve">          1M             1M           146K</t>
        </is>
      </c>
      <c r="O24" s="16" t="inlineStr">
        <is>
          <t>7qBKePC5SqZKDRNsbNhqD6Y6S8JW2CM3KoRv3ztDpump</t>
        </is>
      </c>
      <c r="P24" s="16">
        <f>HYPERLINK("https://dexscreener.com/solana/7qBKePC5SqZKDRNsbNhqD6Y6S8JW2CM3KoRv3ztDpump", "View")</f>
        <v/>
      </c>
    </row>
    <row r="25">
      <c r="A25" s="19" t="inlineStr">
        <is>
          <t>DOGEBEE</t>
        </is>
      </c>
      <c r="B25" s="20" t="n">
        <v>6139663</v>
      </c>
      <c r="C25" s="20" t="n">
        <v>0</v>
      </c>
      <c r="D25" s="20" t="inlineStr">
        <is>
          <t>0.003510</t>
        </is>
      </c>
      <c r="E25" s="20" t="inlineStr">
        <is>
          <t>0.517 SOL</t>
        </is>
      </c>
      <c r="F25" s="20" t="inlineStr">
        <is>
          <t>0.000 SOL</t>
        </is>
      </c>
      <c r="G25" s="17" t="inlineStr">
        <is>
          <t>-0.521 SOL</t>
        </is>
      </c>
      <c r="H25" s="17" t="inlineStr">
        <is>
          <t>0.00%</t>
        </is>
      </c>
      <c r="I25" s="20" t="inlineStr">
        <is>
          <t>6,139,663</t>
        </is>
      </c>
      <c r="J25" s="20" t="n">
        <v>1</v>
      </c>
      <c r="K25" s="20" t="n">
        <v>0</v>
      </c>
      <c r="L25" s="20" t="inlineStr">
        <is>
          <t>30.10.2024 09:06:36</t>
        </is>
      </c>
      <c r="M25" s="18" t="inlineStr">
        <is>
          <t>0 sec</t>
        </is>
      </c>
      <c r="N25" s="20" t="inlineStr">
        <is>
          <t xml:space="preserve">         14K            14K             5K</t>
        </is>
      </c>
      <c r="O25" s="20" t="inlineStr">
        <is>
          <t>G1EBHTnEGj2uEQ3f8kfaBVPY7LoJVzTKZaSLfqpwpump</t>
        </is>
      </c>
      <c r="P25" s="20">
        <f>HYPERLINK("https://photon-sol.tinyastro.io/en/lp/G1EBHTnEGj2uEQ3f8kfaBVPY7LoJVzTKZaSLfqpwpump?handle=676050794bc1b1657a56b", "View")</f>
        <v/>
      </c>
    </row>
    <row r="26">
      <c r="A26" s="15" t="inlineStr">
        <is>
          <t>dogat</t>
        </is>
      </c>
      <c r="B26" s="16" t="n">
        <v>3544979</v>
      </c>
      <c r="C26" s="16" t="n">
        <v>3544979</v>
      </c>
      <c r="D26" s="16" t="inlineStr">
        <is>
          <t>0.004210</t>
        </is>
      </c>
      <c r="E26" s="16" t="inlineStr">
        <is>
          <t>0.517 SOL</t>
        </is>
      </c>
      <c r="F26" s="16" t="inlineStr">
        <is>
          <t>0.988 SOL</t>
        </is>
      </c>
      <c r="G26" s="23" t="inlineStr">
        <is>
          <t>0.467 SOL</t>
        </is>
      </c>
      <c r="H26" s="23" t="inlineStr">
        <is>
          <t>89.52%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30.10.2024 04:37:20</t>
        </is>
      </c>
      <c r="M26" s="16" t="inlineStr">
        <is>
          <t>21 min</t>
        </is>
      </c>
      <c r="N26" s="16" t="inlineStr">
        <is>
          <t xml:space="preserve">         26K            49K           353K</t>
        </is>
      </c>
      <c r="O26" s="16" t="inlineStr">
        <is>
          <t>5pQSTDfeUppb6tV415RWygL8n3ctyakBTV7QzBn5pump</t>
        </is>
      </c>
      <c r="P26" s="16">
        <f>HYPERLINK("https://photon-sol.tinyastro.io/en/lp/5pQSTDfeUppb6tV415RWygL8n3ctyakBTV7QzBn5pump?handle=676050794bc1b1657a56b", "View")</f>
        <v/>
      </c>
    </row>
    <row r="27">
      <c r="A27" s="19" t="inlineStr">
        <is>
          <t>BB</t>
        </is>
      </c>
      <c r="B27" s="20" t="n">
        <v>94569</v>
      </c>
      <c r="C27" s="20" t="n">
        <v>94569</v>
      </c>
      <c r="D27" s="20" t="inlineStr">
        <is>
          <t>0.000710</t>
        </is>
      </c>
      <c r="E27" s="20" t="inlineStr">
        <is>
          <t>0.500 SOL</t>
        </is>
      </c>
      <c r="F27" s="20" t="inlineStr">
        <is>
          <t>0.126 SOL</t>
        </is>
      </c>
      <c r="G27" s="24" t="inlineStr">
        <is>
          <t>-0.375 SOL</t>
        </is>
      </c>
      <c r="H27" s="24" t="inlineStr">
        <is>
          <t>-74.86%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30.10.2024 02:17:33</t>
        </is>
      </c>
      <c r="M27" s="20" t="inlineStr">
        <is>
          <t>19 days</t>
        </is>
      </c>
      <c r="N27" s="20" t="inlineStr">
        <is>
          <t xml:space="preserve">        929K           929K           310K</t>
        </is>
      </c>
      <c r="O27" s="20" t="inlineStr">
        <is>
          <t>Fg4TfyY9WEp75QLkdoK936xNz656iEY2CHM6nnompump</t>
        </is>
      </c>
      <c r="P27" s="20">
        <f>HYPERLINK("https://dexscreener.com/solana/Fg4TfyY9WEp75QLkdoK936xNz656iEY2CHM6nnompump", "View")</f>
        <v/>
      </c>
    </row>
    <row r="28">
      <c r="A28" s="15" t="inlineStr">
        <is>
          <t>YRUGAY</t>
        </is>
      </c>
      <c r="B28" s="16" t="n">
        <v>145312</v>
      </c>
      <c r="C28" s="16" t="n">
        <v>145312</v>
      </c>
      <c r="D28" s="16" t="inlineStr">
        <is>
          <t>0.000720</t>
        </is>
      </c>
      <c r="E28" s="16" t="inlineStr">
        <is>
          <t>1.000 SOL</t>
        </is>
      </c>
      <c r="F28" s="16" t="inlineStr">
        <is>
          <t>0.142 SOL</t>
        </is>
      </c>
      <c r="G28" s="24" t="inlineStr">
        <is>
          <t>-0.858 SOL</t>
        </is>
      </c>
      <c r="H28" s="24" t="inlineStr">
        <is>
          <t>-85.78%</t>
        </is>
      </c>
      <c r="I28" s="16" t="inlineStr">
        <is>
          <t>N/A</t>
        </is>
      </c>
      <c r="J28" s="16" t="n">
        <v>2</v>
      </c>
      <c r="K28" s="16" t="n">
        <v>1</v>
      </c>
      <c r="L28" s="16" t="inlineStr">
        <is>
          <t>30.10.2024 02:16:38</t>
        </is>
      </c>
      <c r="M28" s="16" t="inlineStr">
        <is>
          <t>21 days</t>
        </is>
      </c>
      <c r="N28" s="16" t="inlineStr">
        <is>
          <t xml:space="preserve">          2M           952K           115K</t>
        </is>
      </c>
      <c r="O28" s="16" t="inlineStr">
        <is>
          <t>Gx3jYBPFCKzDZmg466yHtEuCXKUpYuXTUWFwq9etpump</t>
        </is>
      </c>
      <c r="P28" s="16">
        <f>HYPERLINK("https://dexscreener.com/solana/Gx3jYBPFCKzDZmg466yHtEuCXKUpYuXTUWFwq9etpump", "View")</f>
        <v/>
      </c>
    </row>
    <row r="29">
      <c r="A29" s="19" t="inlineStr">
        <is>
          <t>WALDI</t>
        </is>
      </c>
      <c r="B29" s="20" t="n">
        <v>3588364</v>
      </c>
      <c r="C29" s="20" t="n">
        <v>0</v>
      </c>
      <c r="D29" s="20" t="inlineStr">
        <is>
          <t>0.003510</t>
        </is>
      </c>
      <c r="E29" s="20" t="inlineStr">
        <is>
          <t>0.517 SOL</t>
        </is>
      </c>
      <c r="F29" s="20" t="inlineStr">
        <is>
          <t>0.000 SOL</t>
        </is>
      </c>
      <c r="G29" s="17" t="inlineStr">
        <is>
          <t>-0.521 SOL</t>
        </is>
      </c>
      <c r="H29" s="17" t="inlineStr">
        <is>
          <t>0.00%</t>
        </is>
      </c>
      <c r="I29" s="20" t="inlineStr">
        <is>
          <t>3,588,364</t>
        </is>
      </c>
      <c r="J29" s="20" t="n">
        <v>1</v>
      </c>
      <c r="K29" s="20" t="n">
        <v>0</v>
      </c>
      <c r="L29" s="20" t="inlineStr">
        <is>
          <t>30.10.2024 01:56:50</t>
        </is>
      </c>
      <c r="M29" s="18" t="inlineStr">
        <is>
          <t>0 sec</t>
        </is>
      </c>
      <c r="N29" s="20" t="inlineStr">
        <is>
          <t xml:space="preserve">         25K            25K             5K</t>
        </is>
      </c>
      <c r="O29" s="20" t="inlineStr">
        <is>
          <t>G3jATMV8uQ3FjxpcMMafTFNrLbe8jyPmiMQMefZApump</t>
        </is>
      </c>
      <c r="P29" s="20">
        <f>HYPERLINK("https://photon-sol.tinyastro.io/en/lp/G3jATMV8uQ3FjxpcMMafTFNrLbe8jyPmiMQMefZApump?handle=676050794bc1b1657a56b", "View")</f>
        <v/>
      </c>
    </row>
    <row r="30">
      <c r="A30" s="15" t="inlineStr">
        <is>
          <t>CELL</t>
        </is>
      </c>
      <c r="B30" s="16" t="n">
        <v>591105</v>
      </c>
      <c r="C30" s="16" t="n">
        <v>591105</v>
      </c>
      <c r="D30" s="16" t="inlineStr">
        <is>
          <t>0.004210</t>
        </is>
      </c>
      <c r="E30" s="16" t="inlineStr">
        <is>
          <t>0.500 SOL</t>
        </is>
      </c>
      <c r="F30" s="16" t="inlineStr">
        <is>
          <t>0.431 SOL</t>
        </is>
      </c>
      <c r="G30" s="21" t="inlineStr">
        <is>
          <t>-0.073 SOL</t>
        </is>
      </c>
      <c r="H30" s="21" t="inlineStr">
        <is>
          <t>-14.48%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30.10.2024 00:14:33</t>
        </is>
      </c>
      <c r="M30" s="16" t="inlineStr">
        <is>
          <t>7 min</t>
        </is>
      </c>
      <c r="N30" s="16" t="inlineStr">
        <is>
          <t xml:space="preserve">        149K           128K            11K</t>
        </is>
      </c>
      <c r="O30" s="16" t="inlineStr">
        <is>
          <t>9KhBNo1FoYyWbU8WdrPVzA1z1MVSEZ9VCVBEqWzrpump</t>
        </is>
      </c>
      <c r="P30" s="16">
        <f>HYPERLINK("https://dexscreener.com/solana/9KhBNo1FoYyWbU8WdrPVzA1z1MVSEZ9VCVBEqWzrpump", "View")</f>
        <v/>
      </c>
    </row>
    <row r="31">
      <c r="A31" s="19" t="inlineStr">
        <is>
          <t>STAC</t>
        </is>
      </c>
      <c r="B31" s="20" t="n">
        <v>2859621</v>
      </c>
      <c r="C31" s="20" t="n">
        <v>0</v>
      </c>
      <c r="D31" s="20" t="inlineStr">
        <is>
          <t>0.003510</t>
        </is>
      </c>
      <c r="E31" s="20" t="inlineStr">
        <is>
          <t>0.517 SOL</t>
        </is>
      </c>
      <c r="F31" s="20" t="inlineStr">
        <is>
          <t>0.000 SOL</t>
        </is>
      </c>
      <c r="G31" s="17" t="inlineStr">
        <is>
          <t>-0.521 SOL</t>
        </is>
      </c>
      <c r="H31" s="17" t="inlineStr">
        <is>
          <t>0.00%</t>
        </is>
      </c>
      <c r="I31" s="20" t="inlineStr">
        <is>
          <t>2,859,621</t>
        </is>
      </c>
      <c r="J31" s="20" t="n">
        <v>1</v>
      </c>
      <c r="K31" s="20" t="n">
        <v>0</v>
      </c>
      <c r="L31" s="20" t="inlineStr">
        <is>
          <t>29.10.2024 22:50:57</t>
        </is>
      </c>
      <c r="M31" s="18" t="inlineStr">
        <is>
          <t>0 sec</t>
        </is>
      </c>
      <c r="N31" s="20" t="inlineStr">
        <is>
          <t xml:space="preserve">         32K            32K             5K</t>
        </is>
      </c>
      <c r="O31" s="20" t="inlineStr">
        <is>
          <t>2cAoevJGa1A1vSRdA8kg5fyCWqPbFBi4Y2tmJqE4pump</t>
        </is>
      </c>
      <c r="P31" s="20">
        <f>HYPERLINK("https://photon-sol.tinyastro.io/en/lp/2cAoevJGa1A1vSRdA8kg5fyCWqPbFBi4Y2tmJqE4pump?handle=676050794bc1b1657a56b", "View")</f>
        <v/>
      </c>
    </row>
    <row r="32">
      <c r="A32" s="15" t="inlineStr">
        <is>
          <t xml:space="preserve">SIMS </t>
        </is>
      </c>
      <c r="B32" s="16" t="n">
        <v>3260955</v>
      </c>
      <c r="C32" s="16" t="n">
        <v>2059401</v>
      </c>
      <c r="D32" s="16" t="inlineStr">
        <is>
          <t>0.007720</t>
        </is>
      </c>
      <c r="E32" s="16" t="inlineStr">
        <is>
          <t>0.817 SOL</t>
        </is>
      </c>
      <c r="F32" s="16" t="inlineStr">
        <is>
          <t>0.337 SOL</t>
        </is>
      </c>
      <c r="G32" s="24" t="inlineStr">
        <is>
          <t>-0.488 SOL</t>
        </is>
      </c>
      <c r="H32" s="24" t="inlineStr">
        <is>
          <t>-59.15%</t>
        </is>
      </c>
      <c r="I32" s="16" t="inlineStr">
        <is>
          <t>N/A</t>
        </is>
      </c>
      <c r="J32" s="16" t="n">
        <v>2</v>
      </c>
      <c r="K32" s="16" t="n">
        <v>1</v>
      </c>
      <c r="L32" s="16" t="inlineStr">
        <is>
          <t>29.10.2024 03:15:33</t>
        </is>
      </c>
      <c r="M32" s="16" t="inlineStr">
        <is>
          <t>2 hours</t>
        </is>
      </c>
      <c r="N32" s="16" t="inlineStr">
        <is>
          <t xml:space="preserve">         44K            44K            11K</t>
        </is>
      </c>
      <c r="O32" s="16" t="inlineStr">
        <is>
          <t>HgJN8j5QsbSKnwkthWAbEawPkXR1vB2TrAFiujV4pump</t>
        </is>
      </c>
      <c r="P32" s="16">
        <f>HYPERLINK("https://photon-sol.tinyastro.io/en/lp/HgJN8j5QsbSKnwkthWAbEawPkXR1vB2TrAFiujV4pump?handle=676050794bc1b1657a56b", "View")</f>
        <v/>
      </c>
    </row>
    <row r="33">
      <c r="A33" s="19" t="inlineStr">
        <is>
          <t>bEYE</t>
        </is>
      </c>
      <c r="B33" s="20" t="n">
        <v>4303074</v>
      </c>
      <c r="C33" s="20" t="n">
        <v>0</v>
      </c>
      <c r="D33" s="20" t="inlineStr">
        <is>
          <t>0.003510</t>
        </is>
      </c>
      <c r="E33" s="20" t="inlineStr">
        <is>
          <t>0.534 SOL</t>
        </is>
      </c>
      <c r="F33" s="20" t="inlineStr">
        <is>
          <t>0.000 SOL</t>
        </is>
      </c>
      <c r="G33" s="17" t="inlineStr">
        <is>
          <t>-0.537 SOL</t>
        </is>
      </c>
      <c r="H33" s="17" t="inlineStr">
        <is>
          <t>0.00%</t>
        </is>
      </c>
      <c r="I33" s="20" t="inlineStr">
        <is>
          <t>4,303,074</t>
        </is>
      </c>
      <c r="J33" s="20" t="n">
        <v>1</v>
      </c>
      <c r="K33" s="20" t="n">
        <v>0</v>
      </c>
      <c r="L33" s="20" t="inlineStr">
        <is>
          <t>27.10.2024 20:26:23</t>
        </is>
      </c>
      <c r="M33" s="18" t="inlineStr">
        <is>
          <t>0 sec</t>
        </is>
      </c>
      <c r="N33" s="20" t="inlineStr">
        <is>
          <t xml:space="preserve">         21K            21K             5K</t>
        </is>
      </c>
      <c r="O33" s="20" t="inlineStr">
        <is>
          <t>8oViGKb77HxMqFP3rrxuFbQHevyqhctERqxjMLDHpump</t>
        </is>
      </c>
      <c r="P33" s="20">
        <f>HYPERLINK("https://photon-sol.tinyastro.io/en/lp/8oViGKb77HxMqFP3rrxuFbQHevyqhctERqxjMLDHpump?handle=676050794bc1b1657a56b", "View")</f>
        <v/>
      </c>
    </row>
    <row r="34">
      <c r="A34" s="15" t="inlineStr">
        <is>
          <t>KIRK</t>
        </is>
      </c>
      <c r="B34" s="16" t="n">
        <v>461731</v>
      </c>
      <c r="C34" s="16" t="n">
        <v>461731</v>
      </c>
      <c r="D34" s="16" t="inlineStr">
        <is>
          <t>0.000710</t>
        </is>
      </c>
      <c r="E34" s="16" t="inlineStr">
        <is>
          <t>0.300 SOL</t>
        </is>
      </c>
      <c r="F34" s="16" t="inlineStr">
        <is>
          <t>1.673 SOL</t>
        </is>
      </c>
      <c r="G34" s="23" t="inlineStr">
        <is>
          <t>1.372 SOL</t>
        </is>
      </c>
      <c r="H34" s="23" t="inlineStr">
        <is>
          <t>456.19%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24.10.2024 14:14:39</t>
        </is>
      </c>
      <c r="M34" s="16" t="inlineStr">
        <is>
          <t>10 days</t>
        </is>
      </c>
      <c r="N34" s="16" t="inlineStr">
        <is>
          <t xml:space="preserve">        114K           114K            65K</t>
        </is>
      </c>
      <c r="O34" s="16" t="inlineStr">
        <is>
          <t>9CA4oDuvnP5oULiechySPf6FxnNS7JmG1VL19X5spump</t>
        </is>
      </c>
      <c r="P34" s="16">
        <f>HYPERLINK("https://dexscreener.com/solana/9CA4oDuvnP5oULiechySPf6FxnNS7JmG1VL19X5spump", "View")</f>
        <v/>
      </c>
    </row>
    <row r="35">
      <c r="A35" s="19" t="inlineStr">
        <is>
          <t>LOLcoin</t>
        </is>
      </c>
      <c r="B35" s="20" t="n">
        <v>59834</v>
      </c>
      <c r="C35" s="20" t="n">
        <v>0</v>
      </c>
      <c r="D35" s="20" t="inlineStr">
        <is>
          <t>0.003510</t>
        </is>
      </c>
      <c r="E35" s="20" t="inlineStr">
        <is>
          <t>0.300 SOL</t>
        </is>
      </c>
      <c r="F35" s="20" t="inlineStr">
        <is>
          <t>0.000 SOL</t>
        </is>
      </c>
      <c r="G35" s="17" t="inlineStr">
        <is>
          <t>-0.304 SOL</t>
        </is>
      </c>
      <c r="H35" s="17" t="inlineStr">
        <is>
          <t>0.00%</t>
        </is>
      </c>
      <c r="I35" s="20" t="inlineStr">
        <is>
          <t>59,834</t>
        </is>
      </c>
      <c r="J35" s="20" t="n">
        <v>1</v>
      </c>
      <c r="K35" s="20" t="n">
        <v>0</v>
      </c>
      <c r="L35" s="20" t="inlineStr">
        <is>
          <t>24.10.2024 04:14:01</t>
        </is>
      </c>
      <c r="M35" s="18" t="inlineStr">
        <is>
          <t>0 sec</t>
        </is>
      </c>
      <c r="N35" s="20" t="inlineStr">
        <is>
          <t xml:space="preserve">        879K           879K             7K</t>
        </is>
      </c>
      <c r="O35" s="20" t="inlineStr">
        <is>
          <t>4XmpYUQr94sn81MbjkhWmnFwAZbA2x3XzJ7sofAmpump</t>
        </is>
      </c>
      <c r="P35" s="20">
        <f>HYPERLINK("https://dexscreener.com/solana/4XmpYUQr94sn81MbjkhWmnFwAZbA2x3XzJ7sofAmpump", "View")</f>
        <v/>
      </c>
    </row>
    <row r="36">
      <c r="A36" s="15" t="inlineStr">
        <is>
          <t>XVI</t>
        </is>
      </c>
      <c r="B36" s="16" t="n">
        <v>20897</v>
      </c>
      <c r="C36" s="16" t="n">
        <v>0</v>
      </c>
      <c r="D36" s="16" t="inlineStr">
        <is>
          <t>0.007010</t>
        </is>
      </c>
      <c r="E36" s="16" t="inlineStr">
        <is>
          <t>0.800 SOL</t>
        </is>
      </c>
      <c r="F36" s="16" t="inlineStr">
        <is>
          <t>0.000 SOL</t>
        </is>
      </c>
      <c r="G36" s="17" t="inlineStr">
        <is>
          <t>-0.807 SOL</t>
        </is>
      </c>
      <c r="H36" s="17" t="inlineStr">
        <is>
          <t>0.00%</t>
        </is>
      </c>
      <c r="I36" s="16" t="inlineStr">
        <is>
          <t>20,897</t>
        </is>
      </c>
      <c r="J36" s="16" t="n">
        <v>2</v>
      </c>
      <c r="K36" s="16" t="n">
        <v>0</v>
      </c>
      <c r="L36" s="16" t="inlineStr">
        <is>
          <t>23.10.2024 21:30:21</t>
        </is>
      </c>
      <c r="M36" s="16" t="inlineStr">
        <is>
          <t>29 min</t>
        </is>
      </c>
      <c r="N36" s="16" t="inlineStr">
        <is>
          <t xml:space="preserve">          6M             8M           182K</t>
        </is>
      </c>
      <c r="O36" s="16" t="inlineStr">
        <is>
          <t>HzkBrfPPkqk6mwNNSYhjkw1AkfNZA6zwvKzQMacapump</t>
        </is>
      </c>
      <c r="P36" s="16">
        <f>HYPERLINK("https://dexscreener.com/solana/HzkBrfPPkqk6mwNNSYhjkw1AkfNZA6zwvKzQMacapump", "View")</f>
        <v/>
      </c>
    </row>
    <row r="37">
      <c r="A37" s="19" t="inlineStr">
        <is>
          <t>888</t>
        </is>
      </c>
      <c r="B37" s="20" t="n">
        <v>899559</v>
      </c>
      <c r="C37" s="20" t="n">
        <v>899559</v>
      </c>
      <c r="D37" s="20" t="inlineStr">
        <is>
          <t>0.008420</t>
        </is>
      </c>
      <c r="E37" s="20" t="inlineStr">
        <is>
          <t>0.800 SOL</t>
        </is>
      </c>
      <c r="F37" s="20" t="inlineStr">
        <is>
          <t>0.724 SOL</t>
        </is>
      </c>
      <c r="G37" s="21" t="inlineStr">
        <is>
          <t>-0.085 SOL</t>
        </is>
      </c>
      <c r="H37" s="21" t="inlineStr">
        <is>
          <t>-10.49%</t>
        </is>
      </c>
      <c r="I37" s="20" t="inlineStr">
        <is>
          <t>N/A</t>
        </is>
      </c>
      <c r="J37" s="20" t="n">
        <v>2</v>
      </c>
      <c r="K37" s="20" t="n">
        <v>2</v>
      </c>
      <c r="L37" s="20" t="inlineStr">
        <is>
          <t>23.10.2024 12:58:04</t>
        </is>
      </c>
      <c r="M37" s="20" t="inlineStr">
        <is>
          <t>8 hours</t>
        </is>
      </c>
      <c r="N37" s="20" t="inlineStr">
        <is>
          <t xml:space="preserve">        165K           128K            12K</t>
        </is>
      </c>
      <c r="O37" s="20" t="inlineStr">
        <is>
          <t>C65t4Bd52R1ZdV1GVzzSyLqphoPrShiajsK5nJBrpump</t>
        </is>
      </c>
      <c r="P37" s="20">
        <f>HYPERLINK("https://dexscreener.com/solana/C65t4Bd52R1ZdV1GVzzSyLqphoPrShiajsK5nJBrpump", "View")</f>
        <v/>
      </c>
    </row>
    <row r="38">
      <c r="A38" s="15" t="inlineStr">
        <is>
          <t>MOFLIN</t>
        </is>
      </c>
      <c r="B38" s="16" t="n">
        <v>4965840</v>
      </c>
      <c r="C38" s="16" t="n">
        <v>4965840</v>
      </c>
      <c r="D38" s="16" t="inlineStr">
        <is>
          <t>0.000720</t>
        </is>
      </c>
      <c r="E38" s="16" t="inlineStr">
        <is>
          <t>0.500 SOL</t>
        </is>
      </c>
      <c r="F38" s="16" t="inlineStr">
        <is>
          <t>0.220 SOL</t>
        </is>
      </c>
      <c r="G38" s="24" t="inlineStr">
        <is>
          <t>-0.280 SOL</t>
        </is>
      </c>
      <c r="H38" s="24" t="inlineStr">
        <is>
          <t>-56.02%</t>
        </is>
      </c>
      <c r="I38" s="16" t="inlineStr">
        <is>
          <t>N/A</t>
        </is>
      </c>
      <c r="J38" s="16" t="n">
        <v>2</v>
      </c>
      <c r="K38" s="16" t="n">
        <v>1</v>
      </c>
      <c r="L38" s="16" t="inlineStr">
        <is>
          <t>22.10.2024 06:23:05</t>
        </is>
      </c>
      <c r="M38" s="16" t="inlineStr">
        <is>
          <t>4 days</t>
        </is>
      </c>
      <c r="N38" s="16" t="inlineStr">
        <is>
          <t xml:space="preserve">         18K            19K             8K</t>
        </is>
      </c>
      <c r="O38" s="16" t="inlineStr">
        <is>
          <t>Gf6Md87swMGqRnkc2bmmddM6eWzTfDry6WsEqbs5pump</t>
        </is>
      </c>
      <c r="P38" s="16">
        <f>HYPERLINK("https://dexscreener.com/solana/Gf6Md87swMGqRnkc2bmmddM6eWzTfDry6WsEqbs5pump", "View")</f>
        <v/>
      </c>
    </row>
    <row r="39">
      <c r="A39" s="19" t="inlineStr">
        <is>
          <t>fun</t>
        </is>
      </c>
      <c r="B39" s="20" t="n">
        <v>24066</v>
      </c>
      <c r="C39" s="20" t="n">
        <v>24066</v>
      </c>
      <c r="D39" s="20" t="inlineStr">
        <is>
          <t>0.011220</t>
        </is>
      </c>
      <c r="E39" s="20" t="inlineStr">
        <is>
          <t>0.800 SOL</t>
        </is>
      </c>
      <c r="F39" s="20" t="inlineStr">
        <is>
          <t>1.234 SOL</t>
        </is>
      </c>
      <c r="G39" s="23" t="inlineStr">
        <is>
          <t>0.423 SOL</t>
        </is>
      </c>
      <c r="H39" s="23" t="inlineStr">
        <is>
          <t>52.16%</t>
        </is>
      </c>
      <c r="I39" s="20" t="inlineStr">
        <is>
          <t>N/A</t>
        </is>
      </c>
      <c r="J39" s="20" t="n">
        <v>3</v>
      </c>
      <c r="K39" s="20" t="n">
        <v>1</v>
      </c>
      <c r="L39" s="20" t="inlineStr">
        <is>
          <t>22.10.2024 04:45:08</t>
        </is>
      </c>
      <c r="M39" s="20" t="inlineStr">
        <is>
          <t>2 hours</t>
        </is>
      </c>
      <c r="N39" s="20" t="inlineStr">
        <is>
          <t xml:space="preserve">          8M             9M           325K</t>
        </is>
      </c>
      <c r="O39" s="20" t="inlineStr">
        <is>
          <t>9MnKTgwFyXJgnZumHGT9NdHuzm98ACjkNwpLniLhpump</t>
        </is>
      </c>
      <c r="P39" s="20">
        <f>HYPERLINK("https://dexscreener.com/solana/9MnKTgwFyXJgnZumHGT9NdHuzm98ACjkNwpLniLhpump", "View")</f>
        <v/>
      </c>
    </row>
    <row r="40">
      <c r="A40" s="15" t="inlineStr">
        <is>
          <t>ILY</t>
        </is>
      </c>
      <c r="B40" s="16" t="n">
        <v>314847</v>
      </c>
      <c r="C40" s="16" t="n">
        <v>0</v>
      </c>
      <c r="D40" s="16" t="inlineStr">
        <is>
          <t>0.003510</t>
        </is>
      </c>
      <c r="E40" s="16" t="inlineStr">
        <is>
          <t>0.200 SOL</t>
        </is>
      </c>
      <c r="F40" s="16" t="inlineStr">
        <is>
          <t>0.000 SOL</t>
        </is>
      </c>
      <c r="G40" s="17" t="inlineStr">
        <is>
          <t>-0.204 SOL</t>
        </is>
      </c>
      <c r="H40" s="17" t="inlineStr">
        <is>
          <t>0.00%</t>
        </is>
      </c>
      <c r="I40" s="16" t="inlineStr">
        <is>
          <t>314,847</t>
        </is>
      </c>
      <c r="J40" s="16" t="n">
        <v>1</v>
      </c>
      <c r="K40" s="16" t="n">
        <v>0</v>
      </c>
      <c r="L40" s="16" t="inlineStr">
        <is>
          <t>22.10.2024 03:09:14</t>
        </is>
      </c>
      <c r="M40" s="18" t="inlineStr">
        <is>
          <t>0 sec</t>
        </is>
      </c>
      <c r="N40" s="16" t="inlineStr">
        <is>
          <t xml:space="preserve">        112K           112K             4K</t>
        </is>
      </c>
      <c r="O40" s="16" t="inlineStr">
        <is>
          <t>BBBgdpBJhdm8qFTAEfyRRaCpmJ9Qecachc7YuqQRpump</t>
        </is>
      </c>
      <c r="P40" s="16">
        <f>HYPERLINK("https://dexscreener.com/solana/BBBgdpBJhdm8qFTAEfyRRaCpmJ9Qecachc7YuqQRpump", "View")</f>
        <v/>
      </c>
    </row>
    <row r="41">
      <c r="A41" s="19" t="inlineStr">
        <is>
          <t>US</t>
        </is>
      </c>
      <c r="B41" s="20" t="n">
        <v>1195436</v>
      </c>
      <c r="C41" s="20" t="n">
        <v>1195436</v>
      </c>
      <c r="D41" s="20" t="inlineStr">
        <is>
          <t>0.004210</t>
        </is>
      </c>
      <c r="E41" s="20" t="inlineStr">
        <is>
          <t>0.300 SOL</t>
        </is>
      </c>
      <c r="F41" s="20" t="inlineStr">
        <is>
          <t>0.046 SOL</t>
        </is>
      </c>
      <c r="G41" s="24" t="inlineStr">
        <is>
          <t>-0.258 SOL</t>
        </is>
      </c>
      <c r="H41" s="24" t="inlineStr">
        <is>
          <t>-84.92%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21.10.2024 20:28:41</t>
        </is>
      </c>
      <c r="M41" s="20" t="inlineStr">
        <is>
          <t>21 hours</t>
        </is>
      </c>
      <c r="N41" s="20" t="inlineStr">
        <is>
          <t xml:space="preserve">         44K            44K             4K</t>
        </is>
      </c>
      <c r="O41" s="20" t="inlineStr">
        <is>
          <t>BbbYo2naPz4xR9EJsLCwF5XpVWg9pTs3wwMbg1Kcpump</t>
        </is>
      </c>
      <c r="P41" s="20">
        <f>HYPERLINK("https://dexscreener.com/solana/BbbYo2naPz4xR9EJsLCwF5XpVWg9pTs3wwMbg1Kcpump", "View")</f>
        <v/>
      </c>
    </row>
    <row r="42">
      <c r="A42" s="15" t="inlineStr">
        <is>
          <t>SHEGEN</t>
        </is>
      </c>
      <c r="B42" s="16" t="n">
        <v>32773</v>
      </c>
      <c r="C42" s="16" t="n">
        <v>32773</v>
      </c>
      <c r="D42" s="16" t="inlineStr">
        <is>
          <t>0.000720</t>
        </is>
      </c>
      <c r="E42" s="16" t="inlineStr">
        <is>
          <t>0.400 SOL</t>
        </is>
      </c>
      <c r="F42" s="16" t="inlineStr">
        <is>
          <t>0.974 SOL</t>
        </is>
      </c>
      <c r="G42" s="23" t="inlineStr">
        <is>
          <t>0.573 SOL</t>
        </is>
      </c>
      <c r="H42" s="23" t="inlineStr">
        <is>
          <t>143.07%</t>
        </is>
      </c>
      <c r="I42" s="16" t="inlineStr">
        <is>
          <t>N/A</t>
        </is>
      </c>
      <c r="J42" s="16" t="n">
        <v>2</v>
      </c>
      <c r="K42" s="16" t="n">
        <v>2</v>
      </c>
      <c r="L42" s="16" t="inlineStr">
        <is>
          <t>21.10.2024 20:28:29</t>
        </is>
      </c>
      <c r="M42" s="16" t="inlineStr">
        <is>
          <t>6 days</t>
        </is>
      </c>
      <c r="N42" s="16" t="inlineStr">
        <is>
          <t xml:space="preserve">          4M             1M             9M</t>
        </is>
      </c>
      <c r="O42" s="16" t="inlineStr">
        <is>
          <t>2KgAN8nLAU74wjiyKi85m4ZT6Z9MtqrUTGfse8Xapump</t>
        </is>
      </c>
      <c r="P42" s="16">
        <f>HYPERLINK("https://dexscreener.com/solana/2KgAN8nLAU74wjiyKi85m4ZT6Z9MtqrUTGfse8Xapump", "View")</f>
        <v/>
      </c>
    </row>
    <row r="43">
      <c r="A43" s="19" t="inlineStr">
        <is>
          <t>HIM</t>
        </is>
      </c>
      <c r="B43" s="20" t="n">
        <v>796545</v>
      </c>
      <c r="C43" s="20" t="n">
        <v>0</v>
      </c>
      <c r="D43" s="20" t="inlineStr">
        <is>
          <t>0.003510</t>
        </is>
      </c>
      <c r="E43" s="20" t="inlineStr">
        <is>
          <t>0.500 SOL</t>
        </is>
      </c>
      <c r="F43" s="20" t="inlineStr">
        <is>
          <t>0.000 SOL</t>
        </is>
      </c>
      <c r="G43" s="17" t="inlineStr">
        <is>
          <t>-0.504 SOL</t>
        </is>
      </c>
      <c r="H43" s="17" t="inlineStr">
        <is>
          <t>0.00%</t>
        </is>
      </c>
      <c r="I43" s="20" t="inlineStr">
        <is>
          <t>796,545</t>
        </is>
      </c>
      <c r="J43" s="20" t="n">
        <v>1</v>
      </c>
      <c r="K43" s="20" t="n">
        <v>0</v>
      </c>
      <c r="L43" s="20" t="inlineStr">
        <is>
          <t>20.10.2024 21:15:26</t>
        </is>
      </c>
      <c r="M43" s="18" t="inlineStr">
        <is>
          <t>0 sec</t>
        </is>
      </c>
      <c r="N43" s="20" t="inlineStr">
        <is>
          <t xml:space="preserve">        111K           111K             5K</t>
        </is>
      </c>
      <c r="O43" s="20" t="inlineStr">
        <is>
          <t>AsxeLYUnLux1HXysNLGXZPyCHJqn9ymSaDTGLESTpump</t>
        </is>
      </c>
      <c r="P43" s="20">
        <f>HYPERLINK("https://dexscreener.com/solana/AsxeLYUnLux1HXysNLGXZPyCHJqn9ymSaDTGLESTpump", "View")</f>
        <v/>
      </c>
    </row>
    <row r="44">
      <c r="A44" s="15" t="inlineStr">
        <is>
          <t>BAPHOMEOW</t>
        </is>
      </c>
      <c r="B44" s="16" t="n">
        <v>870535</v>
      </c>
      <c r="C44" s="16" t="n">
        <v>0</v>
      </c>
      <c r="D44" s="16" t="inlineStr">
        <is>
          <t>0.007010</t>
        </is>
      </c>
      <c r="E44" s="16" t="inlineStr">
        <is>
          <t>0.500 SOL</t>
        </is>
      </c>
      <c r="F44" s="16" t="inlineStr">
        <is>
          <t>0.000 SOL</t>
        </is>
      </c>
      <c r="G44" s="17" t="inlineStr">
        <is>
          <t>-0.507 SOL</t>
        </is>
      </c>
      <c r="H44" s="17" t="inlineStr">
        <is>
          <t>0.00%</t>
        </is>
      </c>
      <c r="I44" s="16" t="inlineStr">
        <is>
          <t>870,535</t>
        </is>
      </c>
      <c r="J44" s="16" t="n">
        <v>2</v>
      </c>
      <c r="K44" s="16" t="n">
        <v>0</v>
      </c>
      <c r="L44" s="16" t="inlineStr">
        <is>
          <t>20.10.2024 06:43:54</t>
        </is>
      </c>
      <c r="M44" s="16" t="inlineStr">
        <is>
          <t>1 hours</t>
        </is>
      </c>
      <c r="N44" s="16" t="inlineStr">
        <is>
          <t xml:space="preserve">        177K            91K             7K</t>
        </is>
      </c>
      <c r="O44" s="16" t="inlineStr">
        <is>
          <t>D6bfKv3jConvk14xwMvwGLhXF49xxhf18r8LpV5Ypump</t>
        </is>
      </c>
      <c r="P44" s="16">
        <f>HYPERLINK("https://dexscreener.com/solana/D6bfKv3jConvk14xwMvwGLhXF49xxhf18r8LpV5Ypump", "View")</f>
        <v/>
      </c>
    </row>
    <row r="45">
      <c r="A45" s="19" t="inlineStr">
        <is>
          <t>Kundalini</t>
        </is>
      </c>
      <c r="B45" s="20" t="n">
        <v>485662</v>
      </c>
      <c r="C45" s="20" t="n">
        <v>0</v>
      </c>
      <c r="D45" s="20" t="inlineStr">
        <is>
          <t>0.007010</t>
        </is>
      </c>
      <c r="E45" s="20" t="inlineStr">
        <is>
          <t>0.500 SOL</t>
        </is>
      </c>
      <c r="F45" s="20" t="inlineStr">
        <is>
          <t>0.000 SOL</t>
        </is>
      </c>
      <c r="G45" s="17" t="inlineStr">
        <is>
          <t>-0.507 SOL</t>
        </is>
      </c>
      <c r="H45" s="17" t="inlineStr">
        <is>
          <t>0.00%</t>
        </is>
      </c>
      <c r="I45" s="20" t="inlineStr">
        <is>
          <t>485,662</t>
        </is>
      </c>
      <c r="J45" s="20" t="n">
        <v>2</v>
      </c>
      <c r="K45" s="20" t="n">
        <v>0</v>
      </c>
      <c r="L45" s="20" t="inlineStr">
        <is>
          <t>20.10.2024 03:44:26</t>
        </is>
      </c>
      <c r="M45" s="18" t="inlineStr">
        <is>
          <t>57 sec</t>
        </is>
      </c>
      <c r="N45" s="20" t="inlineStr">
        <is>
          <t xml:space="preserve">        188K           172K             5K</t>
        </is>
      </c>
      <c r="O45" s="20" t="inlineStr">
        <is>
          <t>8d4YVPE49Bg4ZVGwMrTfM2sJorWiFJm7yFpqkhqqpump</t>
        </is>
      </c>
      <c r="P45" s="20">
        <f>HYPERLINK("https://dexscreener.com/solana/8d4YVPE49Bg4ZVGwMrTfM2sJorWiFJm7yFpqkhqqpump", "View")</f>
        <v/>
      </c>
    </row>
    <row r="46">
      <c r="A46" s="15" t="inlineStr">
        <is>
          <t>Fear</t>
        </is>
      </c>
      <c r="B46" s="16" t="n">
        <v>107913</v>
      </c>
      <c r="C46" s="16" t="n">
        <v>0</v>
      </c>
      <c r="D46" s="16" t="inlineStr">
        <is>
          <t>0.003510</t>
        </is>
      </c>
      <c r="E46" s="16" t="inlineStr">
        <is>
          <t>0.100 SOL</t>
        </is>
      </c>
      <c r="F46" s="16" t="inlineStr">
        <is>
          <t>0.000 SOL</t>
        </is>
      </c>
      <c r="G46" s="17" t="inlineStr">
        <is>
          <t>-0.104 SOL</t>
        </is>
      </c>
      <c r="H46" s="17" t="inlineStr">
        <is>
          <t>0.00%</t>
        </is>
      </c>
      <c r="I46" s="16" t="inlineStr">
        <is>
          <t>107,913</t>
        </is>
      </c>
      <c r="J46" s="16" t="n">
        <v>1</v>
      </c>
      <c r="K46" s="16" t="n">
        <v>0</v>
      </c>
      <c r="L46" s="16" t="inlineStr">
        <is>
          <t>19.10.2024 02:38:58</t>
        </is>
      </c>
      <c r="M46" s="18" t="inlineStr">
        <is>
          <t>0 sec</t>
        </is>
      </c>
      <c r="N46" s="16" t="inlineStr">
        <is>
          <t xml:space="preserve">        163K           163K             5K</t>
        </is>
      </c>
      <c r="O46" s="16" t="inlineStr">
        <is>
          <t>4RMsDuJmkthitLuGMVCsQKLec8EKms8G8sqh8nPspump</t>
        </is>
      </c>
      <c r="P46" s="16">
        <f>HYPERLINK("https://dexscreener.com/solana/4RMsDuJmkthitLuGMVCsQKLec8EKms8G8sqh8nPspump", "View")</f>
        <v/>
      </c>
    </row>
    <row r="47">
      <c r="A47" s="19" t="inlineStr">
        <is>
          <t>‮</t>
        </is>
      </c>
      <c r="B47" s="20" t="n">
        <v>230938</v>
      </c>
      <c r="C47" s="20" t="n">
        <v>0</v>
      </c>
      <c r="D47" s="20" t="inlineStr">
        <is>
          <t>0.000010</t>
        </is>
      </c>
      <c r="E47" s="20" t="inlineStr">
        <is>
          <t>0.400 SOL</t>
        </is>
      </c>
      <c r="F47" s="20" t="inlineStr">
        <is>
          <t>0.000 SOL</t>
        </is>
      </c>
      <c r="G47" s="17" t="inlineStr">
        <is>
          <t>-0.400 SOL</t>
        </is>
      </c>
      <c r="H47" s="17" t="inlineStr">
        <is>
          <t>0.00%</t>
        </is>
      </c>
      <c r="I47" s="20" t="inlineStr">
        <is>
          <t>230,938</t>
        </is>
      </c>
      <c r="J47" s="20" t="n">
        <v>2</v>
      </c>
      <c r="K47" s="20" t="n">
        <v>0</v>
      </c>
      <c r="L47" s="20" t="inlineStr">
        <is>
          <t>18.10.2024 19:50:26</t>
        </is>
      </c>
      <c r="M47" s="18" t="inlineStr">
        <is>
          <t>28 sec</t>
        </is>
      </c>
      <c r="N47" s="20" t="inlineStr">
        <is>
          <t xml:space="preserve">        279K           335K            18K</t>
        </is>
      </c>
      <c r="O47" s="20" t="inlineStr">
        <is>
          <t>8gfRYdxLxUbRBWrff6MR9QH6ZKPb4NYszcBWnNjBX6DW</t>
        </is>
      </c>
      <c r="P47" s="20">
        <f>HYPERLINK("https://dexscreener.com/solana/8gfRYdxLxUbRBWrff6MR9QH6ZKPb4NYszcBWnNjBX6DW", "View")</f>
        <v/>
      </c>
    </row>
    <row r="48">
      <c r="A48" s="15" t="inlineStr">
        <is>
          <t>Chini</t>
        </is>
      </c>
      <c r="B48" s="16" t="n">
        <v>838150</v>
      </c>
      <c r="C48" s="16" t="n">
        <v>0</v>
      </c>
      <c r="D48" s="16" t="inlineStr">
        <is>
          <t>0.000020</t>
        </is>
      </c>
      <c r="E48" s="16" t="inlineStr">
        <is>
          <t>0.800 SOL</t>
        </is>
      </c>
      <c r="F48" s="16" t="inlineStr">
        <is>
          <t>0.000 SOL</t>
        </is>
      </c>
      <c r="G48" s="17" t="inlineStr">
        <is>
          <t>-0.800 SOL</t>
        </is>
      </c>
      <c r="H48" s="17" t="inlineStr">
        <is>
          <t>0.00%</t>
        </is>
      </c>
      <c r="I48" s="16" t="inlineStr">
        <is>
          <t>838,150</t>
        </is>
      </c>
      <c r="J48" s="16" t="n">
        <v>3</v>
      </c>
      <c r="K48" s="16" t="n">
        <v>0</v>
      </c>
      <c r="L48" s="16" t="inlineStr">
        <is>
          <t>18.10.2024 03:52:20</t>
        </is>
      </c>
      <c r="M48" s="16" t="inlineStr">
        <is>
          <t>12 min</t>
        </is>
      </c>
      <c r="N48" s="16" t="inlineStr">
        <is>
          <t xml:space="preserve">        197K           140K            16K</t>
        </is>
      </c>
      <c r="O48" s="16" t="inlineStr">
        <is>
          <t>FHzDMioDZhiHAZKiLcwJz87H9NX6XErsEoTLUZqQpump</t>
        </is>
      </c>
      <c r="P48" s="16">
        <f>HYPERLINK("https://dexscreener.com/solana/FHzDMioDZhiHAZKiLcwJz87H9NX6XErsEoTLUZqQpump", "View")</f>
        <v/>
      </c>
    </row>
    <row r="49">
      <c r="A49" s="19" t="inlineStr">
        <is>
          <t>Lump</t>
        </is>
      </c>
      <c r="B49" s="20" t="n">
        <v>176272</v>
      </c>
      <c r="C49" s="20" t="n">
        <v>176272</v>
      </c>
      <c r="D49" s="20" t="inlineStr">
        <is>
          <t>0.000010</t>
        </is>
      </c>
      <c r="E49" s="20" t="inlineStr">
        <is>
          <t>0.200 SOL</t>
        </is>
      </c>
      <c r="F49" s="20" t="inlineStr">
        <is>
          <t>0.620 SOL</t>
        </is>
      </c>
      <c r="G49" s="23" t="inlineStr">
        <is>
          <t>0.420 SOL</t>
        </is>
      </c>
      <c r="H49" s="23" t="inlineStr">
        <is>
          <t>210.12%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18.10.2024 03:47:32</t>
        </is>
      </c>
      <c r="M49" s="20" t="inlineStr">
        <is>
          <t>2 days</t>
        </is>
      </c>
      <c r="N49" s="20" t="inlineStr">
        <is>
          <t xml:space="preserve">        198K           198K            55K</t>
        </is>
      </c>
      <c r="O49" s="20" t="inlineStr">
        <is>
          <t>CSEkG3mT5P1GUf4HZTHdVk1syKFN6gQWokbZ4jDWpump</t>
        </is>
      </c>
      <c r="P49" s="20">
        <f>HYPERLINK("https://dexscreener.com/solana/CSEkG3mT5P1GUf4HZTHdVk1syKFN6gQWokbZ4jDWpump", "View")</f>
        <v/>
      </c>
    </row>
    <row r="50">
      <c r="A50" s="15" t="inlineStr">
        <is>
          <t>CLIMP</t>
        </is>
      </c>
      <c r="B50" s="16" t="n">
        <v>438835</v>
      </c>
      <c r="C50" s="16" t="n">
        <v>438835</v>
      </c>
      <c r="D50" s="16" t="inlineStr">
        <is>
          <t>0.000020</t>
        </is>
      </c>
      <c r="E50" s="16" t="inlineStr">
        <is>
          <t>0.200 SOL</t>
        </is>
      </c>
      <c r="F50" s="16" t="inlineStr">
        <is>
          <t>4.320 SOL</t>
        </is>
      </c>
      <c r="G50" s="23" t="inlineStr">
        <is>
          <t>4.120 SOL</t>
        </is>
      </c>
      <c r="H50" s="23" t="inlineStr">
        <is>
          <t>2059.85%</t>
        </is>
      </c>
      <c r="I50" s="16" t="inlineStr">
        <is>
          <t>N/A</t>
        </is>
      </c>
      <c r="J50" s="16" t="n">
        <v>2</v>
      </c>
      <c r="K50" s="16" t="n">
        <v>2</v>
      </c>
      <c r="L50" s="16" t="inlineStr">
        <is>
          <t>16.10.2024 19:40:49</t>
        </is>
      </c>
      <c r="M50" s="16" t="inlineStr">
        <is>
          <t>12 hours</t>
        </is>
      </c>
      <c r="N50" s="16" t="inlineStr">
        <is>
          <t xml:space="preserve">         56K           968K            86K</t>
        </is>
      </c>
      <c r="O50" s="16" t="inlineStr">
        <is>
          <t>GQaDVLoi9xe2eQcKqC5c11vRxJWu5askVty1dmzmoy8k</t>
        </is>
      </c>
      <c r="P50" s="16">
        <f>HYPERLINK("https://dexscreener.com/solana/GQaDVLoi9xe2eQcKqC5c11vRxJWu5askVty1dmzmoy8k", "View")</f>
        <v/>
      </c>
    </row>
    <row r="51">
      <c r="A51" s="19" t="inlineStr">
        <is>
          <t>pixi</t>
        </is>
      </c>
      <c r="B51" s="20" t="n">
        <v>60414</v>
      </c>
      <c r="C51" s="20" t="n">
        <v>60414</v>
      </c>
      <c r="D51" s="20" t="inlineStr">
        <is>
          <t>0.000010</t>
        </is>
      </c>
      <c r="E51" s="20" t="inlineStr">
        <is>
          <t>0.500 SOL</t>
        </is>
      </c>
      <c r="F51" s="20" t="inlineStr">
        <is>
          <t>0.484 SOL</t>
        </is>
      </c>
      <c r="G51" s="21" t="inlineStr">
        <is>
          <t>-0.016 SOL</t>
        </is>
      </c>
      <c r="H51" s="21" t="inlineStr">
        <is>
          <t>-3.24%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16.10.2024 02:41:49</t>
        </is>
      </c>
      <c r="M51" s="20" t="inlineStr">
        <is>
          <t>4 min</t>
        </is>
      </c>
      <c r="N51" s="20" t="inlineStr">
        <is>
          <t xml:space="preserve">          1M             1M           696K</t>
        </is>
      </c>
      <c r="O51" s="20" t="inlineStr">
        <is>
          <t>FtHCi9cxJSSizrzMzsPjAfTfJi32V1CGRDM5Skqn4QBF</t>
        </is>
      </c>
      <c r="P51" s="20">
        <f>HYPERLINK("https://dexscreener.com/solana/FtHCi9cxJSSizrzMzsPjAfTfJi32V1CGRDM5Skqn4QBF", "View")</f>
        <v/>
      </c>
    </row>
    <row r="52">
      <c r="A52" s="15" t="inlineStr">
        <is>
          <t>MIDAS</t>
        </is>
      </c>
      <c r="B52" s="16" t="n">
        <v>4268913</v>
      </c>
      <c r="C52" s="16" t="n">
        <v>4268913</v>
      </c>
      <c r="D52" s="16" t="inlineStr">
        <is>
          <t>0.000020</t>
        </is>
      </c>
      <c r="E52" s="16" t="inlineStr">
        <is>
          <t>1.000 SOL</t>
        </is>
      </c>
      <c r="F52" s="16" t="inlineStr">
        <is>
          <t>0.336 SOL</t>
        </is>
      </c>
      <c r="G52" s="24" t="inlineStr">
        <is>
          <t>-0.664 SOL</t>
        </is>
      </c>
      <c r="H52" s="24" t="inlineStr">
        <is>
          <t>-66.37%</t>
        </is>
      </c>
      <c r="I52" s="16" t="inlineStr">
        <is>
          <t>N/A</t>
        </is>
      </c>
      <c r="J52" s="16" t="n">
        <v>2</v>
      </c>
      <c r="K52" s="16" t="n">
        <v>2</v>
      </c>
      <c r="L52" s="16" t="inlineStr">
        <is>
          <t>16.10.2024 02:11:44</t>
        </is>
      </c>
      <c r="M52" s="16" t="inlineStr">
        <is>
          <t>20 days</t>
        </is>
      </c>
      <c r="N52" s="16" t="inlineStr">
        <is>
          <t xml:space="preserve">         56K            32K             5K</t>
        </is>
      </c>
      <c r="O52" s="16" t="inlineStr">
        <is>
          <t>2yPhdFdF78DKbvy57MyBDF1zd8RdGWAucBMC3ch2pump</t>
        </is>
      </c>
      <c r="P52" s="16">
        <f>HYPERLINK("https://dexscreener.com/solana/2yPhdFdF78DKbvy57MyBDF1zd8RdGWAucBMC3ch2pump", "View")</f>
        <v/>
      </c>
    </row>
    <row r="53">
      <c r="A53" s="19" t="inlineStr">
        <is>
          <t>SEAL</t>
        </is>
      </c>
      <c r="B53" s="20" t="n">
        <v>2031882</v>
      </c>
      <c r="C53" s="20" t="n">
        <v>2031882</v>
      </c>
      <c r="D53" s="20" t="inlineStr">
        <is>
          <t>0.000030</t>
        </is>
      </c>
      <c r="E53" s="20" t="inlineStr">
        <is>
          <t>1.500 SOL</t>
        </is>
      </c>
      <c r="F53" s="20" t="inlineStr">
        <is>
          <t>0.587 SOL</t>
        </is>
      </c>
      <c r="G53" s="24" t="inlineStr">
        <is>
          <t>-0.913 SOL</t>
        </is>
      </c>
      <c r="H53" s="24" t="inlineStr">
        <is>
          <t>-60.87%</t>
        </is>
      </c>
      <c r="I53" s="20" t="inlineStr">
        <is>
          <t>N/A</t>
        </is>
      </c>
      <c r="J53" s="20" t="n">
        <v>3</v>
      </c>
      <c r="K53" s="20" t="n">
        <v>2</v>
      </c>
      <c r="L53" s="20" t="inlineStr">
        <is>
          <t>16.10.2024 02:10:48</t>
        </is>
      </c>
      <c r="M53" s="20" t="inlineStr">
        <is>
          <t>15 days</t>
        </is>
      </c>
      <c r="N53" s="20" t="inlineStr">
        <is>
          <t xml:space="preserve">        211K            81K             7K</t>
        </is>
      </c>
      <c r="O53" s="20" t="inlineStr">
        <is>
          <t>5KHmj9gu5ww2y7NGUcsN1Lnyy2XuYjfahCvaWfaupump</t>
        </is>
      </c>
      <c r="P53" s="20">
        <f>HYPERLINK("https://dexscreener.com/solana/5KHmj9gu5ww2y7NGUcsN1Lnyy2XuYjfahCvaWfaupump", "View")</f>
        <v/>
      </c>
    </row>
    <row r="54">
      <c r="A54" s="15" t="inlineStr">
        <is>
          <t>shafa</t>
        </is>
      </c>
      <c r="B54" s="16" t="n">
        <v>1684075</v>
      </c>
      <c r="C54" s="16" t="n">
        <v>1684075</v>
      </c>
      <c r="D54" s="16" t="inlineStr">
        <is>
          <t>0.000010</t>
        </is>
      </c>
      <c r="E54" s="16" t="inlineStr">
        <is>
          <t>0.500 SOL</t>
        </is>
      </c>
      <c r="F54" s="16" t="inlineStr">
        <is>
          <t>0.226 SOL</t>
        </is>
      </c>
      <c r="G54" s="24" t="inlineStr">
        <is>
          <t>-0.274 SOL</t>
        </is>
      </c>
      <c r="H54" s="24" t="inlineStr">
        <is>
          <t>-54.88%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16.10.2024 02:09:14</t>
        </is>
      </c>
      <c r="M54" s="16" t="inlineStr">
        <is>
          <t>16 days</t>
        </is>
      </c>
      <c r="N54" s="16" t="inlineStr">
        <is>
          <t xml:space="preserve">         53K            53K            17K</t>
        </is>
      </c>
      <c r="O54" s="16" t="inlineStr">
        <is>
          <t>HfF1unQubv3zyEVdj5y6LgDrTU1Hn8EkVBURLNZVhH8v</t>
        </is>
      </c>
      <c r="P54" s="16">
        <f>HYPERLINK("https://dexscreener.com/solana/HfF1unQubv3zyEVdj5y6LgDrTU1Hn8EkVBURLNZVhH8v", "View")</f>
        <v/>
      </c>
    </row>
    <row r="55">
      <c r="A55" s="19" t="inlineStr">
        <is>
          <t>Effective</t>
        </is>
      </c>
      <c r="B55" s="20" t="n">
        <v>133441</v>
      </c>
      <c r="C55" s="20" t="n">
        <v>133441</v>
      </c>
      <c r="D55" s="20" t="inlineStr">
        <is>
          <t>0.000010</t>
        </is>
      </c>
      <c r="E55" s="20" t="inlineStr">
        <is>
          <t>0.100 SOL</t>
        </is>
      </c>
      <c r="F55" s="20" t="inlineStr">
        <is>
          <t>0.109 SOL</t>
        </is>
      </c>
      <c r="G55" s="22" t="inlineStr">
        <is>
          <t>0.009 SOL</t>
        </is>
      </c>
      <c r="H55" s="22" t="inlineStr">
        <is>
          <t>9.39%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16.10.2024 02:07:46</t>
        </is>
      </c>
      <c r="M55" s="20" t="inlineStr">
        <is>
          <t>11 hours</t>
        </is>
      </c>
      <c r="N55" s="20" t="inlineStr">
        <is>
          <t xml:space="preserve">        132K           144K            39K</t>
        </is>
      </c>
      <c r="O55" s="20" t="inlineStr">
        <is>
          <t>9NxRqJWLKTvVaevx5eZne8QyRutVDohF1vAR4sywpump</t>
        </is>
      </c>
      <c r="P55" s="20">
        <f>HYPERLINK("https://dexscreener.com/solana/9NxRqJWLKTvVaevx5eZne8QyRutVDohF1vAR4sywpump", "View")</f>
        <v/>
      </c>
    </row>
    <row r="56">
      <c r="A56" s="15" t="inlineStr">
        <is>
          <t>Billy</t>
        </is>
      </c>
      <c r="B56" s="16" t="n">
        <v>11851</v>
      </c>
      <c r="C56" s="16" t="n">
        <v>0</v>
      </c>
      <c r="D56" s="16" t="inlineStr">
        <is>
          <t>0.000010</t>
        </is>
      </c>
      <c r="E56" s="16" t="inlineStr">
        <is>
          <t>0.100 SOL</t>
        </is>
      </c>
      <c r="F56" s="16" t="inlineStr">
        <is>
          <t>0.000 SOL</t>
        </is>
      </c>
      <c r="G56" s="17" t="inlineStr">
        <is>
          <t>-0.100 SOL</t>
        </is>
      </c>
      <c r="H56" s="17" t="inlineStr">
        <is>
          <t>0.00%</t>
        </is>
      </c>
      <c r="I56" s="16" t="inlineStr">
        <is>
          <t>11,851</t>
        </is>
      </c>
      <c r="J56" s="16" t="n">
        <v>1</v>
      </c>
      <c r="K56" s="16" t="n">
        <v>0</v>
      </c>
      <c r="L56" s="16" t="inlineStr">
        <is>
          <t>16.10.2024 01:05:04</t>
        </is>
      </c>
      <c r="M56" s="18" t="inlineStr">
        <is>
          <t>0 sec</t>
        </is>
      </c>
      <c r="N56" s="16" t="inlineStr">
        <is>
          <t xml:space="preserve">          1M             1M            15K</t>
        </is>
      </c>
      <c r="O56" s="16" t="inlineStr">
        <is>
          <t>3rsLopLpKA926Ckq5unv2XUixSAC2Z1hJXVJrDQapump</t>
        </is>
      </c>
      <c r="P56" s="16">
        <f>HYPERLINK("https://dexscreener.com/solana/3rsLopLpKA926Ckq5unv2XUixSAC2Z1hJXVJrDQapump", "View")</f>
        <v/>
      </c>
    </row>
    <row r="57">
      <c r="A57" s="19" t="inlineStr">
        <is>
          <t>Choccy</t>
        </is>
      </c>
      <c r="B57" s="20" t="n">
        <v>45877</v>
      </c>
      <c r="C57" s="20" t="n">
        <v>0</v>
      </c>
      <c r="D57" s="20" t="inlineStr">
        <is>
          <t>0.000010</t>
        </is>
      </c>
      <c r="E57" s="20" t="inlineStr">
        <is>
          <t>0.100 SOL</t>
        </is>
      </c>
      <c r="F57" s="20" t="inlineStr">
        <is>
          <t>0.000 SOL</t>
        </is>
      </c>
      <c r="G57" s="17" t="inlineStr">
        <is>
          <t>-0.100 SOL</t>
        </is>
      </c>
      <c r="H57" s="17" t="inlineStr">
        <is>
          <t>0.00%</t>
        </is>
      </c>
      <c r="I57" s="20" t="inlineStr">
        <is>
          <t>45,877</t>
        </is>
      </c>
      <c r="J57" s="20" t="n">
        <v>1</v>
      </c>
      <c r="K57" s="20" t="n">
        <v>0</v>
      </c>
      <c r="L57" s="20" t="inlineStr">
        <is>
          <t>15.10.2024 15:50:14</t>
        </is>
      </c>
      <c r="M57" s="18" t="inlineStr">
        <is>
          <t>0 sec</t>
        </is>
      </c>
      <c r="N57" s="20" t="inlineStr">
        <is>
          <t xml:space="preserve">        383K           383K            36K</t>
        </is>
      </c>
      <c r="O57" s="20" t="inlineStr">
        <is>
          <t>9LZmD16W9Mw7jJAg8WG5EBpkCoLYJsTPopR6VnTCpump</t>
        </is>
      </c>
      <c r="P57" s="20">
        <f>HYPERLINK("https://dexscreener.com/solana/9LZmD16W9Mw7jJAg8WG5EBpkCoLYJsTPopR6VnTCpump", "View")</f>
        <v/>
      </c>
    </row>
    <row r="58">
      <c r="A58" s="15" t="inlineStr">
        <is>
          <t>HUZZ</t>
        </is>
      </c>
      <c r="B58" s="16" t="n">
        <v>1382684</v>
      </c>
      <c r="C58" s="16" t="n">
        <v>1382684</v>
      </c>
      <c r="D58" s="16" t="inlineStr">
        <is>
          <t>0.000020</t>
        </is>
      </c>
      <c r="E58" s="16" t="inlineStr">
        <is>
          <t>1.500 SOL</t>
        </is>
      </c>
      <c r="F58" s="16" t="inlineStr">
        <is>
          <t>0.167 SOL</t>
        </is>
      </c>
      <c r="G58" s="24" t="inlineStr">
        <is>
          <t>-1.333 SOL</t>
        </is>
      </c>
      <c r="H58" s="24" t="inlineStr">
        <is>
          <t>-88.89%</t>
        </is>
      </c>
      <c r="I58" s="16" t="inlineStr">
        <is>
          <t>N/A</t>
        </is>
      </c>
      <c r="J58" s="16" t="n">
        <v>3</v>
      </c>
      <c r="K58" s="16" t="n">
        <v>1</v>
      </c>
      <c r="L58" s="16" t="inlineStr">
        <is>
          <t>15.10.2024 13:25:26</t>
        </is>
      </c>
      <c r="M58" s="16" t="inlineStr">
        <is>
          <t>13 days</t>
        </is>
      </c>
      <c r="N58" s="16" t="inlineStr">
        <is>
          <t xml:space="preserve">        184K           148K            10K</t>
        </is>
      </c>
      <c r="O58" s="16" t="inlineStr">
        <is>
          <t>D1khZH8Kz255iw8VLiACCPiYgC4XdnAFD3sYsusupump</t>
        </is>
      </c>
      <c r="P58" s="16">
        <f>HYPERLINK("https://dexscreener.com/solana/D1khZH8Kz255iw8VLiACCPiYgC4XdnAFD3sYsusupump", "View")</f>
        <v/>
      </c>
    </row>
    <row r="59">
      <c r="A59" s="19" t="inlineStr">
        <is>
          <t>MEOWMEOW</t>
        </is>
      </c>
      <c r="B59" s="20" t="n">
        <v>3235</v>
      </c>
      <c r="C59" s="20" t="n">
        <v>0</v>
      </c>
      <c r="D59" s="20" t="inlineStr">
        <is>
          <t>0.000010</t>
        </is>
      </c>
      <c r="E59" s="20" t="inlineStr">
        <is>
          <t>0.100 SOL</t>
        </is>
      </c>
      <c r="F59" s="20" t="inlineStr">
        <is>
          <t>0.000 SOL</t>
        </is>
      </c>
      <c r="G59" s="17" t="inlineStr">
        <is>
          <t>-0.100 SOL</t>
        </is>
      </c>
      <c r="H59" s="17" t="inlineStr">
        <is>
          <t>0.00%</t>
        </is>
      </c>
      <c r="I59" s="20" t="inlineStr">
        <is>
          <t>3,235</t>
        </is>
      </c>
      <c r="J59" s="20" t="n">
        <v>1</v>
      </c>
      <c r="K59" s="20" t="n">
        <v>0</v>
      </c>
      <c r="L59" s="20" t="inlineStr">
        <is>
          <t>15.10.2024 06:21:42</t>
        </is>
      </c>
      <c r="M59" s="18" t="inlineStr">
        <is>
          <t>0 sec</t>
        </is>
      </c>
      <c r="N59" s="20" t="inlineStr">
        <is>
          <t xml:space="preserve">          5M             5M            75K</t>
        </is>
      </c>
      <c r="O59" s="20" t="inlineStr">
        <is>
          <t>HeCFQ5hiDZRKVYEuDF1LYBfbYfqAg98CQtbrTR7ipump</t>
        </is>
      </c>
      <c r="P59" s="20">
        <f>HYPERLINK("https://dexscreener.com/solana/HeCFQ5hiDZRKVYEuDF1LYBfbYfqAg98CQtbrTR7ipump", "View")</f>
        <v/>
      </c>
    </row>
    <row r="60">
      <c r="A60" s="15" t="inlineStr">
        <is>
          <t>Sign</t>
        </is>
      </c>
      <c r="B60" s="16" t="n">
        <v>175665</v>
      </c>
      <c r="C60" s="16" t="n">
        <v>0</v>
      </c>
      <c r="D60" s="16" t="inlineStr">
        <is>
          <t>0.000010</t>
        </is>
      </c>
      <c r="E60" s="16" t="inlineStr">
        <is>
          <t>0.100 SOL</t>
        </is>
      </c>
      <c r="F60" s="16" t="inlineStr">
        <is>
          <t>0.000 SOL</t>
        </is>
      </c>
      <c r="G60" s="17" t="inlineStr">
        <is>
          <t>-0.100 SOL</t>
        </is>
      </c>
      <c r="H60" s="17" t="inlineStr">
        <is>
          <t>0.00%</t>
        </is>
      </c>
      <c r="I60" s="16" t="inlineStr">
        <is>
          <t>175,665</t>
        </is>
      </c>
      <c r="J60" s="16" t="n">
        <v>1</v>
      </c>
      <c r="K60" s="16" t="n">
        <v>0</v>
      </c>
      <c r="L60" s="16" t="inlineStr">
        <is>
          <t>15.10.2024 05:47:43</t>
        </is>
      </c>
      <c r="M60" s="18" t="inlineStr">
        <is>
          <t>0 sec</t>
        </is>
      </c>
      <c r="N60" s="16" t="inlineStr">
        <is>
          <t xml:space="preserve">         99K            99K             5K</t>
        </is>
      </c>
      <c r="O60" s="16" t="inlineStr">
        <is>
          <t>FJRtY4GoThZwGM92eTNziwsTXBiZs3brtFfmDj53pump</t>
        </is>
      </c>
      <c r="P60" s="16">
        <f>HYPERLINK("https://dexscreener.com/solana/FJRtY4GoThZwGM92eTNziwsTXBiZs3brtFfmDj53pump", "View")</f>
        <v/>
      </c>
    </row>
    <row r="61">
      <c r="A61" s="19" t="inlineStr">
        <is>
          <t>RETARD</t>
        </is>
      </c>
      <c r="B61" s="20" t="n">
        <v>19576</v>
      </c>
      <c r="C61" s="20" t="n">
        <v>19576</v>
      </c>
      <c r="D61" s="20" t="inlineStr">
        <is>
          <t>0.000010</t>
        </is>
      </c>
      <c r="E61" s="20" t="inlineStr">
        <is>
          <t>0.100 SOL</t>
        </is>
      </c>
      <c r="F61" s="20" t="inlineStr">
        <is>
          <t>0.133 SOL</t>
        </is>
      </c>
      <c r="G61" s="22" t="inlineStr">
        <is>
          <t>0.033 SOL</t>
        </is>
      </c>
      <c r="H61" s="22" t="inlineStr">
        <is>
          <t>32.51%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15.10.2024 05:43:06</t>
        </is>
      </c>
      <c r="M61" s="20" t="inlineStr">
        <is>
          <t>57 min</t>
        </is>
      </c>
      <c r="N61" s="20" t="inlineStr">
        <is>
          <t xml:space="preserve">        889K             1M            97K</t>
        </is>
      </c>
      <c r="O61" s="20" t="inlineStr">
        <is>
          <t>He2EL8hzZKZEQPZw3TvHCRoBeuh4rQzCBxvv3uCCpump</t>
        </is>
      </c>
      <c r="P61" s="20">
        <f>HYPERLINK("https://dexscreener.com/solana/He2EL8hzZKZEQPZw3TvHCRoBeuh4rQzCBxvv3uCCpump", "View")</f>
        <v/>
      </c>
    </row>
    <row r="62">
      <c r="A62" s="15" t="inlineStr">
        <is>
          <t>IOLY</t>
        </is>
      </c>
      <c r="B62" s="16" t="n">
        <v>183694</v>
      </c>
      <c r="C62" s="16" t="n">
        <v>183694</v>
      </c>
      <c r="D62" s="16" t="inlineStr">
        <is>
          <t>0.000010</t>
        </is>
      </c>
      <c r="E62" s="16" t="inlineStr">
        <is>
          <t>0.100 SOL</t>
        </is>
      </c>
      <c r="F62" s="16" t="inlineStr">
        <is>
          <t>0.278 SOL</t>
        </is>
      </c>
      <c r="G62" s="23" t="inlineStr">
        <is>
          <t>0.178 SOL</t>
        </is>
      </c>
      <c r="H62" s="23" t="inlineStr">
        <is>
          <t>178.16%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15.10.2024 04:46:17</t>
        </is>
      </c>
      <c r="M62" s="16" t="inlineStr">
        <is>
          <t>38 min</t>
        </is>
      </c>
      <c r="N62" s="16" t="inlineStr">
        <is>
          <t xml:space="preserve">         95K           265K            52K</t>
        </is>
      </c>
      <c r="O62" s="16" t="inlineStr">
        <is>
          <t>DPEPsFbcwLhNQP9RWZDCaQUnDtdRjRCAom5gLWa5pump</t>
        </is>
      </c>
      <c r="P62" s="16">
        <f>HYPERLINK("https://dexscreener.com/solana/DPEPsFbcwLhNQP9RWZDCaQUnDtdRjRCAom5gLWa5pump", "View")</f>
        <v/>
      </c>
    </row>
    <row r="63">
      <c r="A63" s="19" t="inlineStr">
        <is>
          <t>RETARDAI</t>
        </is>
      </c>
      <c r="B63" s="20" t="n">
        <v>109968</v>
      </c>
      <c r="C63" s="20" t="n">
        <v>109968</v>
      </c>
      <c r="D63" s="20" t="inlineStr">
        <is>
          <t>0.000010</t>
        </is>
      </c>
      <c r="E63" s="20" t="inlineStr">
        <is>
          <t>0.100 SOL</t>
        </is>
      </c>
      <c r="F63" s="20" t="inlineStr">
        <is>
          <t>0.154 SOL</t>
        </is>
      </c>
      <c r="G63" s="23" t="inlineStr">
        <is>
          <t>0.054 SOL</t>
        </is>
      </c>
      <c r="H63" s="23" t="inlineStr">
        <is>
          <t>54.46%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15.10.2024 04:34:51</t>
        </is>
      </c>
      <c r="M63" s="20" t="inlineStr">
        <is>
          <t>6 min</t>
        </is>
      </c>
      <c r="N63" s="20" t="inlineStr">
        <is>
          <t xml:space="preserve">        160K           245K             6K</t>
        </is>
      </c>
      <c r="O63" s="20" t="inlineStr">
        <is>
          <t>6oXQE9haR8kkipinGU8Lr7tqwo4WxYMBzGPu8vbupump</t>
        </is>
      </c>
      <c r="P63" s="20">
        <f>HYPERLINK("https://dexscreener.com/solana/6oXQE9haR8kkipinGU8Lr7tqwo4WxYMBzGPu8vbupump", "View")</f>
        <v/>
      </c>
    </row>
    <row r="64">
      <c r="A64" s="15" t="inlineStr">
        <is>
          <t>bre</t>
        </is>
      </c>
      <c r="B64" s="16" t="n">
        <v>343239</v>
      </c>
      <c r="C64" s="16" t="n">
        <v>0</v>
      </c>
      <c r="D64" s="16" t="inlineStr">
        <is>
          <t>0.000010</t>
        </is>
      </c>
      <c r="E64" s="16" t="inlineStr">
        <is>
          <t>0.200 SOL</t>
        </is>
      </c>
      <c r="F64" s="16" t="inlineStr">
        <is>
          <t>0.000 SOL</t>
        </is>
      </c>
      <c r="G64" s="17" t="inlineStr">
        <is>
          <t>-0.200 SOL</t>
        </is>
      </c>
      <c r="H64" s="17" t="inlineStr">
        <is>
          <t>0.00%</t>
        </is>
      </c>
      <c r="I64" s="16" t="inlineStr">
        <is>
          <t>343,239</t>
        </is>
      </c>
      <c r="J64" s="16" t="n">
        <v>1</v>
      </c>
      <c r="K64" s="16" t="n">
        <v>0</v>
      </c>
      <c r="L64" s="16" t="inlineStr">
        <is>
          <t>15.10.2024 03:10:13</t>
        </is>
      </c>
      <c r="M64" s="18" t="inlineStr">
        <is>
          <t>0 sec</t>
        </is>
      </c>
      <c r="N64" s="16" t="inlineStr">
        <is>
          <t xml:space="preserve">        102K           102K             4K</t>
        </is>
      </c>
      <c r="O64" s="16" t="inlineStr">
        <is>
          <t>3D1domeeRkm6e96794DiLXapQFziEihfDddiHbUHpump</t>
        </is>
      </c>
      <c r="P64" s="16">
        <f>HYPERLINK("https://dexscreener.com/solana/3D1domeeRkm6e96794DiLXapQFziEihfDddiHbUHpump", "View")</f>
        <v/>
      </c>
    </row>
    <row r="65">
      <c r="A65" s="19" t="inlineStr">
        <is>
          <t>Somnia</t>
        </is>
      </c>
      <c r="B65" s="20" t="n">
        <v>2850110</v>
      </c>
      <c r="C65" s="20" t="n">
        <v>2850110</v>
      </c>
      <c r="D65" s="20" t="inlineStr">
        <is>
          <t>0.000010</t>
        </is>
      </c>
      <c r="E65" s="20" t="inlineStr">
        <is>
          <t>0.500 SOL</t>
        </is>
      </c>
      <c r="F65" s="20" t="inlineStr">
        <is>
          <t>0.097 SOL</t>
        </is>
      </c>
      <c r="G65" s="24" t="inlineStr">
        <is>
          <t>-0.403 SOL</t>
        </is>
      </c>
      <c r="H65" s="24" t="inlineStr">
        <is>
          <t>-80.64%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15.10.2024 02:55:11</t>
        </is>
      </c>
      <c r="M65" s="20" t="inlineStr">
        <is>
          <t>1 days</t>
        </is>
      </c>
      <c r="N65" s="20" t="inlineStr">
        <is>
          <t xml:space="preserve">         32K            32K             7K</t>
        </is>
      </c>
      <c r="O65" s="20" t="inlineStr">
        <is>
          <t>DueDVxuMt24Ppze729HMCx8FuCB1fB3YPUTTpFhSpump</t>
        </is>
      </c>
      <c r="P65" s="20">
        <f>HYPERLINK("https://dexscreener.com/solana/DueDVxuMt24Ppze729HMCx8FuCB1fB3YPUTTpFhSpump", "View")</f>
        <v/>
      </c>
    </row>
    <row r="66">
      <c r="A66" s="15" t="inlineStr">
        <is>
          <t>Maru</t>
        </is>
      </c>
      <c r="B66" s="16" t="n">
        <v>4073742</v>
      </c>
      <c r="C66" s="16" t="n">
        <v>4073742</v>
      </c>
      <c r="D66" s="16" t="inlineStr">
        <is>
          <t>0.000020</t>
        </is>
      </c>
      <c r="E66" s="16" t="inlineStr">
        <is>
          <t>1.500 SOL</t>
        </is>
      </c>
      <c r="F66" s="16" t="inlineStr">
        <is>
          <t>0.099 SOL</t>
        </is>
      </c>
      <c r="G66" s="24" t="inlineStr">
        <is>
          <t>-1.401 SOL</t>
        </is>
      </c>
      <c r="H66" s="24" t="inlineStr">
        <is>
          <t>-93.38%</t>
        </is>
      </c>
      <c r="I66" s="16" t="inlineStr">
        <is>
          <t>N/A</t>
        </is>
      </c>
      <c r="J66" s="16" t="n">
        <v>3</v>
      </c>
      <c r="K66" s="16" t="n">
        <v>1</v>
      </c>
      <c r="L66" s="16" t="inlineStr">
        <is>
          <t>15.10.2024 02:52:31</t>
        </is>
      </c>
      <c r="M66" s="16" t="inlineStr">
        <is>
          <t>16 days</t>
        </is>
      </c>
      <c r="N66" s="16" t="inlineStr">
        <is>
          <t xml:space="preserve">        235K            28K             4K</t>
        </is>
      </c>
      <c r="O66" s="16" t="inlineStr">
        <is>
          <t>AL8KH4gPvwfRx9bB3nZrW8dtyZd57H1kUYdZ5Ytepump</t>
        </is>
      </c>
      <c r="P66" s="16">
        <f>HYPERLINK("https://dexscreener.com/solana/AL8KH4gPvwfRx9bB3nZrW8dtyZd57H1kUYdZ5Ytepump", "View")</f>
        <v/>
      </c>
    </row>
    <row r="67">
      <c r="A67" s="19" t="inlineStr">
        <is>
          <t>ROSE</t>
        </is>
      </c>
      <c r="B67" s="20" t="n">
        <v>1002829</v>
      </c>
      <c r="C67" s="20" t="n">
        <v>1002829</v>
      </c>
      <c r="D67" s="20" t="inlineStr">
        <is>
          <t>0.000010</t>
        </is>
      </c>
      <c r="E67" s="20" t="inlineStr">
        <is>
          <t>0.200 SOL</t>
        </is>
      </c>
      <c r="F67" s="20" t="inlineStr">
        <is>
          <t>0.173 SOL</t>
        </is>
      </c>
      <c r="G67" s="21" t="inlineStr">
        <is>
          <t>-0.027 SOL</t>
        </is>
      </c>
      <c r="H67" s="21" t="inlineStr">
        <is>
          <t>-13.72%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15.10.2024 01:25:41</t>
        </is>
      </c>
      <c r="M67" s="20" t="inlineStr">
        <is>
          <t>4 hours</t>
        </is>
      </c>
      <c r="N67" s="20" t="inlineStr">
        <is>
          <t xml:space="preserve">         35K            30K            27K</t>
        </is>
      </c>
      <c r="O67" s="20" t="inlineStr">
        <is>
          <t>846yk5YHrkBss73wzamU1nUtnhCbKHF9WEh8A3rp6YHw</t>
        </is>
      </c>
      <c r="P67" s="20">
        <f>HYPERLINK("https://dexscreener.com/solana/846yk5YHrkBss73wzamU1nUtnhCbKHF9WEh8A3rp6YHw", "View")</f>
        <v/>
      </c>
    </row>
    <row r="68">
      <c r="A68" s="15" t="inlineStr">
        <is>
          <t>∞MONEY</t>
        </is>
      </c>
      <c r="B68" s="16" t="n">
        <v>273351</v>
      </c>
      <c r="C68" s="16" t="n">
        <v>0</v>
      </c>
      <c r="D68" s="16" t="inlineStr">
        <is>
          <t>0.000010</t>
        </is>
      </c>
      <c r="E68" s="16" t="inlineStr">
        <is>
          <t>0.150 SOL</t>
        </is>
      </c>
      <c r="F68" s="16" t="inlineStr">
        <is>
          <t>0.000 SOL</t>
        </is>
      </c>
      <c r="G68" s="17" t="inlineStr">
        <is>
          <t>-0.150 SOL</t>
        </is>
      </c>
      <c r="H68" s="17" t="inlineStr">
        <is>
          <t>0.00%</t>
        </is>
      </c>
      <c r="I68" s="16" t="inlineStr">
        <is>
          <t>273,351</t>
        </is>
      </c>
      <c r="J68" s="16" t="n">
        <v>1</v>
      </c>
      <c r="K68" s="16" t="n">
        <v>0</v>
      </c>
      <c r="L68" s="16" t="inlineStr">
        <is>
          <t>14.10.2024 23:08:54</t>
        </is>
      </c>
      <c r="M68" s="18" t="inlineStr">
        <is>
          <t>0 sec</t>
        </is>
      </c>
      <c r="N68" s="16" t="inlineStr">
        <is>
          <t xml:space="preserve">         97K            97K             6K</t>
        </is>
      </c>
      <c r="O68" s="16" t="inlineStr">
        <is>
          <t>DiK4gxmhENUcZfo45Lfyh2sYYSFPpk3k7fVXWEYupump</t>
        </is>
      </c>
      <c r="P68" s="16">
        <f>HYPERLINK("https://dexscreener.com/solana/DiK4gxmhENUcZfo45Lfyh2sYYSFPpk3k7fVXWEYupump", "View")</f>
        <v/>
      </c>
    </row>
    <row r="69">
      <c r="A69" s="19" t="inlineStr">
        <is>
          <t>srDog</t>
        </is>
      </c>
      <c r="B69" s="20" t="n">
        <v>178545</v>
      </c>
      <c r="C69" s="20" t="n">
        <v>178545</v>
      </c>
      <c r="D69" s="20" t="inlineStr">
        <is>
          <t>0.000010</t>
        </is>
      </c>
      <c r="E69" s="20" t="inlineStr">
        <is>
          <t>0.500 SOL</t>
        </is>
      </c>
      <c r="F69" s="20" t="inlineStr">
        <is>
          <t>0.208 SOL</t>
        </is>
      </c>
      <c r="G69" s="24" t="inlineStr">
        <is>
          <t>-0.292 SOL</t>
        </is>
      </c>
      <c r="H69" s="24" t="inlineStr">
        <is>
          <t>-58.34%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14.10.2024 21:17:37</t>
        </is>
      </c>
      <c r="M69" s="20" t="inlineStr">
        <is>
          <t>7 days</t>
        </is>
      </c>
      <c r="N69" s="20" t="inlineStr">
        <is>
          <t xml:space="preserve">        491K           491K            18K</t>
        </is>
      </c>
      <c r="O69" s="20" t="inlineStr">
        <is>
          <t>FoQ4yi9FgpMocZ1syE4XGKEw3yAeDx9PK2TKn6SQpump</t>
        </is>
      </c>
      <c r="P69" s="20">
        <f>HYPERLINK("https://dexscreener.com/solana/FoQ4yi9FgpMocZ1syE4XGKEw3yAeDx9PK2TKn6SQpump", "View")</f>
        <v/>
      </c>
    </row>
    <row r="70">
      <c r="A70" s="15" t="inlineStr">
        <is>
          <t>Bagmen</t>
        </is>
      </c>
      <c r="B70" s="16" t="n">
        <v>297477</v>
      </c>
      <c r="C70" s="16" t="n">
        <v>0</v>
      </c>
      <c r="D70" s="16" t="inlineStr">
        <is>
          <t>0.000010</t>
        </is>
      </c>
      <c r="E70" s="16" t="inlineStr">
        <is>
          <t>0.300 SOL</t>
        </is>
      </c>
      <c r="F70" s="16" t="inlineStr">
        <is>
          <t>0.000 SOL</t>
        </is>
      </c>
      <c r="G70" s="17" t="inlineStr">
        <is>
          <t>-0.300 SOL</t>
        </is>
      </c>
      <c r="H70" s="17" t="inlineStr">
        <is>
          <t>0.00%</t>
        </is>
      </c>
      <c r="I70" s="16" t="inlineStr">
        <is>
          <t>297,477</t>
        </is>
      </c>
      <c r="J70" s="16" t="n">
        <v>1</v>
      </c>
      <c r="K70" s="16" t="n">
        <v>0</v>
      </c>
      <c r="L70" s="16" t="inlineStr">
        <is>
          <t>14.10.2024 05:53:33</t>
        </is>
      </c>
      <c r="M70" s="18" t="inlineStr">
        <is>
          <t>0 sec</t>
        </is>
      </c>
      <c r="N70" s="16" t="inlineStr">
        <is>
          <t xml:space="preserve">        177K           177K             7K</t>
        </is>
      </c>
      <c r="O70" s="16" t="inlineStr">
        <is>
          <t>CTvCrYueceHsFHKesn9JmGkscKwDs6akBEhVpb1Cpump</t>
        </is>
      </c>
      <c r="P70" s="16">
        <f>HYPERLINK("https://dexscreener.com/solana/CTvCrYueceHsFHKesn9JmGkscKwDs6akBEhVpb1Cpump", "View")</f>
        <v/>
      </c>
    </row>
    <row r="71">
      <c r="A71" s="19" t="inlineStr">
        <is>
          <t>genz</t>
        </is>
      </c>
      <c r="B71" s="20" t="n">
        <v>101101</v>
      </c>
      <c r="C71" s="20" t="n">
        <v>0</v>
      </c>
      <c r="D71" s="20" t="inlineStr">
        <is>
          <t>0.000010</t>
        </is>
      </c>
      <c r="E71" s="20" t="inlineStr">
        <is>
          <t>0.300 SOL</t>
        </is>
      </c>
      <c r="F71" s="20" t="inlineStr">
        <is>
          <t>0.000 SOL</t>
        </is>
      </c>
      <c r="G71" s="17" t="inlineStr">
        <is>
          <t>-0.300 SOL</t>
        </is>
      </c>
      <c r="H71" s="17" t="inlineStr">
        <is>
          <t>0.00%</t>
        </is>
      </c>
      <c r="I71" s="20" t="inlineStr">
        <is>
          <t>101,101</t>
        </is>
      </c>
      <c r="J71" s="20" t="n">
        <v>1</v>
      </c>
      <c r="K71" s="20" t="n">
        <v>0</v>
      </c>
      <c r="L71" s="20" t="inlineStr">
        <is>
          <t>14.10.2024 03:47:45</t>
        </is>
      </c>
      <c r="M71" s="18" t="inlineStr">
        <is>
          <t>0 sec</t>
        </is>
      </c>
      <c r="N71" s="20" t="inlineStr">
        <is>
          <t xml:space="preserve">        522K           522K             8K</t>
        </is>
      </c>
      <c r="O71" s="20" t="inlineStr">
        <is>
          <t>Huz7DeiAJKATSEofkS1Bry2NkCwkfcQuZFE2wRqRpump</t>
        </is>
      </c>
      <c r="P71" s="20">
        <f>HYPERLINK("https://dexscreener.com/solana/Huz7DeiAJKATSEofkS1Bry2NkCwkfcQuZFE2wRqRpump", "View")</f>
        <v/>
      </c>
    </row>
    <row r="72">
      <c r="A72" s="15" t="inlineStr">
        <is>
          <t>MDH</t>
        </is>
      </c>
      <c r="B72" s="16" t="n">
        <v>1678303</v>
      </c>
      <c r="C72" s="16" t="n">
        <v>0</v>
      </c>
      <c r="D72" s="16" t="inlineStr">
        <is>
          <t>0.000010</t>
        </is>
      </c>
      <c r="E72" s="16" t="inlineStr">
        <is>
          <t>0.500 SOL</t>
        </is>
      </c>
      <c r="F72" s="16" t="inlineStr">
        <is>
          <t>0.000 SOL</t>
        </is>
      </c>
      <c r="G72" s="17" t="inlineStr">
        <is>
          <t>-0.500 SOL</t>
        </is>
      </c>
      <c r="H72" s="17" t="inlineStr">
        <is>
          <t>0.00%</t>
        </is>
      </c>
      <c r="I72" s="16" t="inlineStr">
        <is>
          <t>1,678,303</t>
        </is>
      </c>
      <c r="J72" s="16" t="n">
        <v>1</v>
      </c>
      <c r="K72" s="16" t="n">
        <v>0</v>
      </c>
      <c r="L72" s="16" t="inlineStr">
        <is>
          <t>13.10.2024 14:20:18</t>
        </is>
      </c>
      <c r="M72" s="18" t="inlineStr">
        <is>
          <t>0 sec</t>
        </is>
      </c>
      <c r="N72" s="16" t="inlineStr">
        <is>
          <t xml:space="preserve">         53K            53K             4K</t>
        </is>
      </c>
      <c r="O72" s="16" t="inlineStr">
        <is>
          <t>EisyqYQhky88iUeujRTg1hk5Ckx8uxAU1Us7FkKzpump</t>
        </is>
      </c>
      <c r="P72" s="16">
        <f>HYPERLINK("https://dexscreener.com/solana/EisyqYQhky88iUeujRTg1hk5Ckx8uxAU1Us7FkKzpump", "View")</f>
        <v/>
      </c>
    </row>
    <row r="73">
      <c r="A73" s="19" t="inlineStr">
        <is>
          <t>momo</t>
        </is>
      </c>
      <c r="B73" s="20" t="n">
        <v>4274491</v>
      </c>
      <c r="C73" s="20" t="n">
        <v>389106</v>
      </c>
      <c r="D73" s="20" t="inlineStr">
        <is>
          <t>0.000030</t>
        </is>
      </c>
      <c r="E73" s="20" t="inlineStr">
        <is>
          <t>2.500 SOL</t>
        </is>
      </c>
      <c r="F73" s="20" t="inlineStr">
        <is>
          <t>0.708 SOL</t>
        </is>
      </c>
      <c r="G73" s="24" t="inlineStr">
        <is>
          <t>-1.792 SOL</t>
        </is>
      </c>
      <c r="H73" s="24" t="inlineStr">
        <is>
          <t>-71.69%</t>
        </is>
      </c>
      <c r="I73" s="20" t="inlineStr">
        <is>
          <t>N/A</t>
        </is>
      </c>
      <c r="J73" s="20" t="n">
        <v>4</v>
      </c>
      <c r="K73" s="20" t="n">
        <v>1</v>
      </c>
      <c r="L73" s="20" t="inlineStr">
        <is>
          <t>13.10.2024 02:42:18</t>
        </is>
      </c>
      <c r="M73" s="20" t="inlineStr">
        <is>
          <t>10 days</t>
        </is>
      </c>
      <c r="N73" s="20" t="inlineStr">
        <is>
          <t xml:space="preserve">        221K           305K            69K</t>
        </is>
      </c>
      <c r="O73" s="20" t="inlineStr">
        <is>
          <t>CHVggq5Bu2UKLB1MQtLciDV3UKv5hwLkJwA14egApump</t>
        </is>
      </c>
      <c r="P73" s="20">
        <f>HYPERLINK("https://dexscreener.com/solana/CHVggq5Bu2UKLB1MQtLciDV3UKv5hwLkJwA14egApump", "View")</f>
        <v/>
      </c>
    </row>
    <row r="74">
      <c r="A74" s="15" t="inlineStr">
        <is>
          <t>godspeed</t>
        </is>
      </c>
      <c r="B74" s="16" t="n">
        <v>6244978</v>
      </c>
      <c r="C74" s="16" t="n">
        <v>6244978</v>
      </c>
      <c r="D74" s="16" t="inlineStr">
        <is>
          <t>0.000020</t>
        </is>
      </c>
      <c r="E74" s="16" t="inlineStr">
        <is>
          <t>0.450 SOL</t>
        </is>
      </c>
      <c r="F74" s="16" t="inlineStr">
        <is>
          <t>0.390 SOL</t>
        </is>
      </c>
      <c r="G74" s="21" t="inlineStr">
        <is>
          <t>-0.060 SOL</t>
        </is>
      </c>
      <c r="H74" s="21" t="inlineStr">
        <is>
          <t>-13.23%</t>
        </is>
      </c>
      <c r="I74" s="16" t="inlineStr">
        <is>
          <t>N/A</t>
        </is>
      </c>
      <c r="J74" s="16" t="n">
        <v>2</v>
      </c>
      <c r="K74" s="16" t="n">
        <v>1</v>
      </c>
      <c r="L74" s="16" t="inlineStr">
        <is>
          <t>10.10.2024 07:05:00</t>
        </is>
      </c>
      <c r="M74" s="16" t="inlineStr">
        <is>
          <t>4 hours</t>
        </is>
      </c>
      <c r="N74" s="16" t="inlineStr">
        <is>
          <t xml:space="preserve">         11K            11K             4K</t>
        </is>
      </c>
      <c r="O74" s="16" t="inlineStr">
        <is>
          <t>Gj2cpBKRA2pz5PYYSdAq2Hsehdxn1PHVuUnjCD9Npump</t>
        </is>
      </c>
      <c r="P74" s="16">
        <f>HYPERLINK("https://dexscreener.com/solana/Gj2cpBKRA2pz5PYYSdAq2Hsehdxn1PHVuUnjCD9Npump", "View")</f>
        <v/>
      </c>
    </row>
    <row r="75">
      <c r="A75" s="19" t="inlineStr">
        <is>
          <t>YOURMOM</t>
        </is>
      </c>
      <c r="B75" s="20" t="n">
        <v>98828</v>
      </c>
      <c r="C75" s="20" t="n">
        <v>87189</v>
      </c>
      <c r="D75" s="20" t="inlineStr">
        <is>
          <t>0.000020</t>
        </is>
      </c>
      <c r="E75" s="20" t="inlineStr">
        <is>
          <t>1.000 SOL</t>
        </is>
      </c>
      <c r="F75" s="20" t="inlineStr">
        <is>
          <t>0.624 SOL</t>
        </is>
      </c>
      <c r="G75" s="21" t="inlineStr">
        <is>
          <t>-0.376 SOL</t>
        </is>
      </c>
      <c r="H75" s="21" t="inlineStr">
        <is>
          <t>-37.57%</t>
        </is>
      </c>
      <c r="I75" s="20" t="inlineStr">
        <is>
          <t>N/A</t>
        </is>
      </c>
      <c r="J75" s="20" t="n">
        <v>2</v>
      </c>
      <c r="K75" s="20" t="n">
        <v>1</v>
      </c>
      <c r="L75" s="20" t="inlineStr">
        <is>
          <t>09.10.2024 19:36:06</t>
        </is>
      </c>
      <c r="M75" s="20" t="inlineStr">
        <is>
          <t>18 hours</t>
        </is>
      </c>
      <c r="N75" s="20" t="inlineStr">
        <is>
          <t xml:space="preserve">          1M             1M            24K</t>
        </is>
      </c>
      <c r="O75" s="20" t="inlineStr">
        <is>
          <t>Bp2KgefjvRDhvuLGjXHsSFxmqkJEXk3ZAa1FQ4rWpump</t>
        </is>
      </c>
      <c r="P75" s="20">
        <f>HYPERLINK("https://dexscreener.com/solana/Bp2KgefjvRDhvuLGjXHsSFxmqkJEXk3ZAa1FQ4rWpump", "View")</f>
        <v/>
      </c>
    </row>
    <row r="76">
      <c r="A76" s="15" t="inlineStr">
        <is>
          <t>miharu</t>
        </is>
      </c>
      <c r="B76" s="16" t="n">
        <v>10387</v>
      </c>
      <c r="C76" s="16" t="n">
        <v>0</v>
      </c>
      <c r="D76" s="16" t="inlineStr">
        <is>
          <t>0.000010</t>
        </is>
      </c>
      <c r="E76" s="16" t="inlineStr">
        <is>
          <t>0.500 SOL</t>
        </is>
      </c>
      <c r="F76" s="16" t="inlineStr">
        <is>
          <t>0.000 SOL</t>
        </is>
      </c>
      <c r="G76" s="17" t="inlineStr">
        <is>
          <t>-0.500 SOL</t>
        </is>
      </c>
      <c r="H76" s="17" t="inlineStr">
        <is>
          <t>0.00%</t>
        </is>
      </c>
      <c r="I76" s="16" t="inlineStr">
        <is>
          <t>10,387</t>
        </is>
      </c>
      <c r="J76" s="16" t="n">
        <v>1</v>
      </c>
      <c r="K76" s="16" t="n">
        <v>0</v>
      </c>
      <c r="L76" s="16" t="inlineStr">
        <is>
          <t>09.10.2024 19:00:18</t>
        </is>
      </c>
      <c r="M76" s="18" t="inlineStr">
        <is>
          <t>0 sec</t>
        </is>
      </c>
      <c r="N76" s="16" t="inlineStr">
        <is>
          <t xml:space="preserve">          8M             8M             1M</t>
        </is>
      </c>
      <c r="O76" s="16" t="inlineStr">
        <is>
          <t>6tVZVjcppH2BZ9Xj5yFU1Zt34m2rYcyDqqpSeMDZpump</t>
        </is>
      </c>
      <c r="P76" s="16">
        <f>HYPERLINK("https://dexscreener.com/solana/6tVZVjcppH2BZ9Xj5yFU1Zt34m2rYcyDqqpSeMDZpump", "View")</f>
        <v/>
      </c>
    </row>
    <row r="77">
      <c r="A77" s="19" t="inlineStr">
        <is>
          <t>PeterTodd</t>
        </is>
      </c>
      <c r="B77" s="20" t="n">
        <v>32481</v>
      </c>
      <c r="C77" s="20" t="n">
        <v>0</v>
      </c>
      <c r="D77" s="20" t="inlineStr">
        <is>
          <t>0.000010</t>
        </is>
      </c>
      <c r="E77" s="20" t="inlineStr">
        <is>
          <t>0.500 SOL</t>
        </is>
      </c>
      <c r="F77" s="20" t="inlineStr">
        <is>
          <t>0.000 SOL</t>
        </is>
      </c>
      <c r="G77" s="17" t="inlineStr">
        <is>
          <t>-0.500 SOL</t>
        </is>
      </c>
      <c r="H77" s="17" t="inlineStr">
        <is>
          <t>0.00%</t>
        </is>
      </c>
      <c r="I77" s="20" t="inlineStr">
        <is>
          <t>32,481</t>
        </is>
      </c>
      <c r="J77" s="20" t="n">
        <v>1</v>
      </c>
      <c r="K77" s="20" t="n">
        <v>0</v>
      </c>
      <c r="L77" s="20" t="inlineStr">
        <is>
          <t>09.10.2024 01:18:33</t>
        </is>
      </c>
      <c r="M77" s="18" t="inlineStr">
        <is>
          <t>0 sec</t>
        </is>
      </c>
      <c r="N77" s="20" t="inlineStr">
        <is>
          <t xml:space="preserve">          3M             3M            26K</t>
        </is>
      </c>
      <c r="O77" s="20" t="inlineStr">
        <is>
          <t>8oAiUkC1gpr4Tuz3ZA7YUntWE47sop1fYmGWo4Zrpump</t>
        </is>
      </c>
      <c r="P77" s="20">
        <f>HYPERLINK("https://dexscreener.com/solana/8oAiUkC1gpr4Tuz3ZA7YUntWE47sop1fYmGWo4Zrpump", "View")</f>
        <v/>
      </c>
    </row>
    <row r="78">
      <c r="A78" s="15" t="inlineStr">
        <is>
          <t>SASHA</t>
        </is>
      </c>
      <c r="B78" s="16" t="n">
        <v>76684</v>
      </c>
      <c r="C78" s="16" t="n">
        <v>76684</v>
      </c>
      <c r="D78" s="16" t="inlineStr">
        <is>
          <t>0.000030</t>
        </is>
      </c>
      <c r="E78" s="16" t="inlineStr">
        <is>
          <t>2.500 SOL</t>
        </is>
      </c>
      <c r="F78" s="16" t="inlineStr">
        <is>
          <t>1.554 SOL</t>
        </is>
      </c>
      <c r="G78" s="21" t="inlineStr">
        <is>
          <t>-0.946 SOL</t>
        </is>
      </c>
      <c r="H78" s="21" t="inlineStr">
        <is>
          <t>-37.85%</t>
        </is>
      </c>
      <c r="I78" s="16" t="inlineStr">
        <is>
          <t>N/A</t>
        </is>
      </c>
      <c r="J78" s="16" t="n">
        <v>4</v>
      </c>
      <c r="K78" s="16" t="n">
        <v>1</v>
      </c>
      <c r="L78" s="16" t="inlineStr">
        <is>
          <t>08.10.2024 19:51:19</t>
        </is>
      </c>
      <c r="M78" s="16" t="inlineStr">
        <is>
          <t>3 days</t>
        </is>
      </c>
      <c r="N78" s="16" t="inlineStr">
        <is>
          <t xml:space="preserve">          2M             4M           301K</t>
        </is>
      </c>
      <c r="O78" s="16" t="inlineStr">
        <is>
          <t>6WNva7iLjTvxSfXPSmbjceW5Yc41LUH4SJNqKom5pump</t>
        </is>
      </c>
      <c r="P78" s="16">
        <f>HYPERLINK("https://dexscreener.com/solana/6WNva7iLjTvxSfXPSmbjceW5Yc41LUH4SJNqKom5pump", "View")</f>
        <v/>
      </c>
    </row>
    <row r="79">
      <c r="A79" s="19" t="inlineStr">
        <is>
          <t>SATOSHI</t>
        </is>
      </c>
      <c r="B79" s="20" t="n">
        <v>45360</v>
      </c>
      <c r="C79" s="20" t="n">
        <v>0</v>
      </c>
      <c r="D79" s="20" t="inlineStr">
        <is>
          <t>0.000010</t>
        </is>
      </c>
      <c r="E79" s="20" t="inlineStr">
        <is>
          <t>0.500 SOL</t>
        </is>
      </c>
      <c r="F79" s="20" t="inlineStr">
        <is>
          <t>0.000 SOL</t>
        </is>
      </c>
      <c r="G79" s="17" t="inlineStr">
        <is>
          <t>-0.500 SOL</t>
        </is>
      </c>
      <c r="H79" s="17" t="inlineStr">
        <is>
          <t>0.00%</t>
        </is>
      </c>
      <c r="I79" s="20" t="inlineStr">
        <is>
          <t>45,360</t>
        </is>
      </c>
      <c r="J79" s="20" t="n">
        <v>1</v>
      </c>
      <c r="K79" s="20" t="n">
        <v>0</v>
      </c>
      <c r="L79" s="20" t="inlineStr">
        <is>
          <t>08.10.2024 15:52:52</t>
        </is>
      </c>
      <c r="M79" s="18" t="inlineStr">
        <is>
          <t>0 sec</t>
        </is>
      </c>
      <c r="N79" s="20" t="inlineStr">
        <is>
          <t xml:space="preserve">          2M             2M             9K</t>
        </is>
      </c>
      <c r="O79" s="20" t="inlineStr">
        <is>
          <t>AY4AxLZaqZ6XAt3GhUnqreBH1DM7YzqAsoqQ8KmJpump</t>
        </is>
      </c>
      <c r="P79" s="20">
        <f>HYPERLINK("https://dexscreener.com/solana/AY4AxLZaqZ6XAt3GhUnqreBH1DM7YzqAsoqQ8KmJpump", "View")</f>
        <v/>
      </c>
    </row>
    <row r="80">
      <c r="A80" s="15" t="inlineStr">
        <is>
          <t>everything</t>
        </is>
      </c>
      <c r="B80" s="16" t="n">
        <v>141083</v>
      </c>
      <c r="C80" s="16" t="n">
        <v>0</v>
      </c>
      <c r="D80" s="16" t="inlineStr">
        <is>
          <t>0.000010</t>
        </is>
      </c>
      <c r="E80" s="16" t="inlineStr">
        <is>
          <t>1.000 SOL</t>
        </is>
      </c>
      <c r="F80" s="16" t="inlineStr">
        <is>
          <t>0.000 SOL</t>
        </is>
      </c>
      <c r="G80" s="17" t="inlineStr">
        <is>
          <t>-1.000 SOL</t>
        </is>
      </c>
      <c r="H80" s="17" t="inlineStr">
        <is>
          <t>0.00%</t>
        </is>
      </c>
      <c r="I80" s="16" t="inlineStr">
        <is>
          <t>141,083</t>
        </is>
      </c>
      <c r="J80" s="16" t="n">
        <v>2</v>
      </c>
      <c r="K80" s="16" t="n">
        <v>0</v>
      </c>
      <c r="L80" s="16" t="inlineStr">
        <is>
          <t>07.10.2024 01:54:49</t>
        </is>
      </c>
      <c r="M80" s="16" t="inlineStr">
        <is>
          <t>48 min</t>
        </is>
      </c>
      <c r="N80" s="16" t="inlineStr">
        <is>
          <t xml:space="preserve">          1M             2M            17K</t>
        </is>
      </c>
      <c r="O80" s="16" t="inlineStr">
        <is>
          <t>9c1Yz8RFekx4Jx17QekGxtYGNV8y5AL2aDMVkbf6pump</t>
        </is>
      </c>
      <c r="P80" s="16">
        <f>HYPERLINK("https://dexscreener.com/solana/9c1Yz8RFekx4Jx17QekGxtYGNV8y5AL2aDMVkbf6pump", "View")</f>
        <v/>
      </c>
    </row>
    <row r="81">
      <c r="A81" s="19" t="inlineStr">
        <is>
          <t>everything</t>
        </is>
      </c>
      <c r="B81" s="20" t="n">
        <v>55222</v>
      </c>
      <c r="C81" s="20" t="n">
        <v>55222</v>
      </c>
      <c r="D81" s="20" t="inlineStr">
        <is>
          <t>0.000010</t>
        </is>
      </c>
      <c r="E81" s="20" t="inlineStr">
        <is>
          <t>0.500 SOL</t>
        </is>
      </c>
      <c r="F81" s="20" t="inlineStr">
        <is>
          <t>0.376 SOL</t>
        </is>
      </c>
      <c r="G81" s="21" t="inlineStr">
        <is>
          <t>-0.124 SOL</t>
        </is>
      </c>
      <c r="H81" s="21" t="inlineStr">
        <is>
          <t>-24.79%</t>
        </is>
      </c>
      <c r="I81" s="20" t="inlineStr">
        <is>
          <t>N/A</t>
        </is>
      </c>
      <c r="J81" s="20" t="n">
        <v>1</v>
      </c>
      <c r="K81" s="20" t="n">
        <v>1</v>
      </c>
      <c r="L81" s="20" t="inlineStr">
        <is>
          <t>07.10.2024 01:04:27</t>
        </is>
      </c>
      <c r="M81" s="20" t="inlineStr">
        <is>
          <t>12 min</t>
        </is>
      </c>
      <c r="N81" s="20" t="inlineStr">
        <is>
          <t xml:space="preserve">          2M             1M           199K</t>
        </is>
      </c>
      <c r="O81" s="20" t="inlineStr">
        <is>
          <t>AKZWqPjXGEDVPcaWoDoLXysLvuURPj9ZprTBX3GYpump</t>
        </is>
      </c>
      <c r="P81" s="20">
        <f>HYPERLINK("https://dexscreener.com/solana/AKZWqPjXGEDVPcaWoDoLXysLvuURPj9ZprTBX3GYpump", "View")</f>
        <v/>
      </c>
    </row>
    <row r="82">
      <c r="A82" s="15" t="inlineStr">
        <is>
          <t>sugarbear</t>
        </is>
      </c>
      <c r="B82" s="16" t="n">
        <v>935126</v>
      </c>
      <c r="C82" s="16" t="n">
        <v>0</v>
      </c>
      <c r="D82" s="16" t="inlineStr">
        <is>
          <t>0.000020</t>
        </is>
      </c>
      <c r="E82" s="16" t="inlineStr">
        <is>
          <t>1.500 SOL</t>
        </is>
      </c>
      <c r="F82" s="16" t="inlineStr">
        <is>
          <t>0.000 SOL</t>
        </is>
      </c>
      <c r="G82" s="17" t="inlineStr">
        <is>
          <t>-1.500 SOL</t>
        </is>
      </c>
      <c r="H82" s="17" t="inlineStr">
        <is>
          <t>0.00%</t>
        </is>
      </c>
      <c r="I82" s="16" t="inlineStr">
        <is>
          <t>935,126</t>
        </is>
      </c>
      <c r="J82" s="16" t="n">
        <v>3</v>
      </c>
      <c r="K82" s="16" t="n">
        <v>0</v>
      </c>
      <c r="L82" s="16" t="inlineStr">
        <is>
          <t>05.10.2024 21:45:51</t>
        </is>
      </c>
      <c r="M82" s="16" t="inlineStr">
        <is>
          <t>19 hours</t>
        </is>
      </c>
      <c r="N82" s="16" t="inlineStr">
        <is>
          <t xml:space="preserve">        687K           191K            10K</t>
        </is>
      </c>
      <c r="O82" s="16" t="inlineStr">
        <is>
          <t>DAmKsUs98GCeTGyEarKLKG27dKHBKEZAbN1NydPApump</t>
        </is>
      </c>
      <c r="P82" s="16">
        <f>HYPERLINK("https://dexscreener.com/solana/DAmKsUs98GCeTGyEarKLKG27dKHBKEZAbN1NydPApump", "View")</f>
        <v/>
      </c>
    </row>
    <row r="83">
      <c r="A83" s="19" t="inlineStr">
        <is>
          <t>POCHITA</t>
        </is>
      </c>
      <c r="B83" s="20" t="n">
        <v>218322</v>
      </c>
      <c r="C83" s="20" t="n">
        <v>218322</v>
      </c>
      <c r="D83" s="20" t="inlineStr">
        <is>
          <t>0.000020</t>
        </is>
      </c>
      <c r="E83" s="20" t="inlineStr">
        <is>
          <t>1.000 SOL</t>
        </is>
      </c>
      <c r="F83" s="20" t="inlineStr">
        <is>
          <t>1.182 SOL</t>
        </is>
      </c>
      <c r="G83" s="22" t="inlineStr">
        <is>
          <t>0.182 SOL</t>
        </is>
      </c>
      <c r="H83" s="22" t="inlineStr">
        <is>
          <t>18.21%</t>
        </is>
      </c>
      <c r="I83" s="20" t="inlineStr">
        <is>
          <t>N/A</t>
        </is>
      </c>
      <c r="J83" s="20" t="n">
        <v>2</v>
      </c>
      <c r="K83" s="20" t="n">
        <v>1</v>
      </c>
      <c r="L83" s="20" t="inlineStr">
        <is>
          <t>04.10.2024 18:33:36</t>
        </is>
      </c>
      <c r="M83" s="20" t="inlineStr">
        <is>
          <t>2 days</t>
        </is>
      </c>
      <c r="N83" s="20" t="inlineStr">
        <is>
          <t xml:space="preserve">        371K           662K            81K</t>
        </is>
      </c>
      <c r="O83" s="20" t="inlineStr">
        <is>
          <t>EWf4S4KtDmCAZDxNNUygmsieJnCW77uhnbqf7UTcHR3N</t>
        </is>
      </c>
      <c r="P83" s="20">
        <f>HYPERLINK("https://dexscreener.com/solana/EWf4S4KtDmCAZDxNNUygmsieJnCW77uhnbqf7UTcHR3N", "View")</f>
        <v/>
      </c>
    </row>
    <row r="84">
      <c r="A84" s="15" t="inlineStr">
        <is>
          <t>Pochita</t>
        </is>
      </c>
      <c r="B84" s="16" t="n">
        <v>82692</v>
      </c>
      <c r="C84" s="16" t="n">
        <v>16117</v>
      </c>
      <c r="D84" s="16" t="inlineStr">
        <is>
          <t>0.000010</t>
        </is>
      </c>
      <c r="E84" s="16" t="inlineStr">
        <is>
          <t>1.000 SOL</t>
        </is>
      </c>
      <c r="F84" s="16" t="inlineStr">
        <is>
          <t>1.929 SOL</t>
        </is>
      </c>
      <c r="G84" s="23" t="inlineStr">
        <is>
          <t>0.929 SOL</t>
        </is>
      </c>
      <c r="H84" s="23" t="inlineStr">
        <is>
          <t>92.86%</t>
        </is>
      </c>
      <c r="I84" s="16" t="inlineStr">
        <is>
          <t>N/A</t>
        </is>
      </c>
      <c r="J84" s="16" t="n">
        <v>1</v>
      </c>
      <c r="K84" s="16" t="n">
        <v>1</v>
      </c>
      <c r="L84" s="16" t="inlineStr">
        <is>
          <t>02.10.2024 18:03:49</t>
        </is>
      </c>
      <c r="M84" s="16" t="inlineStr">
        <is>
          <t>1 hours</t>
        </is>
      </c>
      <c r="N84" s="16" t="inlineStr">
        <is>
          <t xml:space="preserve">          2M            21M             2M</t>
        </is>
      </c>
      <c r="O84" s="16" t="inlineStr">
        <is>
          <t>E6AujzX54E1ZoPDFP2CyG3HHUVKygEkp6DRqig61pump</t>
        </is>
      </c>
      <c r="P84" s="16">
        <f>HYPERLINK("https://dexscreener.com/solana/E6AujzX54E1ZoPDFP2CyG3HHUVKygEkp6DRqig61pump", "View")</f>
        <v/>
      </c>
    </row>
    <row r="85">
      <c r="A85" s="19" t="inlineStr">
        <is>
          <t>BAILA</t>
        </is>
      </c>
      <c r="B85" s="20" t="n">
        <v>383767</v>
      </c>
      <c r="C85" s="20" t="n">
        <v>0</v>
      </c>
      <c r="D85" s="20" t="inlineStr">
        <is>
          <t>0.000010</t>
        </is>
      </c>
      <c r="E85" s="20" t="inlineStr">
        <is>
          <t>0.500 SOL</t>
        </is>
      </c>
      <c r="F85" s="20" t="inlineStr">
        <is>
          <t>0.000 SOL</t>
        </is>
      </c>
      <c r="G85" s="17" t="inlineStr">
        <is>
          <t>-0.500 SOL</t>
        </is>
      </c>
      <c r="H85" s="17" t="inlineStr">
        <is>
          <t>0.00%</t>
        </is>
      </c>
      <c r="I85" s="20" t="inlineStr">
        <is>
          <t>383,767</t>
        </is>
      </c>
      <c r="J85" s="20" t="n">
        <v>1</v>
      </c>
      <c r="K85" s="20" t="n">
        <v>0</v>
      </c>
      <c r="L85" s="20" t="inlineStr">
        <is>
          <t>02.10.2024 06:13:24</t>
        </is>
      </c>
      <c r="M85" s="18" t="inlineStr">
        <is>
          <t>0 sec</t>
        </is>
      </c>
      <c r="N85" s="20" t="inlineStr">
        <is>
          <t xml:space="preserve">        228K           228K            11K</t>
        </is>
      </c>
      <c r="O85" s="20" t="inlineStr">
        <is>
          <t>3sRT3R3h32H7EB2VGnvaFJP1Rw9apPPZJE5bKqgApump</t>
        </is>
      </c>
      <c r="P85" s="20">
        <f>HYPERLINK("https://dexscreener.com/solana/3sRT3R3h32H7EB2VGnvaFJP1Rw9apPPZJE5bKqgApump", "View")</f>
        <v/>
      </c>
    </row>
    <row r="86">
      <c r="A86" s="15" t="inlineStr">
        <is>
          <t>IKEA</t>
        </is>
      </c>
      <c r="B86" s="16" t="n">
        <v>758106</v>
      </c>
      <c r="C86" s="16" t="n">
        <v>0</v>
      </c>
      <c r="D86" s="16" t="inlineStr">
        <is>
          <t>0.000010</t>
        </is>
      </c>
      <c r="E86" s="16" t="inlineStr">
        <is>
          <t>0.500 SOL</t>
        </is>
      </c>
      <c r="F86" s="16" t="inlineStr">
        <is>
          <t>0.000 SOL</t>
        </is>
      </c>
      <c r="G86" s="17" t="inlineStr">
        <is>
          <t>-0.500 SOL</t>
        </is>
      </c>
      <c r="H86" s="17" t="inlineStr">
        <is>
          <t>0.00%</t>
        </is>
      </c>
      <c r="I86" s="16" t="inlineStr">
        <is>
          <t>758,106</t>
        </is>
      </c>
      <c r="J86" s="16" t="n">
        <v>1</v>
      </c>
      <c r="K86" s="16" t="n">
        <v>0</v>
      </c>
      <c r="L86" s="16" t="inlineStr">
        <is>
          <t>01.10.2024 02:30:30</t>
        </is>
      </c>
      <c r="M86" s="18" t="inlineStr">
        <is>
          <t>0 sec</t>
        </is>
      </c>
      <c r="N86" s="16" t="inlineStr">
        <is>
          <t xml:space="preserve">        116K           116K             7K</t>
        </is>
      </c>
      <c r="O86" s="16" t="inlineStr">
        <is>
          <t>695Q2Phfwe5mX7iHUbncLN5on2RBDhpSZZJPzo3xpump</t>
        </is>
      </c>
      <c r="P86" s="16">
        <f>HYPERLINK("https://dexscreener.com/solana/695Q2Phfwe5mX7iHUbncLN5on2RBDhpSZZJPzo3xpump", "View")</f>
        <v/>
      </c>
    </row>
    <row r="87">
      <c r="A87" s="19" t="inlineStr">
        <is>
          <t>EMU</t>
        </is>
      </c>
      <c r="B87" s="20" t="n">
        <v>379894</v>
      </c>
      <c r="C87" s="20" t="n">
        <v>0</v>
      </c>
      <c r="D87" s="20" t="inlineStr">
        <is>
          <t>0.000020</t>
        </is>
      </c>
      <c r="E87" s="20" t="inlineStr">
        <is>
          <t>2.000 SOL</t>
        </is>
      </c>
      <c r="F87" s="20" t="inlineStr">
        <is>
          <t>0.000 SOL</t>
        </is>
      </c>
      <c r="G87" s="17" t="inlineStr">
        <is>
          <t>-2.000 SOL</t>
        </is>
      </c>
      <c r="H87" s="17" t="inlineStr">
        <is>
          <t>0.00%</t>
        </is>
      </c>
      <c r="I87" s="20" t="inlineStr">
        <is>
          <t>379,894</t>
        </is>
      </c>
      <c r="J87" s="20" t="n">
        <v>4</v>
      </c>
      <c r="K87" s="20" t="n">
        <v>0</v>
      </c>
      <c r="L87" s="20" t="inlineStr">
        <is>
          <t>30.09.2024 19:52:29</t>
        </is>
      </c>
      <c r="M87" s="20" t="inlineStr">
        <is>
          <t>11 hours</t>
        </is>
      </c>
      <c r="N87" s="20" t="inlineStr">
        <is>
          <t xml:space="preserve">        850K           733K            14K</t>
        </is>
      </c>
      <c r="O87" s="20" t="inlineStr">
        <is>
          <t>G7MyDWxMVXL6R4sa9efxDnqMXBogcb6EPNC4Y8eDpump</t>
        </is>
      </c>
      <c r="P87" s="20">
        <f>HYPERLINK("https://dexscreener.com/solana/G7MyDWxMVXL6R4sa9efxDnqMXBogcb6EPNC4Y8eDpump", "View")</f>
        <v/>
      </c>
    </row>
    <row r="88">
      <c r="A88" s="15" t="inlineStr">
        <is>
          <t>catcoin</t>
        </is>
      </c>
      <c r="B88" s="16" t="n">
        <v>897860</v>
      </c>
      <c r="C88" s="16" t="n">
        <v>897860</v>
      </c>
      <c r="D88" s="16" t="inlineStr">
        <is>
          <t>0.000030</t>
        </is>
      </c>
      <c r="E88" s="16" t="inlineStr">
        <is>
          <t>1.500 SOL</t>
        </is>
      </c>
      <c r="F88" s="16" t="inlineStr">
        <is>
          <t>2.395 SOL</t>
        </is>
      </c>
      <c r="G88" s="23" t="inlineStr">
        <is>
          <t>0.895 SOL</t>
        </is>
      </c>
      <c r="H88" s="23" t="inlineStr">
        <is>
          <t>59.65%</t>
        </is>
      </c>
      <c r="I88" s="16" t="inlineStr">
        <is>
          <t>N/A</t>
        </is>
      </c>
      <c r="J88" s="16" t="n">
        <v>3</v>
      </c>
      <c r="K88" s="16" t="n">
        <v>3</v>
      </c>
      <c r="L88" s="16" t="inlineStr">
        <is>
          <t>29.09.2024 20:41:32</t>
        </is>
      </c>
      <c r="M88" s="16" t="inlineStr">
        <is>
          <t>5 hours</t>
        </is>
      </c>
      <c r="N88" s="16" t="inlineStr">
        <is>
          <t xml:space="preserve">        333K           472K            15K</t>
        </is>
      </c>
      <c r="O88" s="16" t="inlineStr">
        <is>
          <t>7b7uX4ddWJ4zPxpAoZBVWEJKu93yKVBJBrn4eWeApump</t>
        </is>
      </c>
      <c r="P88" s="16">
        <f>HYPERLINK("https://dexscreener.com/solana/7b7uX4ddWJ4zPxpAoZBVWEJKu93yKVBJBrn4eWeApump", "View")</f>
        <v/>
      </c>
    </row>
    <row r="89">
      <c r="A89" s="19" t="inlineStr">
        <is>
          <t>sirius</t>
        </is>
      </c>
      <c r="B89" s="20" t="n">
        <v>1493024</v>
      </c>
      <c r="C89" s="20" t="n">
        <v>1493024</v>
      </c>
      <c r="D89" s="20" t="inlineStr">
        <is>
          <t>0.000010</t>
        </is>
      </c>
      <c r="E89" s="20" t="inlineStr">
        <is>
          <t>0.500 SOL</t>
        </is>
      </c>
      <c r="F89" s="20" t="inlineStr">
        <is>
          <t>10.494 SOL</t>
        </is>
      </c>
      <c r="G89" s="23" t="inlineStr">
        <is>
          <t>9.994 SOL</t>
        </is>
      </c>
      <c r="H89" s="23" t="inlineStr">
        <is>
          <t>1998.85%</t>
        </is>
      </c>
      <c r="I89" s="20" t="inlineStr">
        <is>
          <t>N/A</t>
        </is>
      </c>
      <c r="J89" s="20" t="n">
        <v>1</v>
      </c>
      <c r="K89" s="20" t="n">
        <v>1</v>
      </c>
      <c r="L89" s="20" t="inlineStr">
        <is>
          <t>27.09.2024 21:59:35</t>
        </is>
      </c>
      <c r="M89" s="20" t="inlineStr">
        <is>
          <t>7 hours</t>
        </is>
      </c>
      <c r="N89" s="20" t="inlineStr">
        <is>
          <t xml:space="preserve">         56K             1M             1M</t>
        </is>
      </c>
      <c r="O89" s="20" t="inlineStr">
        <is>
          <t>6T44rfi9BDUdZbEvVddZWVfsGrpC6N1sSSKYnCsLpump</t>
        </is>
      </c>
      <c r="P89" s="20">
        <f>HYPERLINK("https://dexscreener.com/solana/6T44rfi9BDUdZbEvVddZWVfsGrpC6N1sSSKYnCsLpump", "View")</f>
        <v/>
      </c>
    </row>
    <row r="90">
      <c r="A90" s="15" t="inlineStr">
        <is>
          <t>See</t>
        </is>
      </c>
      <c r="B90" s="16" t="n">
        <v>3534535</v>
      </c>
      <c r="C90" s="16" t="n">
        <v>0</v>
      </c>
      <c r="D90" s="16" t="inlineStr">
        <is>
          <t>0.000010</t>
        </is>
      </c>
      <c r="E90" s="16" t="inlineStr">
        <is>
          <t>0.500 SOL</t>
        </is>
      </c>
      <c r="F90" s="16" t="inlineStr">
        <is>
          <t>0.000 SOL</t>
        </is>
      </c>
      <c r="G90" s="17" t="inlineStr">
        <is>
          <t>-0.500 SOL</t>
        </is>
      </c>
      <c r="H90" s="17" t="inlineStr">
        <is>
          <t>0.00%</t>
        </is>
      </c>
      <c r="I90" s="16" t="inlineStr">
        <is>
          <t>3,534,535</t>
        </is>
      </c>
      <c r="J90" s="16" t="n">
        <v>1</v>
      </c>
      <c r="K90" s="16" t="n">
        <v>0</v>
      </c>
      <c r="L90" s="16" t="inlineStr">
        <is>
          <t>23.09.2024 08:20:22</t>
        </is>
      </c>
      <c r="M90" s="18" t="inlineStr">
        <is>
          <t>0 sec</t>
        </is>
      </c>
      <c r="N90" s="16" t="inlineStr">
        <is>
          <t xml:space="preserve">         25K            25K             3K</t>
        </is>
      </c>
      <c r="O90" s="16" t="inlineStr">
        <is>
          <t>EBRAN7a2iV9GhCxb2XdKS1dQREnVw3tAJvaeepbdpump</t>
        </is>
      </c>
      <c r="P90" s="16">
        <f>HYPERLINK("https://dexscreener.com/solana/EBRAN7a2iV9GhCxb2XdKS1dQREnVw3tAJvaeepbdpump", "View")</f>
        <v/>
      </c>
    </row>
    <row r="91">
      <c r="A91" s="19" t="inlineStr">
        <is>
          <t>AMBER</t>
        </is>
      </c>
      <c r="B91" s="20" t="n">
        <v>949377</v>
      </c>
      <c r="C91" s="20" t="n">
        <v>949377</v>
      </c>
      <c r="D91" s="20" t="inlineStr">
        <is>
          <t>0.000010</t>
        </is>
      </c>
      <c r="E91" s="20" t="inlineStr">
        <is>
          <t>0.500 SOL</t>
        </is>
      </c>
      <c r="F91" s="20" t="inlineStr">
        <is>
          <t>1.248 SOL</t>
        </is>
      </c>
      <c r="G91" s="23" t="inlineStr">
        <is>
          <t>0.748 SOL</t>
        </is>
      </c>
      <c r="H91" s="23" t="inlineStr">
        <is>
          <t>149.59%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19.09.2024 13:52:30</t>
        </is>
      </c>
      <c r="M91" s="20" t="inlineStr">
        <is>
          <t>1 days</t>
        </is>
      </c>
      <c r="N91" s="20" t="inlineStr">
        <is>
          <t xml:space="preserve">         93K           230K            41K</t>
        </is>
      </c>
      <c r="O91" s="20" t="inlineStr">
        <is>
          <t>DWNfhFpikybDGg4Xg28gA8Kv2VQ58N9YM2UE5B43pump</t>
        </is>
      </c>
      <c r="P91" s="20">
        <f>HYPERLINK("https://dexscreener.com/solana/DWNfhFpikybDGg4Xg28gA8Kv2VQ58N9YM2UE5B43pump", "View")</f>
        <v/>
      </c>
    </row>
    <row r="92">
      <c r="A92" s="15" t="inlineStr">
        <is>
          <t>RESCUE</t>
        </is>
      </c>
      <c r="B92" s="16" t="n">
        <v>625114</v>
      </c>
      <c r="C92" s="16" t="n">
        <v>625114</v>
      </c>
      <c r="D92" s="16" t="inlineStr">
        <is>
          <t>0.000010</t>
        </is>
      </c>
      <c r="E92" s="16" t="inlineStr">
        <is>
          <t>0.500 SOL</t>
        </is>
      </c>
      <c r="F92" s="16" t="inlineStr">
        <is>
          <t>0.469 SOL</t>
        </is>
      </c>
      <c r="G92" s="21" t="inlineStr">
        <is>
          <t>-0.031 SOL</t>
        </is>
      </c>
      <c r="H92" s="21" t="inlineStr">
        <is>
          <t>-6.19%</t>
        </is>
      </c>
      <c r="I92" s="16" t="inlineStr">
        <is>
          <t>N/A</t>
        </is>
      </c>
      <c r="J92" s="16" t="n">
        <v>1</v>
      </c>
      <c r="K92" s="16" t="n">
        <v>1</v>
      </c>
      <c r="L92" s="16" t="inlineStr">
        <is>
          <t>17.09.2024 05:40:16</t>
        </is>
      </c>
      <c r="M92" s="16" t="inlineStr">
        <is>
          <t>7 min</t>
        </is>
      </c>
      <c r="N92" s="16" t="inlineStr">
        <is>
          <t xml:space="preserve">        118K           110K             6K</t>
        </is>
      </c>
      <c r="O92" s="16" t="inlineStr">
        <is>
          <t>HYk1cybeWze9yyD7m74hPk1h1vYxHTtBmCQXSgV7pump</t>
        </is>
      </c>
      <c r="P92" s="16">
        <f>HYPERLINK("https://dexscreener.com/solana/HYk1cybeWze9yyD7m74hPk1h1vYxHTtBmCQXSgV7pump", "View")</f>
        <v/>
      </c>
    </row>
    <row r="93">
      <c r="A93" s="19" t="inlineStr">
        <is>
          <t>SOLAR</t>
        </is>
      </c>
      <c r="B93" s="20" t="n">
        <v>478079</v>
      </c>
      <c r="C93" s="20" t="n">
        <v>0</v>
      </c>
      <c r="D93" s="20" t="inlineStr">
        <is>
          <t>0.000010</t>
        </is>
      </c>
      <c r="E93" s="20" t="inlineStr">
        <is>
          <t>0.500 SOL</t>
        </is>
      </c>
      <c r="F93" s="20" t="inlineStr">
        <is>
          <t>0.000 SOL</t>
        </is>
      </c>
      <c r="G93" s="17" t="inlineStr">
        <is>
          <t>-0.500 SOL</t>
        </is>
      </c>
      <c r="H93" s="17" t="inlineStr">
        <is>
          <t>0.00%</t>
        </is>
      </c>
      <c r="I93" s="20" t="inlineStr">
        <is>
          <t>478,079</t>
        </is>
      </c>
      <c r="J93" s="20" t="n">
        <v>1</v>
      </c>
      <c r="K93" s="20" t="n">
        <v>0</v>
      </c>
      <c r="L93" s="20" t="inlineStr">
        <is>
          <t>12.09.2024 15:44:14</t>
        </is>
      </c>
      <c r="M93" s="18" t="inlineStr">
        <is>
          <t>0 sec</t>
        </is>
      </c>
      <c r="N93" s="20" t="inlineStr">
        <is>
          <t xml:space="preserve">        178K           178K             4K</t>
        </is>
      </c>
      <c r="O93" s="20" t="inlineStr">
        <is>
          <t>F47jA1fj4giaGDYeJVjWocU3P28cVdDhX2cTQkC6pump</t>
        </is>
      </c>
      <c r="P93" s="20">
        <f>HYPERLINK("https://dexscreener.com/solana/F47jA1fj4giaGDYeJVjWocU3P28cVdDhX2cTQkC6pump", "View")</f>
        <v/>
      </c>
    </row>
    <row r="94">
      <c r="A94" s="15" t="inlineStr">
        <is>
          <t>BLOWME</t>
        </is>
      </c>
      <c r="B94" s="16" t="n">
        <v>1215404</v>
      </c>
      <c r="C94" s="16" t="n">
        <v>0</v>
      </c>
      <c r="D94" s="16" t="inlineStr">
        <is>
          <t>0.000010</t>
        </is>
      </c>
      <c r="E94" s="16" t="inlineStr">
        <is>
          <t>0.100 SOL</t>
        </is>
      </c>
      <c r="F94" s="16" t="inlineStr">
        <is>
          <t>0.000 SOL</t>
        </is>
      </c>
      <c r="G94" s="17" t="inlineStr">
        <is>
          <t>-0.100 SOL</t>
        </is>
      </c>
      <c r="H94" s="17" t="inlineStr">
        <is>
          <t>0.00%</t>
        </is>
      </c>
      <c r="I94" s="16" t="inlineStr">
        <is>
          <t>1,215,404</t>
        </is>
      </c>
      <c r="J94" s="16" t="n">
        <v>1</v>
      </c>
      <c r="K94" s="16" t="n">
        <v>0</v>
      </c>
      <c r="L94" s="16" t="inlineStr">
        <is>
          <t>06.09.2024 15:13:26</t>
        </is>
      </c>
      <c r="M94" s="18" t="inlineStr">
        <is>
          <t>0 sec</t>
        </is>
      </c>
      <c r="N94" s="16" t="inlineStr">
        <is>
          <t xml:space="preserve">         14K            14K             3K</t>
        </is>
      </c>
      <c r="O94" s="16" t="inlineStr">
        <is>
          <t>H39e1ErvZmY8rfgr9BqFiiXqvenP4prfgzxiXe7TdTes</t>
        </is>
      </c>
      <c r="P94" s="16">
        <f>HYPERLINK("https://dexscreener.com/solana/H39e1ErvZmY8rfgr9BqFiiXqvenP4prfgzxiXe7TdTes", "View")</f>
        <v/>
      </c>
    </row>
    <row r="95">
      <c r="A95" s="19" t="inlineStr">
        <is>
          <t>BCH</t>
        </is>
      </c>
      <c r="B95" s="20" t="n">
        <v>569167</v>
      </c>
      <c r="C95" s="20" t="n">
        <v>0</v>
      </c>
      <c r="D95" s="20" t="inlineStr">
        <is>
          <t>0.000010</t>
        </is>
      </c>
      <c r="E95" s="20" t="inlineStr">
        <is>
          <t>0.200 SOL</t>
        </is>
      </c>
      <c r="F95" s="20" t="inlineStr">
        <is>
          <t>0.000 SOL</t>
        </is>
      </c>
      <c r="G95" s="17" t="inlineStr">
        <is>
          <t>-0.200 SOL</t>
        </is>
      </c>
      <c r="H95" s="17" t="inlineStr">
        <is>
          <t>0.00%</t>
        </is>
      </c>
      <c r="I95" s="20" t="inlineStr">
        <is>
          <t>569,167</t>
        </is>
      </c>
      <c r="J95" s="20" t="n">
        <v>1</v>
      </c>
      <c r="K95" s="20" t="n">
        <v>0</v>
      </c>
      <c r="L95" s="20" t="inlineStr">
        <is>
          <t>02.09.2024 05:40:22</t>
        </is>
      </c>
      <c r="M95" s="18" t="inlineStr">
        <is>
          <t>0 sec</t>
        </is>
      </c>
      <c r="N95" s="20" t="inlineStr">
        <is>
          <t xml:space="preserve">         61K            61K             4K</t>
        </is>
      </c>
      <c r="O95" s="20" t="inlineStr">
        <is>
          <t>CnryktECFQV7BbjeAZr7G3XEVaRg9ytoH73KtxRkpump</t>
        </is>
      </c>
      <c r="P95" s="20">
        <f>HYPERLINK("https://dexscreener.com/solana/CnryktECFQV7BbjeAZr7G3XEVaRg9ytoH73KtxRkpump", "View")</f>
        <v/>
      </c>
    </row>
    <row r="96">
      <c r="A96" s="15" t="inlineStr">
        <is>
          <t>Vini</t>
        </is>
      </c>
      <c r="B96" s="16" t="n">
        <v>214438</v>
      </c>
      <c r="C96" s="16" t="n">
        <v>0</v>
      </c>
      <c r="D96" s="16" t="inlineStr">
        <is>
          <t>0.000010</t>
        </is>
      </c>
      <c r="E96" s="16" t="inlineStr">
        <is>
          <t>0.100 SOL</t>
        </is>
      </c>
      <c r="F96" s="16" t="inlineStr">
        <is>
          <t>0.000 SOL</t>
        </is>
      </c>
      <c r="G96" s="17" t="inlineStr">
        <is>
          <t>-0.100 SOL</t>
        </is>
      </c>
      <c r="H96" s="17" t="inlineStr">
        <is>
          <t>0.00%</t>
        </is>
      </c>
      <c r="I96" s="16" t="inlineStr">
        <is>
          <t>214,438</t>
        </is>
      </c>
      <c r="J96" s="16" t="n">
        <v>1</v>
      </c>
      <c r="K96" s="16" t="n">
        <v>0</v>
      </c>
      <c r="L96" s="16" t="inlineStr">
        <is>
          <t>01.09.2024 08:54:02</t>
        </is>
      </c>
      <c r="M96" s="18" t="inlineStr">
        <is>
          <t>0 sec</t>
        </is>
      </c>
      <c r="N96" s="16" t="inlineStr">
        <is>
          <t xml:space="preserve">         82K            82K             3K</t>
        </is>
      </c>
      <c r="O96" s="16" t="inlineStr">
        <is>
          <t>DFbuGxKmXdWPtk9M8PyvUDtcuKq642zuRWqssvEwpump</t>
        </is>
      </c>
      <c r="P96" s="16">
        <f>HYPERLINK("https://dexscreener.com/solana/DFbuGxKmXdWPtk9M8PyvUDtcuKq642zuRWqssvEwpump", "View")</f>
        <v/>
      </c>
    </row>
    <row r="97">
      <c r="A97" s="19" t="inlineStr">
        <is>
          <t>wca</t>
        </is>
      </c>
      <c r="B97" s="20" t="n">
        <v>129869</v>
      </c>
      <c r="C97" s="20" t="n">
        <v>129869</v>
      </c>
      <c r="D97" s="20" t="inlineStr">
        <is>
          <t>0.000010</t>
        </is>
      </c>
      <c r="E97" s="20" t="inlineStr">
        <is>
          <t>0.100 SOL</t>
        </is>
      </c>
      <c r="F97" s="20" t="inlineStr">
        <is>
          <t>0.097 SOL</t>
        </is>
      </c>
      <c r="G97" s="21" t="inlineStr">
        <is>
          <t>-0.003 SOL</t>
        </is>
      </c>
      <c r="H97" s="21" t="inlineStr">
        <is>
          <t>-2.67%</t>
        </is>
      </c>
      <c r="I97" s="20" t="inlineStr">
        <is>
          <t>N/A</t>
        </is>
      </c>
      <c r="J97" s="20" t="n">
        <v>1</v>
      </c>
      <c r="K97" s="20" t="n">
        <v>1</v>
      </c>
      <c r="L97" s="20" t="inlineStr">
        <is>
          <t>01.09.2024 01:54:54</t>
        </is>
      </c>
      <c r="M97" s="20" t="inlineStr">
        <is>
          <t>11 hours</t>
        </is>
      </c>
      <c r="N97" s="20" t="inlineStr">
        <is>
          <t xml:space="preserve">        135K           132K             8K</t>
        </is>
      </c>
      <c r="O97" s="20" t="inlineStr">
        <is>
          <t>858piPtdvnkyqdNqc7trwTvsDCAYCSqV6AL8NzAFkuNb</t>
        </is>
      </c>
      <c r="P97" s="20">
        <f>HYPERLINK("https://dexscreener.com/solana/858piPtdvnkyqdNqc7trwTvsDCAYCSqV6AL8NzAFkuNb", "View")</f>
        <v/>
      </c>
    </row>
    <row r="98">
      <c r="A98" s="15" t="inlineStr">
        <is>
          <t>JOOK</t>
        </is>
      </c>
      <c r="B98" s="16" t="n">
        <v>126710</v>
      </c>
      <c r="C98" s="16" t="n">
        <v>0</v>
      </c>
      <c r="D98" s="16" t="inlineStr">
        <is>
          <t>0.000010</t>
        </is>
      </c>
      <c r="E98" s="16" t="inlineStr">
        <is>
          <t>0.100 SOL</t>
        </is>
      </c>
      <c r="F98" s="16" t="inlineStr">
        <is>
          <t>0.000 SOL</t>
        </is>
      </c>
      <c r="G98" s="17" t="inlineStr">
        <is>
          <t>-0.100 SOL</t>
        </is>
      </c>
      <c r="H98" s="17" t="inlineStr">
        <is>
          <t>0.00%</t>
        </is>
      </c>
      <c r="I98" s="16" t="inlineStr">
        <is>
          <t>126,710</t>
        </is>
      </c>
      <c r="J98" s="16" t="n">
        <v>1</v>
      </c>
      <c r="K98" s="16" t="n">
        <v>0</v>
      </c>
      <c r="L98" s="16" t="inlineStr">
        <is>
          <t>31.08.2024 12:36:06</t>
        </is>
      </c>
      <c r="M98" s="18" t="inlineStr">
        <is>
          <t>0 sec</t>
        </is>
      </c>
      <c r="N98" s="16" t="inlineStr">
        <is>
          <t xml:space="preserve">        139K           139K             4K</t>
        </is>
      </c>
      <c r="O98" s="16" t="inlineStr">
        <is>
          <t>GFaG6SWuuQ2uuFuiSP6cbn4xK8oTnzSp83cr12yvpump</t>
        </is>
      </c>
      <c r="P98" s="16">
        <f>HYPERLINK("https://dexscreener.com/solana/GFaG6SWuuQ2uuFuiSP6cbn4xK8oTnzSp83cr12yvpump", "View")</f>
        <v/>
      </c>
    </row>
    <row r="99">
      <c r="A99" s="19" t="inlineStr">
        <is>
          <t>Sign</t>
        </is>
      </c>
      <c r="B99" s="20" t="n">
        <v>308919</v>
      </c>
      <c r="C99" s="20" t="n">
        <v>0</v>
      </c>
      <c r="D99" s="20" t="inlineStr">
        <is>
          <t>0.000010</t>
        </is>
      </c>
      <c r="E99" s="20" t="inlineStr">
        <is>
          <t>0.100 SOL</t>
        </is>
      </c>
      <c r="F99" s="20" t="inlineStr">
        <is>
          <t>0.000 SOL</t>
        </is>
      </c>
      <c r="G99" s="17" t="inlineStr">
        <is>
          <t>-0.100 SOL</t>
        </is>
      </c>
      <c r="H99" s="17" t="inlineStr">
        <is>
          <t>0.00%</t>
        </is>
      </c>
      <c r="I99" s="20" t="inlineStr">
        <is>
          <t>308,919</t>
        </is>
      </c>
      <c r="J99" s="20" t="n">
        <v>1</v>
      </c>
      <c r="K99" s="20" t="n">
        <v>0</v>
      </c>
      <c r="L99" s="20" t="inlineStr">
        <is>
          <t>31.08.2024 08:30:28</t>
        </is>
      </c>
      <c r="M99" s="18" t="inlineStr">
        <is>
          <t>0 sec</t>
        </is>
      </c>
      <c r="N99" s="20" t="inlineStr">
        <is>
          <t xml:space="preserve">         56K            56K             3K</t>
        </is>
      </c>
      <c r="O99" s="20" t="inlineStr">
        <is>
          <t>FjWvUfK6HNZ6h9nhL1og8S6XMLtGsRedoZz6Hizapump</t>
        </is>
      </c>
      <c r="P99" s="20">
        <f>HYPERLINK("https://dexscreener.com/solana/FjWvUfK6HNZ6h9nhL1og8S6XMLtGsRedoZz6Hizapump", "View")</f>
        <v/>
      </c>
    </row>
    <row r="100">
      <c r="A100" s="15" t="inlineStr">
        <is>
          <t>MYST</t>
        </is>
      </c>
      <c r="B100" s="16" t="n">
        <v>229925</v>
      </c>
      <c r="C100" s="16" t="n">
        <v>0</v>
      </c>
      <c r="D100" s="16" t="inlineStr">
        <is>
          <t>0.000010</t>
        </is>
      </c>
      <c r="E100" s="16" t="inlineStr">
        <is>
          <t>0.100 SOL</t>
        </is>
      </c>
      <c r="F100" s="16" t="inlineStr">
        <is>
          <t>0.000 SOL</t>
        </is>
      </c>
      <c r="G100" s="17" t="inlineStr">
        <is>
          <t>-0.100 SOL</t>
        </is>
      </c>
      <c r="H100" s="17" t="inlineStr">
        <is>
          <t>0.00%</t>
        </is>
      </c>
      <c r="I100" s="16" t="inlineStr">
        <is>
          <t>229,925</t>
        </is>
      </c>
      <c r="J100" s="16" t="n">
        <v>1</v>
      </c>
      <c r="K100" s="16" t="n">
        <v>0</v>
      </c>
      <c r="L100" s="16" t="inlineStr">
        <is>
          <t>31.08.2024 04:18:27</t>
        </is>
      </c>
      <c r="M100" s="18" t="inlineStr">
        <is>
          <t>0 sec</t>
        </is>
      </c>
      <c r="N100" s="16" t="inlineStr">
        <is>
          <t xml:space="preserve">         76K            76K             4K</t>
        </is>
      </c>
      <c r="O100" s="16" t="inlineStr">
        <is>
          <t>68uhEg7MdXN84EXNNV4E9tR5VzjAJb6k6hYPUJsD276j</t>
        </is>
      </c>
      <c r="P100" s="16">
        <f>HYPERLINK("https://dexscreener.com/solana/68uhEg7MdXN84EXNNV4E9tR5VzjAJb6k6hYPUJsD276j", "View")</f>
        <v/>
      </c>
    </row>
    <row r="101">
      <c r="A101" s="19" t="inlineStr">
        <is>
          <t>hundo</t>
        </is>
      </c>
      <c r="B101" s="20" t="n">
        <v>199915</v>
      </c>
      <c r="C101" s="20" t="n">
        <v>199915</v>
      </c>
      <c r="D101" s="20" t="inlineStr">
        <is>
          <t>0.000010</t>
        </is>
      </c>
      <c r="E101" s="20" t="inlineStr">
        <is>
          <t>0.100 SOL</t>
        </is>
      </c>
      <c r="F101" s="20" t="inlineStr">
        <is>
          <t>0.151 SOL</t>
        </is>
      </c>
      <c r="G101" s="23" t="inlineStr">
        <is>
          <t>0.051 SOL</t>
        </is>
      </c>
      <c r="H101" s="23" t="inlineStr">
        <is>
          <t>50.64%</t>
        </is>
      </c>
      <c r="I101" s="20" t="inlineStr">
        <is>
          <t>N/A</t>
        </is>
      </c>
      <c r="J101" s="20" t="n">
        <v>1</v>
      </c>
      <c r="K101" s="20" t="n">
        <v>1</v>
      </c>
      <c r="L101" s="20" t="inlineStr">
        <is>
          <t>30.08.2024 08:10:45</t>
        </is>
      </c>
      <c r="M101" s="20" t="inlineStr">
        <is>
          <t>1 hours</t>
        </is>
      </c>
      <c r="N101" s="20" t="inlineStr">
        <is>
          <t xml:space="preserve">         87K           131K             5K</t>
        </is>
      </c>
      <c r="O101" s="20" t="inlineStr">
        <is>
          <t>3N9gsW1dyw232n4eZNNGjAUMNV7weWDckFs5miUMpump</t>
        </is>
      </c>
      <c r="P101" s="20">
        <f>HYPERLINK("https://dexscreener.com/solana/3N9gsW1dyw232n4eZNNGjAUMNV7weWDckFs5miUMpump", "View")</f>
        <v/>
      </c>
    </row>
    <row r="102">
      <c r="A102" s="15" t="inlineStr">
        <is>
          <t>ART</t>
        </is>
      </c>
      <c r="B102" s="16" t="n">
        <v>219969</v>
      </c>
      <c r="C102" s="16" t="n">
        <v>219969</v>
      </c>
      <c r="D102" s="16" t="inlineStr">
        <is>
          <t>0.000010</t>
        </is>
      </c>
      <c r="E102" s="16" t="inlineStr">
        <is>
          <t>0.100 SOL</t>
        </is>
      </c>
      <c r="F102" s="16" t="inlineStr">
        <is>
          <t>0.530 SOL</t>
        </is>
      </c>
      <c r="G102" s="23" t="inlineStr">
        <is>
          <t>0.430 SOL</t>
        </is>
      </c>
      <c r="H102" s="23" t="inlineStr">
        <is>
          <t>429.92%</t>
        </is>
      </c>
      <c r="I102" s="16" t="inlineStr">
        <is>
          <t>N/A</t>
        </is>
      </c>
      <c r="J102" s="16" t="n">
        <v>1</v>
      </c>
      <c r="K102" s="16" t="n">
        <v>1</v>
      </c>
      <c r="L102" s="16" t="inlineStr">
        <is>
          <t>28.08.2024 15:17:59</t>
        </is>
      </c>
      <c r="M102" s="16" t="inlineStr">
        <is>
          <t>58 min</t>
        </is>
      </c>
      <c r="N102" s="16" t="inlineStr">
        <is>
          <t xml:space="preserve">         79K           423K            20K</t>
        </is>
      </c>
      <c r="O102" s="16" t="inlineStr">
        <is>
          <t>8byCGXr8L3yS1ihNPn9QSiq8SadK7F8UPwr4oPegpump</t>
        </is>
      </c>
      <c r="P102" s="16">
        <f>HYPERLINK("https://dexscreener.com/solana/8byCGXr8L3yS1ihNPn9QSiq8SadK7F8UPwr4oPegpump", "View")</f>
        <v/>
      </c>
    </row>
    <row r="103">
      <c r="A103" s="19" t="inlineStr">
        <is>
          <t>SYM</t>
        </is>
      </c>
      <c r="B103" s="20" t="n">
        <v>83009</v>
      </c>
      <c r="C103" s="20" t="n">
        <v>83009</v>
      </c>
      <c r="D103" s="20" t="inlineStr">
        <is>
          <t>0.000020</t>
        </is>
      </c>
      <c r="E103" s="20" t="inlineStr">
        <is>
          <t>0.110 SOL</t>
        </is>
      </c>
      <c r="F103" s="20" t="inlineStr">
        <is>
          <t>0.244 SOL</t>
        </is>
      </c>
      <c r="G103" s="23" t="inlineStr">
        <is>
          <t>0.134 SOL</t>
        </is>
      </c>
      <c r="H103" s="23" t="inlineStr">
        <is>
          <t>121.36%</t>
        </is>
      </c>
      <c r="I103" s="20" t="inlineStr">
        <is>
          <t>N/A</t>
        </is>
      </c>
      <c r="J103" s="20" t="n">
        <v>2</v>
      </c>
      <c r="K103" s="20" t="n">
        <v>2</v>
      </c>
      <c r="L103" s="20" t="inlineStr">
        <is>
          <t>28.08.2024 14:21:19</t>
        </is>
      </c>
      <c r="M103" s="20" t="inlineStr">
        <is>
          <t>19 hours</t>
        </is>
      </c>
      <c r="N103" s="20" t="inlineStr">
        <is>
          <t xml:space="preserve">        242K           516K            20K</t>
        </is>
      </c>
      <c r="O103" s="20" t="inlineStr">
        <is>
          <t>6yrV7LFncFTLSdSkDUFnbcfEiwZdN1hjcooVcjoYpump</t>
        </is>
      </c>
      <c r="P103" s="20">
        <f>HYPERLINK("https://dexscreener.com/solana/6yrV7LFncFTLSdSkDUFnbcfEiwZdN1hjcooVcjoYpump", "View")</f>
        <v/>
      </c>
    </row>
    <row r="104">
      <c r="A104" s="15" t="inlineStr">
        <is>
          <t>Tk</t>
        </is>
      </c>
      <c r="B104" s="16" t="n">
        <v>140409</v>
      </c>
      <c r="C104" s="16" t="n">
        <v>0</v>
      </c>
      <c r="D104" s="16" t="inlineStr">
        <is>
          <t>0.000010</t>
        </is>
      </c>
      <c r="E104" s="16" t="inlineStr">
        <is>
          <t>0.100 SOL</t>
        </is>
      </c>
      <c r="F104" s="16" t="inlineStr">
        <is>
          <t>0.000 SOL</t>
        </is>
      </c>
      <c r="G104" s="17" t="inlineStr">
        <is>
          <t>-0.100 SOL</t>
        </is>
      </c>
      <c r="H104" s="17" t="inlineStr">
        <is>
          <t>0.00%</t>
        </is>
      </c>
      <c r="I104" s="16" t="inlineStr">
        <is>
          <t>140,409</t>
        </is>
      </c>
      <c r="J104" s="16" t="n">
        <v>1</v>
      </c>
      <c r="K104" s="16" t="n">
        <v>0</v>
      </c>
      <c r="L104" s="16" t="inlineStr">
        <is>
          <t>27.08.2024 18:19:24</t>
        </is>
      </c>
      <c r="M104" s="18" t="inlineStr">
        <is>
          <t>0 sec</t>
        </is>
      </c>
      <c r="N104" s="16" t="inlineStr">
        <is>
          <t xml:space="preserve">        N/A           N/A           N/A</t>
        </is>
      </c>
      <c r="O104" s="16" t="inlineStr">
        <is>
          <t>DieTRXrJdR8iDxadMkQaU1Bk3YZp7uGp22Ud3PwUdsho</t>
        </is>
      </c>
      <c r="P104" s="16">
        <f>HYPERLINK("https://dexscreener.com/solana/DieTRXrJdR8iDxadMkQaU1Bk3YZp7uGp22Ud3PwUdsho", "View")</f>
        <v/>
      </c>
    </row>
    <row r="105">
      <c r="A105" s="19" t="inlineStr">
        <is>
          <t>$PLANK</t>
        </is>
      </c>
      <c r="B105" s="20" t="n">
        <v>331181</v>
      </c>
      <c r="C105" s="20" t="n">
        <v>0</v>
      </c>
      <c r="D105" s="20" t="inlineStr">
        <is>
          <t>0.000010</t>
        </is>
      </c>
      <c r="E105" s="20" t="inlineStr">
        <is>
          <t>0.200 SOL</t>
        </is>
      </c>
      <c r="F105" s="20" t="inlineStr">
        <is>
          <t>0.000 SOL</t>
        </is>
      </c>
      <c r="G105" s="17" t="inlineStr">
        <is>
          <t>-0.200 SOL</t>
        </is>
      </c>
      <c r="H105" s="17" t="inlineStr">
        <is>
          <t>0.00%</t>
        </is>
      </c>
      <c r="I105" s="20" t="inlineStr">
        <is>
          <t>331,181</t>
        </is>
      </c>
      <c r="J105" s="20" t="n">
        <v>1</v>
      </c>
      <c r="K105" s="20" t="n">
        <v>0</v>
      </c>
      <c r="L105" s="20" t="inlineStr">
        <is>
          <t>23.08.2024 20:46:33</t>
        </is>
      </c>
      <c r="M105" s="18" t="inlineStr">
        <is>
          <t>0 sec</t>
        </is>
      </c>
      <c r="N105" s="20" t="inlineStr">
        <is>
          <t xml:space="preserve">        104K           104K             3K</t>
        </is>
      </c>
      <c r="O105" s="20" t="inlineStr">
        <is>
          <t>AV49owQMSjnqELJT9iU3Gbd6Rryqv176NhdowjvJW7r</t>
        </is>
      </c>
      <c r="P105" s="20">
        <f>HYPERLINK("https://dexscreener.com/solana/AV49owQMSjnqELJT9iU3Gbd6Rryqv176NhdowjvJW7r", "View")</f>
        <v/>
      </c>
    </row>
    <row r="106">
      <c r="A106" s="15" t="inlineStr">
        <is>
          <t>$WHAT</t>
        </is>
      </c>
      <c r="B106" s="16" t="n">
        <v>306438</v>
      </c>
      <c r="C106" s="16" t="n">
        <v>0</v>
      </c>
      <c r="D106" s="16" t="inlineStr">
        <is>
          <t>0.000010</t>
        </is>
      </c>
      <c r="E106" s="16" t="inlineStr">
        <is>
          <t>0.200 SOL</t>
        </is>
      </c>
      <c r="F106" s="16" t="inlineStr">
        <is>
          <t>0.000 SOL</t>
        </is>
      </c>
      <c r="G106" s="17" t="inlineStr">
        <is>
          <t>-0.200 SOL</t>
        </is>
      </c>
      <c r="H106" s="17" t="inlineStr">
        <is>
          <t>0.00%</t>
        </is>
      </c>
      <c r="I106" s="16" t="inlineStr">
        <is>
          <t>306,438</t>
        </is>
      </c>
      <c r="J106" s="16" t="n">
        <v>1</v>
      </c>
      <c r="K106" s="16" t="n">
        <v>0</v>
      </c>
      <c r="L106" s="16" t="inlineStr">
        <is>
          <t>23.08.2024 20:45:37</t>
        </is>
      </c>
      <c r="M106" s="18" t="inlineStr">
        <is>
          <t>0 sec</t>
        </is>
      </c>
      <c r="N106" s="16" t="inlineStr">
        <is>
          <t xml:space="preserve">        113K           113K             5K</t>
        </is>
      </c>
      <c r="O106" s="16" t="inlineStr">
        <is>
          <t>DCaQQcjAH46BCWhtZoUyh5opEVHeVkRocdxsCSw9pump</t>
        </is>
      </c>
      <c r="P106" s="16">
        <f>HYPERLINK("https://dexscreener.com/solana/DCaQQcjAH46BCWhtZoUyh5opEVHeVkRocdxsCSw9pump", "View")</f>
        <v/>
      </c>
    </row>
    <row r="107">
      <c r="A107" s="19" t="inlineStr">
        <is>
          <t>𓃠</t>
        </is>
      </c>
      <c r="B107" s="20" t="n">
        <v>274252</v>
      </c>
      <c r="C107" s="20" t="n">
        <v>0</v>
      </c>
      <c r="D107" s="20" t="inlineStr">
        <is>
          <t>0.000010</t>
        </is>
      </c>
      <c r="E107" s="20" t="inlineStr">
        <is>
          <t>0.200 SOL</t>
        </is>
      </c>
      <c r="F107" s="20" t="inlineStr">
        <is>
          <t>0.000 SOL</t>
        </is>
      </c>
      <c r="G107" s="17" t="inlineStr">
        <is>
          <t>-0.200 SOL</t>
        </is>
      </c>
      <c r="H107" s="17" t="inlineStr">
        <is>
          <t>0.00%</t>
        </is>
      </c>
      <c r="I107" s="20" t="inlineStr">
        <is>
          <t>274,252</t>
        </is>
      </c>
      <c r="J107" s="20" t="n">
        <v>1</v>
      </c>
      <c r="K107" s="20" t="n">
        <v>0</v>
      </c>
      <c r="L107" s="20" t="inlineStr">
        <is>
          <t>23.08.2024 18:20:28</t>
        </is>
      </c>
      <c r="M107" s="18" t="inlineStr">
        <is>
          <t>0 sec</t>
        </is>
      </c>
      <c r="N107" s="20" t="inlineStr">
        <is>
          <t xml:space="preserve">        128K           128K             4K</t>
        </is>
      </c>
      <c r="O107" s="20" t="inlineStr">
        <is>
          <t>347xQwvqdC2avjtnHHmQYVQS3SiHsdbrmpQcfsdBFhXj</t>
        </is>
      </c>
      <c r="P107" s="20">
        <f>HYPERLINK("https://dexscreener.com/solana/347xQwvqdC2avjtnHHmQYVQS3SiHsdbrmpQcfsdBFhXj", "View")</f>
        <v/>
      </c>
    </row>
    <row r="108">
      <c r="A108" s="15" t="inlineStr">
        <is>
          <t>DRAWN</t>
        </is>
      </c>
      <c r="B108" s="16" t="n">
        <v>221866</v>
      </c>
      <c r="C108" s="16" t="n">
        <v>221866</v>
      </c>
      <c r="D108" s="16" t="inlineStr">
        <is>
          <t>0.000010</t>
        </is>
      </c>
      <c r="E108" s="16" t="inlineStr">
        <is>
          <t>0.100 SOL</t>
        </is>
      </c>
      <c r="F108" s="16" t="inlineStr">
        <is>
          <t>0.559 SOL</t>
        </is>
      </c>
      <c r="G108" s="23" t="inlineStr">
        <is>
          <t>0.459 SOL</t>
        </is>
      </c>
      <c r="H108" s="23" t="inlineStr">
        <is>
          <t>458.96%</t>
        </is>
      </c>
      <c r="I108" s="16" t="inlineStr">
        <is>
          <t>N/A</t>
        </is>
      </c>
      <c r="J108" s="16" t="n">
        <v>1</v>
      </c>
      <c r="K108" s="16" t="n">
        <v>1</v>
      </c>
      <c r="L108" s="16" t="inlineStr">
        <is>
          <t>22.08.2024 21:30:12</t>
        </is>
      </c>
      <c r="M108" s="16" t="inlineStr">
        <is>
          <t>2 hours</t>
        </is>
      </c>
      <c r="N108" s="16" t="inlineStr">
        <is>
          <t xml:space="preserve">         79K           443K             9K</t>
        </is>
      </c>
      <c r="O108" s="16" t="inlineStr">
        <is>
          <t>9M53sMUqbZKyBhqrfPW6erZModxadJMFUtRJahJFpump</t>
        </is>
      </c>
      <c r="P108" s="16">
        <f>HYPERLINK("https://dexscreener.com/solana/9M53sMUqbZKyBhqrfPW6erZModxadJMFUtRJahJFpump", "View")</f>
        <v/>
      </c>
    </row>
    <row r="109">
      <c r="A109" s="19" t="inlineStr">
        <is>
          <t>90°</t>
        </is>
      </c>
      <c r="B109" s="20" t="n">
        <v>1130308</v>
      </c>
      <c r="C109" s="20" t="n">
        <v>0</v>
      </c>
      <c r="D109" s="20" t="inlineStr">
        <is>
          <t>0.000010</t>
        </is>
      </c>
      <c r="E109" s="20" t="inlineStr">
        <is>
          <t>0.200 SOL</t>
        </is>
      </c>
      <c r="F109" s="20" t="inlineStr">
        <is>
          <t>0.000 SOL</t>
        </is>
      </c>
      <c r="G109" s="17" t="inlineStr">
        <is>
          <t>-0.200 SOL</t>
        </is>
      </c>
      <c r="H109" s="17" t="inlineStr">
        <is>
          <t>0.00%</t>
        </is>
      </c>
      <c r="I109" s="20" t="inlineStr">
        <is>
          <t>1,130,308</t>
        </is>
      </c>
      <c r="J109" s="20" t="n">
        <v>1</v>
      </c>
      <c r="K109" s="20" t="n">
        <v>0</v>
      </c>
      <c r="L109" s="20" t="inlineStr">
        <is>
          <t>21.08.2024 01:03:14</t>
        </is>
      </c>
      <c r="M109" s="18" t="inlineStr">
        <is>
          <t>0 sec</t>
        </is>
      </c>
      <c r="N109" s="20" t="inlineStr">
        <is>
          <t xml:space="preserve">         32K            32K             5K</t>
        </is>
      </c>
      <c r="O109" s="20" t="inlineStr">
        <is>
          <t>4NAPf5JaWt2wd2SCSNmhUctaGq86jAZy2t74PWfppump</t>
        </is>
      </c>
      <c r="P109" s="20">
        <f>HYPERLINK("https://dexscreener.com/solana/4NAPf5JaWt2wd2SCSNmhUctaGq86jAZy2t74PWfppump", "View")</f>
        <v/>
      </c>
    </row>
    <row r="110">
      <c r="A110" s="15" t="inlineStr">
        <is>
          <t>STD</t>
        </is>
      </c>
      <c r="B110" s="16" t="n">
        <v>207069</v>
      </c>
      <c r="C110" s="16" t="n">
        <v>207069</v>
      </c>
      <c r="D110" s="16" t="inlineStr">
        <is>
          <t>0.000020</t>
        </is>
      </c>
      <c r="E110" s="16" t="inlineStr">
        <is>
          <t>0.200 SOL</t>
        </is>
      </c>
      <c r="F110" s="16" t="inlineStr">
        <is>
          <t>0.501 SOL</t>
        </is>
      </c>
      <c r="G110" s="23" t="inlineStr">
        <is>
          <t>0.301 SOL</t>
        </is>
      </c>
      <c r="H110" s="23" t="inlineStr">
        <is>
          <t>150.61%</t>
        </is>
      </c>
      <c r="I110" s="16" t="inlineStr">
        <is>
          <t>N/A</t>
        </is>
      </c>
      <c r="J110" s="16" t="n">
        <v>2</v>
      </c>
      <c r="K110" s="16" t="n">
        <v>2</v>
      </c>
      <c r="L110" s="16" t="inlineStr">
        <is>
          <t>20.08.2024 02:50:39</t>
        </is>
      </c>
      <c r="M110" s="16" t="inlineStr">
        <is>
          <t>1 hours</t>
        </is>
      </c>
      <c r="N110" s="16" t="inlineStr">
        <is>
          <t xml:space="preserve">        102K           406K             8K</t>
        </is>
      </c>
      <c r="O110" s="16" t="inlineStr">
        <is>
          <t>EZqF6CDg2BiLB6hF3tcZ8V9u21V9353nGhT3Kz1Ypump</t>
        </is>
      </c>
      <c r="P110" s="16">
        <f>HYPERLINK("https://dexscreener.com/solana/EZqF6CDg2BiLB6hF3tcZ8V9u21V9353nGhT3Kz1Ypump", "View")</f>
        <v/>
      </c>
    </row>
    <row r="111">
      <c r="A111" s="19" t="inlineStr">
        <is>
          <t>runna</t>
        </is>
      </c>
      <c r="B111" s="20" t="n">
        <v>100961</v>
      </c>
      <c r="C111" s="20" t="n">
        <v>0</v>
      </c>
      <c r="D111" s="20" t="inlineStr">
        <is>
          <t>0.000010</t>
        </is>
      </c>
      <c r="E111" s="20" t="inlineStr">
        <is>
          <t>0.100 SOL</t>
        </is>
      </c>
      <c r="F111" s="20" t="inlineStr">
        <is>
          <t>0.000 SOL</t>
        </is>
      </c>
      <c r="G111" s="17" t="inlineStr">
        <is>
          <t>-0.100 SOL</t>
        </is>
      </c>
      <c r="H111" s="17" t="inlineStr">
        <is>
          <t>0.00%</t>
        </is>
      </c>
      <c r="I111" s="20" t="inlineStr">
        <is>
          <t>100,961</t>
        </is>
      </c>
      <c r="J111" s="20" t="n">
        <v>1</v>
      </c>
      <c r="K111" s="20" t="n">
        <v>0</v>
      </c>
      <c r="L111" s="20" t="inlineStr">
        <is>
          <t>18.08.2024 21:48:19</t>
        </is>
      </c>
      <c r="M111" s="18" t="inlineStr">
        <is>
          <t>0 sec</t>
        </is>
      </c>
      <c r="N111" s="20" t="inlineStr">
        <is>
          <t xml:space="preserve">        174K           174K             5K</t>
        </is>
      </c>
      <c r="O111" s="20" t="inlineStr">
        <is>
          <t>4m83aJRxUKYCc7bMS9jQQT4enFg5driBTaiZgfyxpump</t>
        </is>
      </c>
      <c r="P111" s="20">
        <f>HYPERLINK("https://dexscreener.com/solana/4m83aJRxUKYCc7bMS9jQQT4enFg5driBTaiZgfyxpump", "View")</f>
        <v/>
      </c>
    </row>
    <row r="112">
      <c r="A112" s="15" t="inlineStr">
        <is>
          <t>Proggy</t>
        </is>
      </c>
      <c r="B112" s="16" t="n">
        <v>135851</v>
      </c>
      <c r="C112" s="16" t="n">
        <v>0</v>
      </c>
      <c r="D112" s="16" t="inlineStr">
        <is>
          <t>0.000010</t>
        </is>
      </c>
      <c r="E112" s="16" t="inlineStr">
        <is>
          <t>0.100 SOL</t>
        </is>
      </c>
      <c r="F112" s="16" t="inlineStr">
        <is>
          <t>0.000 SOL</t>
        </is>
      </c>
      <c r="G112" s="17" t="inlineStr">
        <is>
          <t>-0.100 SOL</t>
        </is>
      </c>
      <c r="H112" s="17" t="inlineStr">
        <is>
          <t>0.00%</t>
        </is>
      </c>
      <c r="I112" s="16" t="inlineStr">
        <is>
          <t>135,851</t>
        </is>
      </c>
      <c r="J112" s="16" t="n">
        <v>1</v>
      </c>
      <c r="K112" s="16" t="n">
        <v>0</v>
      </c>
      <c r="L112" s="16" t="inlineStr">
        <is>
          <t>18.08.2024 15:43:36</t>
        </is>
      </c>
      <c r="M112" s="18" t="inlineStr">
        <is>
          <t>0 sec</t>
        </is>
      </c>
      <c r="N112" s="16" t="inlineStr">
        <is>
          <t xml:space="preserve">        130K           130K             5K</t>
        </is>
      </c>
      <c r="O112" s="16" t="inlineStr">
        <is>
          <t>8T6JXgLQqUpeYiuXnt1j21qFnKakX3yGXmonWofTpump</t>
        </is>
      </c>
      <c r="P112" s="16">
        <f>HYPERLINK("https://dexscreener.com/solana/8T6JXgLQqUpeYiuXnt1j21qFnKakX3yGXmonWofTpump", "View")</f>
        <v/>
      </c>
    </row>
    <row r="113">
      <c r="A113" s="19" t="inlineStr">
        <is>
          <t>COLON</t>
        </is>
      </c>
      <c r="B113" s="20" t="n">
        <v>482482</v>
      </c>
      <c r="C113" s="20" t="n">
        <v>0</v>
      </c>
      <c r="D113" s="20" t="inlineStr">
        <is>
          <t>0.000010</t>
        </is>
      </c>
      <c r="E113" s="20" t="inlineStr">
        <is>
          <t>0.100 SOL</t>
        </is>
      </c>
      <c r="F113" s="20" t="inlineStr">
        <is>
          <t>0.000 SOL</t>
        </is>
      </c>
      <c r="G113" s="17" t="inlineStr">
        <is>
          <t>-0.100 SOL</t>
        </is>
      </c>
      <c r="H113" s="17" t="inlineStr">
        <is>
          <t>0.00%</t>
        </is>
      </c>
      <c r="I113" s="20" t="inlineStr">
        <is>
          <t>482,482</t>
        </is>
      </c>
      <c r="J113" s="20" t="n">
        <v>1</v>
      </c>
      <c r="K113" s="20" t="n">
        <v>0</v>
      </c>
      <c r="L113" s="20" t="inlineStr">
        <is>
          <t>15.08.2024 04:06:33</t>
        </is>
      </c>
      <c r="M113" s="18" t="inlineStr">
        <is>
          <t>0 sec</t>
        </is>
      </c>
      <c r="N113" s="20" t="inlineStr">
        <is>
          <t xml:space="preserve">         35K            35K             6K</t>
        </is>
      </c>
      <c r="O113" s="20" t="inlineStr">
        <is>
          <t>6oeNQkzMP1d2XHiSVEdRZHsk4hTXJQpsFkwubrgSpump</t>
        </is>
      </c>
      <c r="P113" s="20">
        <f>HYPERLINK("https://dexscreener.com/solana/6oeNQkzMP1d2XHiSVEdRZHsk4hTXJQpsFkwubrgSpump", "View")</f>
        <v/>
      </c>
    </row>
    <row r="114">
      <c r="A114" s="15" t="inlineStr">
        <is>
          <t>kian</t>
        </is>
      </c>
      <c r="B114" s="16" t="n">
        <v>136994</v>
      </c>
      <c r="C114" s="16" t="n">
        <v>0</v>
      </c>
      <c r="D114" s="16" t="inlineStr">
        <is>
          <t>0.000010</t>
        </is>
      </c>
      <c r="E114" s="16" t="inlineStr">
        <is>
          <t>0.100 SOL</t>
        </is>
      </c>
      <c r="F114" s="16" t="inlineStr">
        <is>
          <t>0.000 SOL</t>
        </is>
      </c>
      <c r="G114" s="17" t="inlineStr">
        <is>
          <t>-0.100 SOL</t>
        </is>
      </c>
      <c r="H114" s="17" t="inlineStr">
        <is>
          <t>0.00%</t>
        </is>
      </c>
      <c r="I114" s="16" t="inlineStr">
        <is>
          <t>136,994</t>
        </is>
      </c>
      <c r="J114" s="16" t="n">
        <v>1</v>
      </c>
      <c r="K114" s="16" t="n">
        <v>0</v>
      </c>
      <c r="L114" s="16" t="inlineStr">
        <is>
          <t>13.08.2024 21:27:41</t>
        </is>
      </c>
      <c r="M114" s="18" t="inlineStr">
        <is>
          <t>0 sec</t>
        </is>
      </c>
      <c r="N114" s="16" t="inlineStr">
        <is>
          <t xml:space="preserve">        127K           127K             4K</t>
        </is>
      </c>
      <c r="O114" s="16" t="inlineStr">
        <is>
          <t>B5eSyNyinHRhDSrSyJLjwxuaJHeEM393R9tWRT6Tpump</t>
        </is>
      </c>
      <c r="P114" s="16">
        <f>HYPERLINK("https://dexscreener.com/solana/B5eSyNyinHRhDSrSyJLjwxuaJHeEM393R9tWRT6Tpump", "View")</f>
        <v/>
      </c>
    </row>
    <row r="115">
      <c r="A115" s="19" t="inlineStr">
        <is>
          <t>MFW</t>
        </is>
      </c>
      <c r="B115" s="20" t="n">
        <v>145138</v>
      </c>
      <c r="C115" s="20" t="n">
        <v>0</v>
      </c>
      <c r="D115" s="20" t="inlineStr">
        <is>
          <t>0.000010</t>
        </is>
      </c>
      <c r="E115" s="20" t="inlineStr">
        <is>
          <t>0.100 SOL</t>
        </is>
      </c>
      <c r="F115" s="20" t="inlineStr">
        <is>
          <t>0.000 SOL</t>
        </is>
      </c>
      <c r="G115" s="17" t="inlineStr">
        <is>
          <t>-0.100 SOL</t>
        </is>
      </c>
      <c r="H115" s="17" t="inlineStr">
        <is>
          <t>0.00%</t>
        </is>
      </c>
      <c r="I115" s="20" t="inlineStr">
        <is>
          <t>145,138</t>
        </is>
      </c>
      <c r="J115" s="20" t="n">
        <v>1</v>
      </c>
      <c r="K115" s="20" t="n">
        <v>0</v>
      </c>
      <c r="L115" s="20" t="inlineStr">
        <is>
          <t>13.08.2024 20:23:35</t>
        </is>
      </c>
      <c r="M115" s="18" t="inlineStr">
        <is>
          <t>0 sec</t>
        </is>
      </c>
      <c r="N115" s="20" t="inlineStr">
        <is>
          <t xml:space="preserve">        121K           121K             7K</t>
        </is>
      </c>
      <c r="O115" s="20" t="inlineStr">
        <is>
          <t>B9pCDjJbEc5khctUFrq3JU3VtmndYec9RJQJnbsFpump</t>
        </is>
      </c>
      <c r="P115" s="20">
        <f>HYPERLINK("https://dexscreener.com/solana/B9pCDjJbEc5khctUFrq3JU3VtmndYec9RJQJnbsFpump", "View")</f>
        <v/>
      </c>
    </row>
    <row r="116">
      <c r="A116" s="15" t="inlineStr">
        <is>
          <t>sender</t>
        </is>
      </c>
      <c r="B116" s="16" t="n">
        <v>122952</v>
      </c>
      <c r="C116" s="16" t="n">
        <v>122952</v>
      </c>
      <c r="D116" s="16" t="inlineStr">
        <is>
          <t>0.000010</t>
        </is>
      </c>
      <c r="E116" s="16" t="inlineStr">
        <is>
          <t>0.100 SOL</t>
        </is>
      </c>
      <c r="F116" s="16" t="inlineStr">
        <is>
          <t>0.193 SOL</t>
        </is>
      </c>
      <c r="G116" s="23" t="inlineStr">
        <is>
          <t>0.093 SOL</t>
        </is>
      </c>
      <c r="H116" s="23" t="inlineStr">
        <is>
          <t>92.68%</t>
        </is>
      </c>
      <c r="I116" s="16" t="inlineStr">
        <is>
          <t>N/A</t>
        </is>
      </c>
      <c r="J116" s="16" t="n">
        <v>1</v>
      </c>
      <c r="K116" s="16" t="n">
        <v>1</v>
      </c>
      <c r="L116" s="16" t="inlineStr">
        <is>
          <t>13.08.2024 18:56:37</t>
        </is>
      </c>
      <c r="M116" s="16" t="inlineStr">
        <is>
          <t>22 min</t>
        </is>
      </c>
      <c r="N116" s="16" t="inlineStr">
        <is>
          <t xml:space="preserve">        142K           275K             5K</t>
        </is>
      </c>
      <c r="O116" s="16" t="inlineStr">
        <is>
          <t>2fMo86crw3CkpN85g7DrYJJrCEjeEB38JtoA6s7Epump</t>
        </is>
      </c>
      <c r="P116" s="16">
        <f>HYPERLINK("https://dexscreener.com/solana/2fMo86crw3CkpN85g7DrYJJrCEjeEB38JtoA6s7Epump", "View")</f>
        <v/>
      </c>
    </row>
    <row r="117">
      <c r="A117" s="19" t="inlineStr">
        <is>
          <t>MULL</t>
        </is>
      </c>
      <c r="B117" s="20" t="n">
        <v>91639</v>
      </c>
      <c r="C117" s="20" t="n">
        <v>91639</v>
      </c>
      <c r="D117" s="20" t="inlineStr">
        <is>
          <t>0.000010</t>
        </is>
      </c>
      <c r="E117" s="20" t="inlineStr">
        <is>
          <t>0.100 SOL</t>
        </is>
      </c>
      <c r="F117" s="20" t="inlineStr">
        <is>
          <t>0.433 SOL</t>
        </is>
      </c>
      <c r="G117" s="23" t="inlineStr">
        <is>
          <t>0.333 SOL</t>
        </is>
      </c>
      <c r="H117" s="23" t="inlineStr">
        <is>
          <t>333.27%</t>
        </is>
      </c>
      <c r="I117" s="20" t="inlineStr">
        <is>
          <t>N/A</t>
        </is>
      </c>
      <c r="J117" s="20" t="n">
        <v>1</v>
      </c>
      <c r="K117" s="20" t="n">
        <v>1</v>
      </c>
      <c r="L117" s="20" t="inlineStr">
        <is>
          <t>12.08.2024 16:23:08</t>
        </is>
      </c>
      <c r="M117" s="20" t="inlineStr">
        <is>
          <t>3 hours</t>
        </is>
      </c>
      <c r="N117" s="20" t="inlineStr">
        <is>
          <t xml:space="preserve">        191K           831K             8K</t>
        </is>
      </c>
      <c r="O117" s="20" t="inlineStr">
        <is>
          <t>5m6rFmP28HSsmmNC6ngmNwbT2FKg1j2n9QT1vYeqpump</t>
        </is>
      </c>
      <c r="P117" s="20">
        <f>HYPERLINK("https://dexscreener.com/solana/5m6rFmP28HSsmmNC6ngmNwbT2FKg1j2n9QT1vYeqpump", "View")</f>
        <v/>
      </c>
    </row>
    <row r="118">
      <c r="A118" s="15" t="inlineStr">
        <is>
          <t>$paul</t>
        </is>
      </c>
      <c r="B118" s="16" t="n">
        <v>138887</v>
      </c>
      <c r="C118" s="16" t="n">
        <v>0</v>
      </c>
      <c r="D118" s="16" t="inlineStr">
        <is>
          <t>0.000010</t>
        </is>
      </c>
      <c r="E118" s="16" t="inlineStr">
        <is>
          <t>0.100 SOL</t>
        </is>
      </c>
      <c r="F118" s="16" t="inlineStr">
        <is>
          <t>0.000 SOL</t>
        </is>
      </c>
      <c r="G118" s="17" t="inlineStr">
        <is>
          <t>-0.100 SOL</t>
        </is>
      </c>
      <c r="H118" s="17" t="inlineStr">
        <is>
          <t>0.00%</t>
        </is>
      </c>
      <c r="I118" s="16" t="inlineStr">
        <is>
          <t>138,887</t>
        </is>
      </c>
      <c r="J118" s="16" t="n">
        <v>1</v>
      </c>
      <c r="K118" s="16" t="n">
        <v>0</v>
      </c>
      <c r="L118" s="16" t="inlineStr">
        <is>
          <t>12.08.2024 04:42:04</t>
        </is>
      </c>
      <c r="M118" s="18" t="inlineStr">
        <is>
          <t>0 sec</t>
        </is>
      </c>
      <c r="N118" s="16" t="inlineStr">
        <is>
          <t xml:space="preserve">        126K           126K             4K</t>
        </is>
      </c>
      <c r="O118" s="16" t="inlineStr">
        <is>
          <t>CC3KFyf394XCzXHhpkRauRJ7HdgycqTfhvTF2Suypump</t>
        </is>
      </c>
      <c r="P118" s="16">
        <f>HYPERLINK("https://dexscreener.com/solana/CC3KFyf394XCzXHhpkRauRJ7HdgycqTfhvTF2Suypump", "View")</f>
        <v/>
      </c>
    </row>
    <row r="119">
      <c r="A119" s="19" t="inlineStr">
        <is>
          <t>BEAN</t>
        </is>
      </c>
      <c r="B119" s="20" t="n">
        <v>245052</v>
      </c>
      <c r="C119" s="20" t="n">
        <v>245052</v>
      </c>
      <c r="D119" s="20" t="inlineStr">
        <is>
          <t>0.000010</t>
        </is>
      </c>
      <c r="E119" s="20" t="inlineStr">
        <is>
          <t>0.100 SOL</t>
        </is>
      </c>
      <c r="F119" s="20" t="inlineStr">
        <is>
          <t>0.126 SOL</t>
        </is>
      </c>
      <c r="G119" s="22" t="inlineStr">
        <is>
          <t>0.026 SOL</t>
        </is>
      </c>
      <c r="H119" s="22" t="inlineStr">
        <is>
          <t>25.83%</t>
        </is>
      </c>
      <c r="I119" s="20" t="inlineStr">
        <is>
          <t>N/A</t>
        </is>
      </c>
      <c r="J119" s="20" t="n">
        <v>1</v>
      </c>
      <c r="K119" s="20" t="n">
        <v>1</v>
      </c>
      <c r="L119" s="20" t="inlineStr">
        <is>
          <t>10.08.2024 23:36:53</t>
        </is>
      </c>
      <c r="M119" s="20" t="inlineStr">
        <is>
          <t>1 days</t>
        </is>
      </c>
      <c r="N119" s="20" t="inlineStr">
        <is>
          <t xml:space="preserve">         72K            90K             6K</t>
        </is>
      </c>
      <c r="O119" s="20" t="inlineStr">
        <is>
          <t>C13RmtMAp1NsqLSqYY4uE1fVUbj7p88QuKUzdi2fpump</t>
        </is>
      </c>
      <c r="P119" s="20">
        <f>HYPERLINK("https://dexscreener.com/solana/C13RmtMAp1NsqLSqYY4uE1fVUbj7p88QuKUzdi2fpump", "View")</f>
        <v/>
      </c>
    </row>
    <row r="120">
      <c r="A120" s="15" t="inlineStr">
        <is>
          <t>oljo</t>
        </is>
      </c>
      <c r="B120" s="16" t="n">
        <v>101876</v>
      </c>
      <c r="C120" s="16" t="n">
        <v>0</v>
      </c>
      <c r="D120" s="16" t="inlineStr">
        <is>
          <t>0.000010</t>
        </is>
      </c>
      <c r="E120" s="16" t="inlineStr">
        <is>
          <t>0.100 SOL</t>
        </is>
      </c>
      <c r="F120" s="16" t="inlineStr">
        <is>
          <t>0.000 SOL</t>
        </is>
      </c>
      <c r="G120" s="17" t="inlineStr">
        <is>
          <t>-0.100 SOL</t>
        </is>
      </c>
      <c r="H120" s="17" t="inlineStr">
        <is>
          <t>0.00%</t>
        </is>
      </c>
      <c r="I120" s="16" t="inlineStr">
        <is>
          <t>101,876</t>
        </is>
      </c>
      <c r="J120" s="16" t="n">
        <v>1</v>
      </c>
      <c r="K120" s="16" t="n">
        <v>0</v>
      </c>
      <c r="L120" s="16" t="inlineStr">
        <is>
          <t>10.08.2024 14:40:43</t>
        </is>
      </c>
      <c r="M120" s="18" t="inlineStr">
        <is>
          <t>0 sec</t>
        </is>
      </c>
      <c r="N120" s="16" t="inlineStr">
        <is>
          <t xml:space="preserve">        172K           172K             4K</t>
        </is>
      </c>
      <c r="O120" s="16" t="inlineStr">
        <is>
          <t>7DRFsnoPuSm2MorNUYC7Wbd5eQZ9gvWvhmhDWRyJpump</t>
        </is>
      </c>
      <c r="P120" s="16">
        <f>HYPERLINK("https://dexscreener.com/solana/7DRFsnoPuSm2MorNUYC7Wbd5eQZ9gvWvhmhDWRyJpump", "View")</f>
        <v/>
      </c>
    </row>
    <row r="121">
      <c r="A121" s="19" t="inlineStr">
        <is>
          <t>HBL</t>
        </is>
      </c>
      <c r="B121" s="20" t="n">
        <v>185791</v>
      </c>
      <c r="C121" s="20" t="n">
        <v>0</v>
      </c>
      <c r="D121" s="20" t="inlineStr">
        <is>
          <t>0.000010</t>
        </is>
      </c>
      <c r="E121" s="20" t="inlineStr">
        <is>
          <t>0.100 SOL</t>
        </is>
      </c>
      <c r="F121" s="20" t="inlineStr">
        <is>
          <t>0.000 SOL</t>
        </is>
      </c>
      <c r="G121" s="17" t="inlineStr">
        <is>
          <t>-0.100 SOL</t>
        </is>
      </c>
      <c r="H121" s="17" t="inlineStr">
        <is>
          <t>0.00%</t>
        </is>
      </c>
      <c r="I121" s="20" t="inlineStr">
        <is>
          <t>185,791</t>
        </is>
      </c>
      <c r="J121" s="20" t="n">
        <v>1</v>
      </c>
      <c r="K121" s="20" t="n">
        <v>0</v>
      </c>
      <c r="L121" s="20" t="inlineStr">
        <is>
          <t>10.08.2024 03:57:18</t>
        </is>
      </c>
      <c r="M121" s="18" t="inlineStr">
        <is>
          <t>0 sec</t>
        </is>
      </c>
      <c r="N121" s="20" t="inlineStr">
        <is>
          <t xml:space="preserve">         92K            92K             5K</t>
        </is>
      </c>
      <c r="O121" s="20" t="inlineStr">
        <is>
          <t>FXtfC5YB6Gr9KbYaKWQteqir1SKFk8J2view1xZ8pump</t>
        </is>
      </c>
      <c r="P121" s="20">
        <f>HYPERLINK("https://dexscreener.com/solana/FXtfC5YB6Gr9KbYaKWQteqir1SKFk8J2view1xZ8pump", "View")</f>
        <v/>
      </c>
    </row>
    <row r="122">
      <c r="A122" s="15" t="inlineStr">
        <is>
          <t>QRDOG</t>
        </is>
      </c>
      <c r="B122" s="16" t="n">
        <v>341786</v>
      </c>
      <c r="C122" s="16" t="n">
        <v>0</v>
      </c>
      <c r="D122" s="16" t="inlineStr">
        <is>
          <t>0.000010</t>
        </is>
      </c>
      <c r="E122" s="16" t="inlineStr">
        <is>
          <t>0.100 SOL</t>
        </is>
      </c>
      <c r="F122" s="16" t="inlineStr">
        <is>
          <t>0.000 SOL</t>
        </is>
      </c>
      <c r="G122" s="17" t="inlineStr">
        <is>
          <t>-0.100 SOL</t>
        </is>
      </c>
      <c r="H122" s="17" t="inlineStr">
        <is>
          <t>0.00%</t>
        </is>
      </c>
      <c r="I122" s="16" t="inlineStr">
        <is>
          <t>341,786</t>
        </is>
      </c>
      <c r="J122" s="16" t="n">
        <v>1</v>
      </c>
      <c r="K122" s="16" t="n">
        <v>0</v>
      </c>
      <c r="L122" s="16" t="inlineStr">
        <is>
          <t>10.08.2024 01:49:50</t>
        </is>
      </c>
      <c r="M122" s="18" t="inlineStr">
        <is>
          <t>0 sec</t>
        </is>
      </c>
      <c r="N122" s="16" t="inlineStr">
        <is>
          <t xml:space="preserve">         51K            51K             4K</t>
        </is>
      </c>
      <c r="O122" s="16" t="inlineStr">
        <is>
          <t>2KEcAFUBCLKGwn7qrNWmF5EyJdPiQhdkCpTtMTvRpump</t>
        </is>
      </c>
      <c r="P122" s="16">
        <f>HYPERLINK("https://dexscreener.com/solana/2KEcAFUBCLKGwn7qrNWmF5EyJdPiQhdkCpTtMTvRpump", "View")</f>
        <v/>
      </c>
    </row>
    <row r="123">
      <c r="A123" s="19" t="inlineStr">
        <is>
          <t>raw</t>
        </is>
      </c>
      <c r="B123" s="20" t="n">
        <v>450725</v>
      </c>
      <c r="C123" s="20" t="n">
        <v>0</v>
      </c>
      <c r="D123" s="20" t="inlineStr">
        <is>
          <t>0.000010</t>
        </is>
      </c>
      <c r="E123" s="20" t="inlineStr">
        <is>
          <t>0.200 SOL</t>
        </is>
      </c>
      <c r="F123" s="20" t="inlineStr">
        <is>
          <t>0.000 SOL</t>
        </is>
      </c>
      <c r="G123" s="17" t="inlineStr">
        <is>
          <t>-0.200 SOL</t>
        </is>
      </c>
      <c r="H123" s="17" t="inlineStr">
        <is>
          <t>0.00%</t>
        </is>
      </c>
      <c r="I123" s="20" t="inlineStr">
        <is>
          <t>450,725</t>
        </is>
      </c>
      <c r="J123" s="20" t="n">
        <v>2</v>
      </c>
      <c r="K123" s="20" t="n">
        <v>0</v>
      </c>
      <c r="L123" s="20" t="inlineStr">
        <is>
          <t>09.08.2024 21:49:24</t>
        </is>
      </c>
      <c r="M123" s="20" t="inlineStr">
        <is>
          <t>4 min</t>
        </is>
      </c>
      <c r="N123" s="20" t="inlineStr">
        <is>
          <t xml:space="preserve">         86K            69K             4K</t>
        </is>
      </c>
      <c r="O123" s="20" t="inlineStr">
        <is>
          <t>G9ZksyearMTkTvz26bwBBzi2YyEaVDSGfZRLd6t8pump</t>
        </is>
      </c>
      <c r="P123" s="20">
        <f>HYPERLINK("https://dexscreener.com/solana/G9ZksyearMTkTvz26bwBBzi2YyEaVDSGfZRLd6t8pump", "View")</f>
        <v/>
      </c>
    </row>
    <row r="124">
      <c r="A124" s="15" t="inlineStr">
        <is>
          <t>lary</t>
        </is>
      </c>
      <c r="B124" s="16" t="n">
        <v>154234</v>
      </c>
      <c r="C124" s="16" t="n">
        <v>0</v>
      </c>
      <c r="D124" s="16" t="inlineStr">
        <is>
          <t>0.000010</t>
        </is>
      </c>
      <c r="E124" s="16" t="inlineStr">
        <is>
          <t>0.100 SOL</t>
        </is>
      </c>
      <c r="F124" s="16" t="inlineStr">
        <is>
          <t>0.000 SOL</t>
        </is>
      </c>
      <c r="G124" s="17" t="inlineStr">
        <is>
          <t>-0.100 SOL</t>
        </is>
      </c>
      <c r="H124" s="17" t="inlineStr">
        <is>
          <t>0.00%</t>
        </is>
      </c>
      <c r="I124" s="16" t="inlineStr">
        <is>
          <t>154,234</t>
        </is>
      </c>
      <c r="J124" s="16" t="n">
        <v>1</v>
      </c>
      <c r="K124" s="16" t="n">
        <v>0</v>
      </c>
      <c r="L124" s="16" t="inlineStr">
        <is>
          <t>09.08.2024 19:00:42</t>
        </is>
      </c>
      <c r="M124" s="18" t="inlineStr">
        <is>
          <t>0 sec</t>
        </is>
      </c>
      <c r="N124" s="16" t="inlineStr">
        <is>
          <t xml:space="preserve">        114K           114K             4K</t>
        </is>
      </c>
      <c r="O124" s="16" t="inlineStr">
        <is>
          <t>5RspzPxBjfLSvpPAREo9cSgQdyPXxar2TfZZBaPUpump</t>
        </is>
      </c>
      <c r="P124" s="16">
        <f>HYPERLINK("https://dexscreener.com/solana/5RspzPxBjfLSvpPAREo9cSgQdyPXxar2TfZZBaPUpump", "View")</f>
        <v/>
      </c>
    </row>
    <row r="125">
      <c r="A125" s="19" t="inlineStr">
        <is>
          <t>NEWCAR</t>
        </is>
      </c>
      <c r="B125" s="20" t="n">
        <v>240256</v>
      </c>
      <c r="C125" s="20" t="n">
        <v>0</v>
      </c>
      <c r="D125" s="20" t="inlineStr">
        <is>
          <t>0.000010</t>
        </is>
      </c>
      <c r="E125" s="20" t="inlineStr">
        <is>
          <t>0.100 SOL</t>
        </is>
      </c>
      <c r="F125" s="20" t="inlineStr">
        <is>
          <t>0.000 SOL</t>
        </is>
      </c>
      <c r="G125" s="17" t="inlineStr">
        <is>
          <t>-0.100 SOL</t>
        </is>
      </c>
      <c r="H125" s="17" t="inlineStr">
        <is>
          <t>0.00%</t>
        </is>
      </c>
      <c r="I125" s="20" t="inlineStr">
        <is>
          <t>240,256</t>
        </is>
      </c>
      <c r="J125" s="20" t="n">
        <v>1</v>
      </c>
      <c r="K125" s="20" t="n">
        <v>0</v>
      </c>
      <c r="L125" s="20" t="inlineStr">
        <is>
          <t>09.08.2024 16:47:06</t>
        </is>
      </c>
      <c r="M125" s="18" t="inlineStr">
        <is>
          <t>0 sec</t>
        </is>
      </c>
      <c r="N125" s="20" t="inlineStr">
        <is>
          <t xml:space="preserve">         74K            74K             4K</t>
        </is>
      </c>
      <c r="O125" s="20" t="inlineStr">
        <is>
          <t>9G6AADBxESfCe5ewvyoUhmiv4A3m2JAnRLZpFfH2pump</t>
        </is>
      </c>
      <c r="P125" s="20">
        <f>HYPERLINK("https://dexscreener.com/solana/9G6AADBxESfCe5ewvyoUhmiv4A3m2JAnRLZpFfH2pump", "View")</f>
        <v/>
      </c>
    </row>
    <row r="126">
      <c r="A126" s="15" t="inlineStr">
        <is>
          <t>Jajak</t>
        </is>
      </c>
      <c r="B126" s="16" t="n">
        <v>121024</v>
      </c>
      <c r="C126" s="16" t="n">
        <v>121024</v>
      </c>
      <c r="D126" s="16" t="inlineStr">
        <is>
          <t>0.000020</t>
        </is>
      </c>
      <c r="E126" s="16" t="inlineStr">
        <is>
          <t>0.100 SOL</t>
        </is>
      </c>
      <c r="F126" s="16" t="inlineStr">
        <is>
          <t>1.084 SOL</t>
        </is>
      </c>
      <c r="G126" s="23" t="inlineStr">
        <is>
          <t>0.984 SOL</t>
        </is>
      </c>
      <c r="H126" s="23" t="inlineStr">
        <is>
          <t>983.49%</t>
        </is>
      </c>
      <c r="I126" s="16" t="inlineStr">
        <is>
          <t>N/A</t>
        </is>
      </c>
      <c r="J126" s="16" t="n">
        <v>1</v>
      </c>
      <c r="K126" s="16" t="n">
        <v>2</v>
      </c>
      <c r="L126" s="16" t="inlineStr">
        <is>
          <t>08.08.2024 16:17:13</t>
        </is>
      </c>
      <c r="M126" s="16" t="inlineStr">
        <is>
          <t>12 hours</t>
        </is>
      </c>
      <c r="N126" s="16" t="inlineStr">
        <is>
          <t xml:space="preserve">        145K             1M            85K</t>
        </is>
      </c>
      <c r="O126" s="16" t="inlineStr">
        <is>
          <t>7LTpcQMo1d6MtEvewgy6wtgWQsNSfyhruyBLVWgrpump</t>
        </is>
      </c>
      <c r="P126" s="16">
        <f>HYPERLINK("https://dexscreener.com/solana/7LTpcQMo1d6MtEvewgy6wtgWQsNSfyhruyBLVWgrpump", "View")</f>
        <v/>
      </c>
    </row>
    <row r="127">
      <c r="A127" s="19" t="inlineStr">
        <is>
          <t>rockstar</t>
        </is>
      </c>
      <c r="B127" s="20" t="n">
        <v>77643</v>
      </c>
      <c r="C127" s="20" t="n">
        <v>0</v>
      </c>
      <c r="D127" s="20" t="inlineStr">
        <is>
          <t>0.000010</t>
        </is>
      </c>
      <c r="E127" s="20" t="inlineStr">
        <is>
          <t>0.100 SOL</t>
        </is>
      </c>
      <c r="F127" s="20" t="inlineStr">
        <is>
          <t>0.000 SOL</t>
        </is>
      </c>
      <c r="G127" s="17" t="inlineStr">
        <is>
          <t>-0.100 SOL</t>
        </is>
      </c>
      <c r="H127" s="17" t="inlineStr">
        <is>
          <t>0.00%</t>
        </is>
      </c>
      <c r="I127" s="20" t="inlineStr">
        <is>
          <t>77,643</t>
        </is>
      </c>
      <c r="J127" s="20" t="n">
        <v>1</v>
      </c>
      <c r="K127" s="20" t="n">
        <v>0</v>
      </c>
      <c r="L127" s="20" t="inlineStr">
        <is>
          <t>08.08.2024 00:25:29</t>
        </is>
      </c>
      <c r="M127" s="18" t="inlineStr">
        <is>
          <t>0 sec</t>
        </is>
      </c>
      <c r="N127" s="20" t="inlineStr">
        <is>
          <t xml:space="preserve">        226K           226K             4K</t>
        </is>
      </c>
      <c r="O127" s="20" t="inlineStr">
        <is>
          <t>Am4XNLDApL2qQW6UngQpKecdmz5vaDH7tzNtsTuQpump</t>
        </is>
      </c>
      <c r="P127" s="20">
        <f>HYPERLINK("https://dexscreener.com/solana/Am4XNLDApL2qQW6UngQpKecdmz5vaDH7tzNtsTuQpump", "View")</f>
        <v/>
      </c>
    </row>
    <row r="128">
      <c r="A128" s="15" t="inlineStr">
        <is>
          <t>Penny</t>
        </is>
      </c>
      <c r="B128" s="16" t="n">
        <v>185579</v>
      </c>
      <c r="C128" s="16" t="n">
        <v>185579</v>
      </c>
      <c r="D128" s="16" t="inlineStr">
        <is>
          <t>0.000010</t>
        </is>
      </c>
      <c r="E128" s="16" t="inlineStr">
        <is>
          <t>0.100 SOL</t>
        </is>
      </c>
      <c r="F128" s="16" t="inlineStr">
        <is>
          <t>0.262 SOL</t>
        </is>
      </c>
      <c r="G128" s="23" t="inlineStr">
        <is>
          <t>0.162 SOL</t>
        </is>
      </c>
      <c r="H128" s="23" t="inlineStr">
        <is>
          <t>161.61%</t>
        </is>
      </c>
      <c r="I128" s="16" t="inlineStr">
        <is>
          <t>N/A</t>
        </is>
      </c>
      <c r="J128" s="16" t="n">
        <v>1</v>
      </c>
      <c r="K128" s="16" t="n">
        <v>1</v>
      </c>
      <c r="L128" s="16" t="inlineStr">
        <is>
          <t>06.08.2024 15:52:19</t>
        </is>
      </c>
      <c r="M128" s="16" t="inlineStr">
        <is>
          <t>18 min</t>
        </is>
      </c>
      <c r="N128" s="16" t="inlineStr">
        <is>
          <t xml:space="preserve">         95K           247K             4K</t>
        </is>
      </c>
      <c r="O128" s="16" t="inlineStr">
        <is>
          <t>5BspCkuyqYNoexjsMHFiv8LFLGq34RcQXCnaRt1Cpump</t>
        </is>
      </c>
      <c r="P128" s="16">
        <f>HYPERLINK("https://dexscreener.com/solana/5BspCkuyqYNoexjsMHFiv8LFLGq34RcQXCnaRt1Cpump", "View")</f>
        <v/>
      </c>
    </row>
    <row r="129">
      <c r="A129" s="19" t="inlineStr">
        <is>
          <t>ZOOM</t>
        </is>
      </c>
      <c r="B129" s="20" t="n">
        <v>158654</v>
      </c>
      <c r="C129" s="20" t="n">
        <v>158654</v>
      </c>
      <c r="D129" s="20" t="inlineStr">
        <is>
          <t>0.000010</t>
        </is>
      </c>
      <c r="E129" s="20" t="inlineStr">
        <is>
          <t>0.100 SOL</t>
        </is>
      </c>
      <c r="F129" s="20" t="inlineStr">
        <is>
          <t>0.084 SOL</t>
        </is>
      </c>
      <c r="G129" s="21" t="inlineStr">
        <is>
          <t>-0.016 SOL</t>
        </is>
      </c>
      <c r="H129" s="21" t="inlineStr">
        <is>
          <t>-16.42%</t>
        </is>
      </c>
      <c r="I129" s="20" t="inlineStr">
        <is>
          <t>N/A</t>
        </is>
      </c>
      <c r="J129" s="20" t="n">
        <v>1</v>
      </c>
      <c r="K129" s="20" t="n">
        <v>1</v>
      </c>
      <c r="L129" s="20" t="inlineStr">
        <is>
          <t>06.08.2024 09:03:14</t>
        </is>
      </c>
      <c r="M129" s="20" t="inlineStr">
        <is>
          <t>2 min</t>
        </is>
      </c>
      <c r="N129" s="20" t="inlineStr">
        <is>
          <t xml:space="preserve">        111K            93K             4K</t>
        </is>
      </c>
      <c r="O129" s="20" t="inlineStr">
        <is>
          <t>ALKxq5jnf38YRAmdaHmACaqspwdNVe898i4aepRYpump</t>
        </is>
      </c>
      <c r="P129" s="20">
        <f>HYPERLINK("https://dexscreener.com/solana/ALKxq5jnf38YRAmdaHmACaqspwdNVe898i4aepRYpump", "View")</f>
        <v/>
      </c>
    </row>
    <row r="130">
      <c r="A130" s="15" t="inlineStr">
        <is>
          <t>$JOKER</t>
        </is>
      </c>
      <c r="B130" s="16" t="n">
        <v>166044</v>
      </c>
      <c r="C130" s="16" t="n">
        <v>0</v>
      </c>
      <c r="D130" s="16" t="inlineStr">
        <is>
          <t>0.000010</t>
        </is>
      </c>
      <c r="E130" s="16" t="inlineStr">
        <is>
          <t>0.100 SOL</t>
        </is>
      </c>
      <c r="F130" s="16" t="inlineStr">
        <is>
          <t>0.000 SOL</t>
        </is>
      </c>
      <c r="G130" s="17" t="inlineStr">
        <is>
          <t>-0.100 SOL</t>
        </is>
      </c>
      <c r="H130" s="17" t="inlineStr">
        <is>
          <t>0.00%</t>
        </is>
      </c>
      <c r="I130" s="16" t="inlineStr">
        <is>
          <t>166,044</t>
        </is>
      </c>
      <c r="J130" s="16" t="n">
        <v>1</v>
      </c>
      <c r="K130" s="16" t="n">
        <v>0</v>
      </c>
      <c r="L130" s="16" t="inlineStr">
        <is>
          <t>05.08.2024 04:27:24</t>
        </is>
      </c>
      <c r="M130" s="18" t="inlineStr">
        <is>
          <t>0 sec</t>
        </is>
      </c>
      <c r="N130" s="16" t="inlineStr">
        <is>
          <t xml:space="preserve">        102K           102K             6K</t>
        </is>
      </c>
      <c r="O130" s="16" t="inlineStr">
        <is>
          <t>67LhKQjYvDwFVLy8aaexyVXDGsEWxHQbJFvmgcEZcibx</t>
        </is>
      </c>
      <c r="P130" s="16">
        <f>HYPERLINK("https://dexscreener.com/solana/67LhKQjYvDwFVLy8aaexyVXDGsEWxHQbJFvmgcEZcibx", "View")</f>
        <v/>
      </c>
    </row>
    <row r="131">
      <c r="A131" s="19" t="inlineStr">
        <is>
          <t>1cm</t>
        </is>
      </c>
      <c r="B131" s="20" t="n">
        <v>133335</v>
      </c>
      <c r="C131" s="20" t="n">
        <v>0</v>
      </c>
      <c r="D131" s="20" t="inlineStr">
        <is>
          <t>0.000010</t>
        </is>
      </c>
      <c r="E131" s="20" t="inlineStr">
        <is>
          <t>0.100 SOL</t>
        </is>
      </c>
      <c r="F131" s="20" t="inlineStr">
        <is>
          <t>0.000 SOL</t>
        </is>
      </c>
      <c r="G131" s="17" t="inlineStr">
        <is>
          <t>-0.100 SOL</t>
        </is>
      </c>
      <c r="H131" s="17" t="inlineStr">
        <is>
          <t>0.00%</t>
        </is>
      </c>
      <c r="I131" s="20" t="inlineStr">
        <is>
          <t>133,335</t>
        </is>
      </c>
      <c r="J131" s="20" t="n">
        <v>1</v>
      </c>
      <c r="K131" s="20" t="n">
        <v>0</v>
      </c>
      <c r="L131" s="20" t="inlineStr">
        <is>
          <t>04.08.2024 14:51:16</t>
        </is>
      </c>
      <c r="M131" s="18" t="inlineStr">
        <is>
          <t>0 sec</t>
        </is>
      </c>
      <c r="N131" s="20" t="inlineStr">
        <is>
          <t xml:space="preserve">        131K           131K             5K</t>
        </is>
      </c>
      <c r="O131" s="20" t="inlineStr">
        <is>
          <t>FXrD6HrW7xuMnaWf2XvKQraqqfxG8g6CTc5PZ6fpump</t>
        </is>
      </c>
      <c r="P131" s="20">
        <f>HYPERLINK("https://dexscreener.com/solana/FXrD6HrW7xuMnaWf2XvKQraqqfxG8g6CTc5PZ6fpump", "View")</f>
        <v/>
      </c>
    </row>
    <row r="132">
      <c r="A132" s="15" t="inlineStr">
        <is>
          <t>booga</t>
        </is>
      </c>
      <c r="B132" s="16" t="n">
        <v>135057</v>
      </c>
      <c r="C132" s="16" t="n">
        <v>0</v>
      </c>
      <c r="D132" s="16" t="inlineStr">
        <is>
          <t>0.000010</t>
        </is>
      </c>
      <c r="E132" s="16" t="inlineStr">
        <is>
          <t>0.100 SOL</t>
        </is>
      </c>
      <c r="F132" s="16" t="inlineStr">
        <is>
          <t>0.000 SOL</t>
        </is>
      </c>
      <c r="G132" s="17" t="inlineStr">
        <is>
          <t>-0.100 SOL</t>
        </is>
      </c>
      <c r="H132" s="17" t="inlineStr">
        <is>
          <t>0.00%</t>
        </is>
      </c>
      <c r="I132" s="16" t="inlineStr">
        <is>
          <t>135,057</t>
        </is>
      </c>
      <c r="J132" s="16" t="n">
        <v>1</v>
      </c>
      <c r="K132" s="16" t="n">
        <v>0</v>
      </c>
      <c r="L132" s="16" t="inlineStr">
        <is>
          <t>03.08.2024 19:58:01</t>
        </is>
      </c>
      <c r="M132" s="18" t="inlineStr">
        <is>
          <t>0 sec</t>
        </is>
      </c>
      <c r="N132" s="16" t="inlineStr">
        <is>
          <t xml:space="preserve">        130K           130K             4K</t>
        </is>
      </c>
      <c r="O132" s="16" t="inlineStr">
        <is>
          <t>6CnQWkANBPbnYYcA3rkJUsQSgciXiFidxx7H4tWppump</t>
        </is>
      </c>
      <c r="P132" s="16">
        <f>HYPERLINK("https://dexscreener.com/solana/6CnQWkANBPbnYYcA3rkJUsQSgciXiFidxx7H4tWppump", "View")</f>
        <v/>
      </c>
    </row>
    <row r="133">
      <c r="A133" s="19" t="inlineStr">
        <is>
          <t>OCL</t>
        </is>
      </c>
      <c r="B133" s="20" t="n">
        <v>108807</v>
      </c>
      <c r="C133" s="20" t="n">
        <v>0</v>
      </c>
      <c r="D133" s="20" t="inlineStr">
        <is>
          <t>0.000010</t>
        </is>
      </c>
      <c r="E133" s="20" t="inlineStr">
        <is>
          <t>0.100 SOL</t>
        </is>
      </c>
      <c r="F133" s="20" t="inlineStr">
        <is>
          <t>0.000 SOL</t>
        </is>
      </c>
      <c r="G133" s="17" t="inlineStr">
        <is>
          <t>-0.100 SOL</t>
        </is>
      </c>
      <c r="H133" s="17" t="inlineStr">
        <is>
          <t>0.00%</t>
        </is>
      </c>
      <c r="I133" s="20" t="inlineStr">
        <is>
          <t>108,807</t>
        </is>
      </c>
      <c r="J133" s="20" t="n">
        <v>1</v>
      </c>
      <c r="K133" s="20" t="n">
        <v>0</v>
      </c>
      <c r="L133" s="20" t="inlineStr">
        <is>
          <t>03.08.2024 03:15:02</t>
        </is>
      </c>
      <c r="M133" s="18" t="inlineStr">
        <is>
          <t>0 sec</t>
        </is>
      </c>
      <c r="N133" s="20" t="inlineStr">
        <is>
          <t xml:space="preserve">        161K           161K             4K</t>
        </is>
      </c>
      <c r="O133" s="20" t="inlineStr">
        <is>
          <t>9CJ7VnoLfJfHX3AW1NbJUqMX9nqwckEHvncexPAEpump</t>
        </is>
      </c>
      <c r="P133" s="20">
        <f>HYPERLINK("https://dexscreener.com/solana/9CJ7VnoLfJfHX3AW1NbJUqMX9nqwckEHvncexPAEpump", "View")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03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HYPERLINK("https://gmgn.ai/sol/address/GatWquUn9CNC5jmGtx45o34whfcrWa1AVLDn4r3SwXbr", "GMGN")</f>
        <v/>
      </c>
    </row>
    <row r="2">
      <c r="A2" s="3" t="inlineStr">
        <is>
          <t>GatWquUn9CNC5jmGtx45o34whfcrWa1AVLDn4r3SwXbr</t>
        </is>
      </c>
      <c r="B2" s="3" t="inlineStr">
        <is>
          <t>9.21 SOL</t>
        </is>
      </c>
      <c r="C2" s="3" t="inlineStr">
        <is>
          <t>47%</t>
        </is>
      </c>
      <c r="D2" s="3" t="inlineStr">
        <is>
          <t>76%</t>
        </is>
      </c>
      <c r="E2" s="3" t="inlineStr">
        <is>
          <t>107.70 SOL</t>
        </is>
      </c>
      <c r="F2" s="3" t="inlineStr">
        <is>
          <t>22 (12%)</t>
        </is>
      </c>
      <c r="G2" s="3" t="inlineStr">
        <is>
          <t>0 (0%)</t>
        </is>
      </c>
      <c r="H2" s="3" t="n">
        <v>184</v>
      </c>
      <c r="I2" s="3" t="n">
        <v>0</v>
      </c>
      <c r="J2" s="3" t="inlineStr">
        <is>
          <t>14 days</t>
        </is>
      </c>
      <c r="K2" s="3" t="inlineStr">
        <is>
          <t>8 min</t>
        </is>
      </c>
      <c r="L2" s="3" t="n">
        <v>104</v>
      </c>
      <c r="M2" s="3" t="n">
        <v>461</v>
      </c>
      <c r="N2" s="3">
        <f>HYPERLINK("https://solscan.io/account/GatWquUn9CNC5jmGtx45o34whfcrWa1AVLDn4r3SwXbr", "Solscan")</f>
        <v/>
      </c>
    </row>
    <row r="3">
      <c r="A3" s="6" t="inlineStr">
        <is>
          <t>Median ROI</t>
        </is>
      </c>
      <c r="B3" s="5" t="inlineStr">
        <is>
          <t>-1.44%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HYPERLINK("https://birdeye.so/profile/GatWquUn9CNC5jmGtx45o34whfcrWa1AVLDn4r3SwXbr", "Birdeye")</f>
        <v/>
      </c>
    </row>
    <row r="4">
      <c r="A4" s="6" t="inlineStr">
        <is>
          <t>Rockets percent</t>
        </is>
      </c>
      <c r="B4" s="3" t="inlineStr">
        <is>
          <t>13%</t>
        </is>
      </c>
      <c r="C4" s="3" t="inlineStr"/>
      <c r="D4" s="3" t="inlineStr">
        <is>
          <t>5%</t>
        </is>
      </c>
      <c r="E4" s="3" t="inlineStr">
        <is>
          <t>7.04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14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1.3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5</v>
      </c>
      <c r="C10" s="6" t="n">
        <v>19</v>
      </c>
      <c r="D10" s="6" t="n">
        <v>10</v>
      </c>
      <c r="E10" s="6" t="n">
        <v>52</v>
      </c>
      <c r="F10" s="6" t="n">
        <v>66</v>
      </c>
      <c r="G10" s="6" t="n">
        <v>32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2.7%</t>
        </is>
      </c>
      <c r="C11" s="6" t="inlineStr">
        <is>
          <t>10.3%</t>
        </is>
      </c>
      <c r="D11" s="6" t="inlineStr">
        <is>
          <t>5.4%</t>
        </is>
      </c>
      <c r="E11" s="6" t="inlineStr">
        <is>
          <t>28.3%</t>
        </is>
      </c>
      <c r="F11" s="6" t="inlineStr">
        <is>
          <t>35.9%</t>
        </is>
      </c>
      <c r="G11" s="6" t="inlineStr">
        <is>
          <t>17.4%</t>
        </is>
      </c>
      <c r="H11" s="3" t="n"/>
      <c r="I11" s="3" t="inlineStr">
        <is>
          <t>5k-30k</t>
        </is>
      </c>
      <c r="J11" s="3" t="inlineStr">
        <is>
          <t>99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82.2 SOL</t>
        </is>
      </c>
      <c r="C12" s="6" t="inlineStr">
        <is>
          <t>35.8 SOL</t>
        </is>
      </c>
      <c r="D12" s="6" t="inlineStr">
        <is>
          <t>5.1 SOL</t>
        </is>
      </c>
      <c r="E12" s="6" t="inlineStr">
        <is>
          <t>7.6 SOL</t>
        </is>
      </c>
      <c r="F12" s="6" t="inlineStr">
        <is>
          <t>-6.4 SOL</t>
        </is>
      </c>
      <c r="G12" s="6" t="inlineStr">
        <is>
          <t>-16.6 SOL</t>
        </is>
      </c>
      <c r="H12" s="3" t="n"/>
      <c r="I12" s="3" t="inlineStr">
        <is>
          <t>30k-100k</t>
        </is>
      </c>
      <c r="J12" s="3" t="inlineStr">
        <is>
          <t>49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18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11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28.0K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Animal</t>
        </is>
      </c>
      <c r="B20" s="16" t="n">
        <v>346489</v>
      </c>
      <c r="C20" s="16" t="n">
        <v>346489</v>
      </c>
      <c r="D20" s="16" t="inlineStr">
        <is>
          <t>0.000710</t>
        </is>
      </c>
      <c r="E20" s="16" t="inlineStr">
        <is>
          <t>0.500 SOL</t>
        </is>
      </c>
      <c r="F20" s="16" t="inlineStr">
        <is>
          <t>0.576 SOL</t>
        </is>
      </c>
      <c r="G20" s="22" t="inlineStr">
        <is>
          <t>0.075 SOL</t>
        </is>
      </c>
      <c r="H20" s="22" t="inlineStr">
        <is>
          <t>14.96%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16:22:14</t>
        </is>
      </c>
      <c r="M20" s="16" t="inlineStr">
        <is>
          <t>16 hours</t>
        </is>
      </c>
      <c r="N20" s="16" t="inlineStr">
        <is>
          <t xml:space="preserve">        253K           253K            47K</t>
        </is>
      </c>
      <c r="O20" s="16" t="inlineStr">
        <is>
          <t>33aY2XDYFfbANyBKGiAGUb7kYb4sY9SqPcUZPrwRpump</t>
        </is>
      </c>
      <c r="P20" s="16">
        <f>HYPERLINK("https://dexscreener.com/solana/33aY2XDYFfbANyBKGiAGUb7kYb4sY9SqPcUZPrwRpump", "View")</f>
        <v/>
      </c>
    </row>
    <row r="21">
      <c r="A21" s="19" t="inlineStr">
        <is>
          <t>X</t>
        </is>
      </c>
      <c r="B21" s="20" t="n">
        <v>7979177</v>
      </c>
      <c r="C21" s="20" t="n">
        <v>7979176</v>
      </c>
      <c r="D21" s="20" t="inlineStr">
        <is>
          <t>0.000250</t>
        </is>
      </c>
      <c r="E21" s="20" t="inlineStr">
        <is>
          <t>0.512 SOL</t>
        </is>
      </c>
      <c r="F21" s="20" t="inlineStr">
        <is>
          <t>0.339 SOL</t>
        </is>
      </c>
      <c r="G21" s="21" t="inlineStr">
        <is>
          <t>-0.174 SOL</t>
        </is>
      </c>
      <c r="H21" s="21" t="inlineStr">
        <is>
          <t>-33.89%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16:21:17</t>
        </is>
      </c>
      <c r="M21" s="20" t="inlineStr">
        <is>
          <t>3 hours</t>
        </is>
      </c>
      <c r="N21" s="20" t="inlineStr">
        <is>
          <t xml:space="preserve">         11K            11K             7K</t>
        </is>
      </c>
      <c r="O21" s="20" t="inlineStr">
        <is>
          <t>DK1FyYhEvtM2LQEo2VNMZ7vWepAdsjcdPwjLoT7Ypump</t>
        </is>
      </c>
      <c r="P21" s="20">
        <f>HYPERLINK("https://photon-sol.tinyastro.io/en/lp/DK1FyYhEvtM2LQEo2VNMZ7vWepAdsjcdPwjLoT7Ypump?handle=676050794bc1b1657a56b", "View")</f>
        <v/>
      </c>
    </row>
    <row r="22">
      <c r="A22" s="15" t="inlineStr">
        <is>
          <t>Clione</t>
        </is>
      </c>
      <c r="B22" s="16" t="n">
        <v>883875</v>
      </c>
      <c r="C22" s="16" t="n">
        <v>883875</v>
      </c>
      <c r="D22" s="16" t="inlineStr">
        <is>
          <t>0.000460</t>
        </is>
      </c>
      <c r="E22" s="16" t="inlineStr">
        <is>
          <t>0.300 SOL</t>
        </is>
      </c>
      <c r="F22" s="16" t="inlineStr">
        <is>
          <t>0.086 SOL</t>
        </is>
      </c>
      <c r="G22" s="24" t="inlineStr">
        <is>
          <t>-0.215 SOL</t>
        </is>
      </c>
      <c r="H22" s="24" t="inlineStr">
        <is>
          <t>-71.42%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14:40:31</t>
        </is>
      </c>
      <c r="M22" s="16" t="inlineStr">
        <is>
          <t>2 min</t>
        </is>
      </c>
      <c r="N22" s="16" t="inlineStr">
        <is>
          <t xml:space="preserve">         60K            60K             4K</t>
        </is>
      </c>
      <c r="O22" s="16" t="inlineStr">
        <is>
          <t>HHqQJFBKDq7pgyv5HcPwnPhju1es9CN558ZzF7UZpump</t>
        </is>
      </c>
      <c r="P22" s="16">
        <f>HYPERLINK("https://dexscreener.com/solana/HHqQJFBKDq7pgyv5HcPwnPhju1es9CN558ZzF7UZpump", "View")</f>
        <v/>
      </c>
    </row>
    <row r="23">
      <c r="A23" s="19" t="inlineStr">
        <is>
          <t>Molly</t>
        </is>
      </c>
      <c r="B23" s="20" t="n">
        <v>3953802</v>
      </c>
      <c r="C23" s="20" t="n">
        <v>3953802</v>
      </c>
      <c r="D23" s="20" t="inlineStr">
        <is>
          <t>0.000460</t>
        </is>
      </c>
      <c r="E23" s="20" t="inlineStr">
        <is>
          <t>0.328 SOL</t>
        </is>
      </c>
      <c r="F23" s="20" t="inlineStr">
        <is>
          <t>0.427 SOL</t>
        </is>
      </c>
      <c r="G23" s="22" t="inlineStr">
        <is>
          <t>0.099 SOL</t>
        </is>
      </c>
      <c r="H23" s="22" t="inlineStr">
        <is>
          <t>30.28%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14:29:42</t>
        </is>
      </c>
      <c r="M23" s="20" t="inlineStr">
        <is>
          <t>3 min</t>
        </is>
      </c>
      <c r="N23" s="20" t="inlineStr">
        <is>
          <t xml:space="preserve">         14K            19K             5K</t>
        </is>
      </c>
      <c r="O23" s="20" t="inlineStr">
        <is>
          <t>DWZyYssjZQs76kNALjicXM66yWrsSH13ky74JysYpump</t>
        </is>
      </c>
      <c r="P23" s="20">
        <f>HYPERLINK("https://photon-sol.tinyastro.io/en/lp/DWZyYssjZQs76kNALjicXM66yWrsSH13ky74JysYpump?handle=676050794bc1b1657a56b", "View")</f>
        <v/>
      </c>
    </row>
    <row r="24">
      <c r="A24" s="15" t="inlineStr">
        <is>
          <t>SPACEROCK</t>
        </is>
      </c>
      <c r="B24" s="16" t="n">
        <v>16983866</v>
      </c>
      <c r="C24" s="16" t="n">
        <v>16983866</v>
      </c>
      <c r="D24" s="16" t="inlineStr">
        <is>
          <t>0.000460</t>
        </is>
      </c>
      <c r="E24" s="16" t="inlineStr">
        <is>
          <t>1.045 SOL</t>
        </is>
      </c>
      <c r="F24" s="16" t="inlineStr">
        <is>
          <t>0.871 SOL</t>
        </is>
      </c>
      <c r="G24" s="21" t="inlineStr">
        <is>
          <t>-0.174 SOL</t>
        </is>
      </c>
      <c r="H24" s="21" t="inlineStr">
        <is>
          <t>-16.64%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05:21:16</t>
        </is>
      </c>
      <c r="M24" s="16" t="inlineStr">
        <is>
          <t>22 min</t>
        </is>
      </c>
      <c r="N24" s="16" t="inlineStr">
        <is>
          <t xml:space="preserve">         11K            11K             7K</t>
        </is>
      </c>
      <c r="O24" s="16" t="inlineStr">
        <is>
          <t>8sRGMwYksWuZq2MHjER4RbGCN4qPQoXiYxWU4FQ7pump</t>
        </is>
      </c>
      <c r="P24" s="16">
        <f>HYPERLINK("https://photon-sol.tinyastro.io/en/lp/8sRGMwYksWuZq2MHjER4RbGCN4qPQoXiYxWU4FQ7pump?handle=676050794bc1b1657a56b", "View")</f>
        <v/>
      </c>
    </row>
    <row r="25">
      <c r="A25" s="19" t="inlineStr">
        <is>
          <t>DickCat</t>
        </is>
      </c>
      <c r="B25" s="20" t="n">
        <v>5636294</v>
      </c>
      <c r="C25" s="20" t="n">
        <v>5636294</v>
      </c>
      <c r="D25" s="20" t="inlineStr">
        <is>
          <t>0.000690</t>
        </is>
      </c>
      <c r="E25" s="20" t="inlineStr">
        <is>
          <t>1.043 SOL</t>
        </is>
      </c>
      <c r="F25" s="20" t="inlineStr">
        <is>
          <t>1.073 SOL</t>
        </is>
      </c>
      <c r="G25" s="22" t="inlineStr">
        <is>
          <t>0.029 SOL</t>
        </is>
      </c>
      <c r="H25" s="22" t="inlineStr">
        <is>
          <t>2.76%</t>
        </is>
      </c>
      <c r="I25" s="20" t="inlineStr">
        <is>
          <t>N/A</t>
        </is>
      </c>
      <c r="J25" s="20" t="n">
        <v>2</v>
      </c>
      <c r="K25" s="20" t="n">
        <v>1</v>
      </c>
      <c r="L25" s="20" t="inlineStr">
        <is>
          <t>30.10.2024 04:59:17</t>
        </is>
      </c>
      <c r="M25" s="20" t="inlineStr">
        <is>
          <t>17 min</t>
        </is>
      </c>
      <c r="N25" s="20" t="inlineStr">
        <is>
          <t xml:space="preserve">         32K            33K             6K</t>
        </is>
      </c>
      <c r="O25" s="20" t="inlineStr">
        <is>
          <t>6vyybGHJKTKd7n8VfiJzHMNQHFTDvsXUHgBJjtEupump</t>
        </is>
      </c>
      <c r="P25" s="20">
        <f>HYPERLINK("https://photon-sol.tinyastro.io/en/lp/6vyybGHJKTKd7n8VfiJzHMNQHFTDvsXUHgBJjtEupump?handle=676050794bc1b1657a56b", "View")</f>
        <v/>
      </c>
    </row>
    <row r="26">
      <c r="A26" s="15" t="inlineStr">
        <is>
          <t>$niggababy</t>
        </is>
      </c>
      <c r="B26" s="16" t="n">
        <v>6092265</v>
      </c>
      <c r="C26" s="16" t="n">
        <v>6092265</v>
      </c>
      <c r="D26" s="16" t="inlineStr">
        <is>
          <t>0.007740</t>
        </is>
      </c>
      <c r="E26" s="16" t="inlineStr">
        <is>
          <t>0.519 SOL</t>
        </is>
      </c>
      <c r="F26" s="16" t="inlineStr">
        <is>
          <t>0.509 SOL</t>
        </is>
      </c>
      <c r="G26" s="21" t="inlineStr">
        <is>
          <t>-0.018 SOL</t>
        </is>
      </c>
      <c r="H26" s="21" t="inlineStr">
        <is>
          <t>-3.36%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30.10.2024 04:32:01</t>
        </is>
      </c>
      <c r="M26" s="18" t="inlineStr">
        <is>
          <t>28 sec</t>
        </is>
      </c>
      <c r="N26" s="16" t="inlineStr">
        <is>
          <t xml:space="preserve">         16K            14K            15K</t>
        </is>
      </c>
      <c r="O26" s="16" t="inlineStr">
        <is>
          <t>HVM8d8yCz34J8dWRA2yyFUGpMmj47tMj46FnHaHcpump</t>
        </is>
      </c>
      <c r="P26" s="16">
        <f>HYPERLINK("https://photon-sol.tinyastro.io/en/lp/HVM8d8yCz34J8dWRA2yyFUGpMmj47tMj46FnHaHcpump?handle=676050794bc1b1657a56b", "View")</f>
        <v/>
      </c>
    </row>
    <row r="27">
      <c r="A27" s="19" t="inlineStr">
        <is>
          <t>SPOOKY</t>
        </is>
      </c>
      <c r="B27" s="20" t="n">
        <v>4950127</v>
      </c>
      <c r="C27" s="20" t="n">
        <v>4950127</v>
      </c>
      <c r="D27" s="20" t="inlineStr">
        <is>
          <t>0.008200</t>
        </is>
      </c>
      <c r="E27" s="20" t="inlineStr">
        <is>
          <t>1.000 SOL</t>
        </is>
      </c>
      <c r="F27" s="20" t="inlineStr">
        <is>
          <t>1.631 SOL</t>
        </is>
      </c>
      <c r="G27" s="23" t="inlineStr">
        <is>
          <t>0.622 SOL</t>
        </is>
      </c>
      <c r="H27" s="23" t="inlineStr">
        <is>
          <t>61.74%</t>
        </is>
      </c>
      <c r="I27" s="20" t="inlineStr">
        <is>
          <t>N/A</t>
        </is>
      </c>
      <c r="J27" s="20" t="n">
        <v>2</v>
      </c>
      <c r="K27" s="20" t="n">
        <v>2</v>
      </c>
      <c r="L27" s="20" t="inlineStr">
        <is>
          <t>30.10.2024 04:24:23</t>
        </is>
      </c>
      <c r="M27" s="20" t="inlineStr">
        <is>
          <t>15 hours</t>
        </is>
      </c>
      <c r="N27" s="20" t="inlineStr">
        <is>
          <t xml:space="preserve">         26K            51K            15K</t>
        </is>
      </c>
      <c r="O27" s="20" t="inlineStr">
        <is>
          <t>63n6WSChvASdNsLxSk321k4T1MCVmVM5r9aLBh79pump</t>
        </is>
      </c>
      <c r="P27" s="20">
        <f>HYPERLINK("https://dexscreener.com/solana/63n6WSChvASdNsLxSk321k4T1MCVmVM5r9aLBh79pump", "View")</f>
        <v/>
      </c>
    </row>
    <row r="28">
      <c r="A28" s="15" t="inlineStr">
        <is>
          <t>Grimace</t>
        </is>
      </c>
      <c r="B28" s="16" t="n">
        <v>2085125</v>
      </c>
      <c r="C28" s="16" t="n">
        <v>2085125</v>
      </c>
      <c r="D28" s="16" t="inlineStr">
        <is>
          <t>0.007740</t>
        </is>
      </c>
      <c r="E28" s="16" t="inlineStr">
        <is>
          <t>0.514 SOL</t>
        </is>
      </c>
      <c r="F28" s="16" t="inlineStr">
        <is>
          <t>0.496 SOL</t>
        </is>
      </c>
      <c r="G28" s="21" t="inlineStr">
        <is>
          <t>-0.025 SOL</t>
        </is>
      </c>
      <c r="H28" s="21" t="inlineStr">
        <is>
          <t>-4.87%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30.10.2024 03:40:56</t>
        </is>
      </c>
      <c r="M28" s="18" t="inlineStr">
        <is>
          <t>20 sec</t>
        </is>
      </c>
      <c r="N28" s="16" t="inlineStr">
        <is>
          <t xml:space="preserve">         44K            42K             7K</t>
        </is>
      </c>
      <c r="O28" s="16" t="inlineStr">
        <is>
          <t>GyZRpDg9C36uW29g5128mkrZxAWFu7Qgg2MS71rp4xE3</t>
        </is>
      </c>
      <c r="P28" s="16">
        <f>HYPERLINK("https://photon-sol.tinyastro.io/en/lp/GyZRpDg9C36uW29g5128mkrZxAWFu7Qgg2MS71rp4xE3?handle=676050794bc1b1657a56b", "View")</f>
        <v/>
      </c>
    </row>
    <row r="29">
      <c r="A29" s="19" t="inlineStr">
        <is>
          <t>AstroCat</t>
        </is>
      </c>
      <c r="B29" s="20" t="n">
        <v>4136480</v>
      </c>
      <c r="C29" s="20" t="n">
        <v>4136480</v>
      </c>
      <c r="D29" s="20" t="inlineStr">
        <is>
          <t>0.000460</t>
        </is>
      </c>
      <c r="E29" s="20" t="inlineStr">
        <is>
          <t>0.512 SOL</t>
        </is>
      </c>
      <c r="F29" s="20" t="inlineStr">
        <is>
          <t>0.953 SOL</t>
        </is>
      </c>
      <c r="G29" s="23" t="inlineStr">
        <is>
          <t>0.440 SOL</t>
        </is>
      </c>
      <c r="H29" s="23" t="inlineStr">
        <is>
          <t>85.96%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30.10.2024 03:38:42</t>
        </is>
      </c>
      <c r="M29" s="20" t="inlineStr">
        <is>
          <t>14 min</t>
        </is>
      </c>
      <c r="N29" s="20" t="inlineStr">
        <is>
          <t xml:space="preserve">        N/A           N/A           N/A</t>
        </is>
      </c>
      <c r="O29" s="20" t="inlineStr">
        <is>
          <t>25kNRTvApNyae6dhhxzghur1j7rQC5cTif37ed8dRutU</t>
        </is>
      </c>
      <c r="P29" s="20">
        <f>HYPERLINK("https://photon-sol.tinyastro.io/en/lp/25kNRTvApNyae6dhhxzghur1j7rQC5cTif37ed8dRutU?handle=676050794bc1b1657a56b", "View")</f>
        <v/>
      </c>
    </row>
    <row r="30">
      <c r="A30" s="15" t="inlineStr">
        <is>
          <t>Harper</t>
        </is>
      </c>
      <c r="B30" s="16" t="n">
        <v>11946033</v>
      </c>
      <c r="C30" s="16" t="n">
        <v>11946033</v>
      </c>
      <c r="D30" s="16" t="inlineStr">
        <is>
          <t>0.000460</t>
        </is>
      </c>
      <c r="E30" s="16" t="inlineStr">
        <is>
          <t>0.979 SOL</t>
        </is>
      </c>
      <c r="F30" s="16" t="inlineStr">
        <is>
          <t>1.304 SOL</t>
        </is>
      </c>
      <c r="G30" s="22" t="inlineStr">
        <is>
          <t>0.325 SOL</t>
        </is>
      </c>
      <c r="H30" s="22" t="inlineStr">
        <is>
          <t>33.15%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30.10.2024 03:03:40</t>
        </is>
      </c>
      <c r="M30" s="16" t="inlineStr">
        <is>
          <t>1 min</t>
        </is>
      </c>
      <c r="N30" s="16" t="inlineStr">
        <is>
          <t xml:space="preserve">         14K            19K             5K</t>
        </is>
      </c>
      <c r="O30" s="16" t="inlineStr">
        <is>
          <t>5NB4FBX56fJhZXc5WHtH4tHDjZ4KsHQkBSgfc3jwpump</t>
        </is>
      </c>
      <c r="P30" s="16">
        <f>HYPERLINK("https://photon-sol.tinyastro.io/en/lp/5NB4FBX56fJhZXc5WHtH4tHDjZ4KsHQkBSgfc3jwpump?handle=676050794bc1b1657a56b", "View")</f>
        <v/>
      </c>
    </row>
    <row r="31">
      <c r="A31" s="19" t="inlineStr">
        <is>
          <t>Dogeween</t>
        </is>
      </c>
      <c r="B31" s="20" t="n">
        <v>3872431</v>
      </c>
      <c r="C31" s="20" t="n">
        <v>3872431</v>
      </c>
      <c r="D31" s="20" t="inlineStr">
        <is>
          <t>0.000460</t>
        </is>
      </c>
      <c r="E31" s="20" t="inlineStr">
        <is>
          <t>0.523 SOL</t>
        </is>
      </c>
      <c r="F31" s="20" t="inlineStr">
        <is>
          <t>0.233 SOL</t>
        </is>
      </c>
      <c r="G31" s="24" t="inlineStr">
        <is>
          <t>-0.290 SOL</t>
        </is>
      </c>
      <c r="H31" s="24" t="inlineStr">
        <is>
          <t>-55.49%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30.10.2024 03:01:47</t>
        </is>
      </c>
      <c r="M31" s="20" t="inlineStr">
        <is>
          <t>3 min</t>
        </is>
      </c>
      <c r="N31" s="20" t="inlineStr">
        <is>
          <t xml:space="preserve">         25K            11K             6K</t>
        </is>
      </c>
      <c r="O31" s="20" t="inlineStr">
        <is>
          <t>AiZnc3sW6nevSEEw7VQKFnBsrLuHbxMa6SeWvCumpump</t>
        </is>
      </c>
      <c r="P31" s="20">
        <f>HYPERLINK("https://photon-sol.tinyastro.io/en/lp/AiZnc3sW6nevSEEw7VQKFnBsrLuHbxMa6SeWvCumpump?handle=676050794bc1b1657a56b", "View")</f>
        <v/>
      </c>
    </row>
    <row r="32">
      <c r="A32" s="15" t="inlineStr">
        <is>
          <t>TEE</t>
        </is>
      </c>
      <c r="B32" s="16" t="n">
        <v>2435980</v>
      </c>
      <c r="C32" s="16" t="n">
        <v>2435980</v>
      </c>
      <c r="D32" s="16" t="inlineStr">
        <is>
          <t>0.007740</t>
        </is>
      </c>
      <c r="E32" s="16" t="inlineStr">
        <is>
          <t>0.566 SOL</t>
        </is>
      </c>
      <c r="F32" s="16" t="inlineStr">
        <is>
          <t>0.599 SOL</t>
        </is>
      </c>
      <c r="G32" s="22" t="inlineStr">
        <is>
          <t>0.025 SOL</t>
        </is>
      </c>
      <c r="H32" s="22" t="inlineStr">
        <is>
          <t>4.38%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30.10.2024 02:12:55</t>
        </is>
      </c>
      <c r="M32" s="16" t="inlineStr">
        <is>
          <t>2 min</t>
        </is>
      </c>
      <c r="N32" s="16" t="inlineStr">
        <is>
          <t xml:space="preserve">         40K            44K            53K</t>
        </is>
      </c>
      <c r="O32" s="16" t="inlineStr">
        <is>
          <t>4sAPg3M6bEHrNinqfvfdSTAzCvmaG5Ao799bAt3Bpump</t>
        </is>
      </c>
      <c r="P32" s="16">
        <f>HYPERLINK("https://photon-sol.tinyastro.io/en/lp/4sAPg3M6bEHrNinqfvfdSTAzCvmaG5Ao799bAt3Bpump?handle=676050794bc1b1657a56b", "View")</f>
        <v/>
      </c>
    </row>
    <row r="33">
      <c r="A33" s="19" t="inlineStr">
        <is>
          <t>Trina</t>
        </is>
      </c>
      <c r="B33" s="20" t="n">
        <v>3291745</v>
      </c>
      <c r="C33" s="20" t="n">
        <v>3291745</v>
      </c>
      <c r="D33" s="20" t="inlineStr">
        <is>
          <t>0.007970</t>
        </is>
      </c>
      <c r="E33" s="20" t="inlineStr">
        <is>
          <t>1.500 SOL</t>
        </is>
      </c>
      <c r="F33" s="20" t="inlineStr">
        <is>
          <t>1.133 SOL</t>
        </is>
      </c>
      <c r="G33" s="21" t="inlineStr">
        <is>
          <t>-0.375 SOL</t>
        </is>
      </c>
      <c r="H33" s="21" t="inlineStr">
        <is>
          <t>-24.85%</t>
        </is>
      </c>
      <c r="I33" s="20" t="inlineStr">
        <is>
          <t>N/A</t>
        </is>
      </c>
      <c r="J33" s="20" t="n">
        <v>2</v>
      </c>
      <c r="K33" s="20" t="n">
        <v>1</v>
      </c>
      <c r="L33" s="20" t="inlineStr">
        <is>
          <t>29.10.2024 13:31:26</t>
        </is>
      </c>
      <c r="M33" s="20" t="inlineStr">
        <is>
          <t>2 min</t>
        </is>
      </c>
      <c r="N33" s="20" t="inlineStr">
        <is>
          <t xml:space="preserve">         68K            60K             4K</t>
        </is>
      </c>
      <c r="O33" s="20" t="inlineStr">
        <is>
          <t>DirQ7FDi1C5SZCy8ai1GTSvnm9o8MDf9s4C4cExzpump</t>
        </is>
      </c>
      <c r="P33" s="20">
        <f>HYPERLINK("https://dexscreener.com/solana/DirQ7FDi1C5SZCy8ai1GTSvnm9o8MDf9s4C4cExzpump", "View")</f>
        <v/>
      </c>
    </row>
    <row r="34">
      <c r="A34" s="15" t="inlineStr">
        <is>
          <t>RND</t>
        </is>
      </c>
      <c r="B34" s="16" t="n">
        <v>17911058</v>
      </c>
      <c r="C34" s="16" t="n">
        <v>17911058</v>
      </c>
      <c r="D34" s="16" t="inlineStr">
        <is>
          <t>0.000460</t>
        </is>
      </c>
      <c r="E34" s="16" t="inlineStr">
        <is>
          <t>1.000 SOL</t>
        </is>
      </c>
      <c r="F34" s="16" t="inlineStr">
        <is>
          <t>0.966 SOL</t>
        </is>
      </c>
      <c r="G34" s="21" t="inlineStr">
        <is>
          <t>-0.035 SOL</t>
        </is>
      </c>
      <c r="H34" s="21" t="inlineStr">
        <is>
          <t>-3.47%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29.10.2024 12:33:40</t>
        </is>
      </c>
      <c r="M34" s="18" t="inlineStr">
        <is>
          <t>51 sec</t>
        </is>
      </c>
      <c r="N34" s="16" t="inlineStr">
        <is>
          <t xml:space="preserve">         11K             9K             5K</t>
        </is>
      </c>
      <c r="O34" s="16" t="inlineStr">
        <is>
          <t>HXghgxNunAo1LdzG3edWDY1QdiXAr7Szhr8JN91jpump</t>
        </is>
      </c>
      <c r="P34" s="16">
        <f>HYPERLINK("https://dexscreener.com/solana/HXghgxNunAo1LdzG3edWDY1QdiXAr7Szhr8JN91jpump", "View")</f>
        <v/>
      </c>
    </row>
    <row r="35">
      <c r="A35" s="19" t="inlineStr">
        <is>
          <t>pollo</t>
        </is>
      </c>
      <c r="B35" s="20" t="n">
        <v>6213184</v>
      </c>
      <c r="C35" s="20" t="n">
        <v>6213184</v>
      </c>
      <c r="D35" s="20" t="inlineStr">
        <is>
          <t>0.015240</t>
        </is>
      </c>
      <c r="E35" s="20" t="inlineStr">
        <is>
          <t>0.541 SOL</t>
        </is>
      </c>
      <c r="F35" s="20" t="inlineStr">
        <is>
          <t>1.350 SOL</t>
        </is>
      </c>
      <c r="G35" s="23" t="inlineStr">
        <is>
          <t>0.794 SOL</t>
        </is>
      </c>
      <c r="H35" s="23" t="inlineStr">
        <is>
          <t>142.85%</t>
        </is>
      </c>
      <c r="I35" s="20" t="inlineStr">
        <is>
          <t>N/A</t>
        </is>
      </c>
      <c r="J35" s="20" t="n">
        <v>1</v>
      </c>
      <c r="K35" s="20" t="n">
        <v>2</v>
      </c>
      <c r="L35" s="20" t="inlineStr">
        <is>
          <t>29.10.2024 11:25:25</t>
        </is>
      </c>
      <c r="M35" s="20" t="inlineStr">
        <is>
          <t>10 min</t>
        </is>
      </c>
      <c r="N35" s="20" t="inlineStr">
        <is>
          <t xml:space="preserve">         16K            49K             3K</t>
        </is>
      </c>
      <c r="O35" s="20" t="inlineStr">
        <is>
          <t>APKEmreKmZNbov8Qwec7m369eSPj1Nc76mkm8Ph1pump</t>
        </is>
      </c>
      <c r="P35" s="20">
        <f>HYPERLINK("https://photon-sol.tinyastro.io/en/lp/APKEmreKmZNbov8Qwec7m369eSPj1Nc76mkm8Ph1pump?handle=676050794bc1b1657a56b", "View")</f>
        <v/>
      </c>
    </row>
    <row r="36">
      <c r="A36" s="15" t="inlineStr">
        <is>
          <t>ascii</t>
        </is>
      </c>
      <c r="B36" s="16" t="n">
        <v>62880268</v>
      </c>
      <c r="C36" s="16" t="n">
        <v>62880268</v>
      </c>
      <c r="D36" s="16" t="inlineStr">
        <is>
          <t>0.008430</t>
        </is>
      </c>
      <c r="E36" s="16" t="inlineStr">
        <is>
          <t>2.139 SOL</t>
        </is>
      </c>
      <c r="F36" s="16" t="inlineStr">
        <is>
          <t>4.407 SOL</t>
        </is>
      </c>
      <c r="G36" s="23" t="inlineStr">
        <is>
          <t>2.260 SOL</t>
        </is>
      </c>
      <c r="H36" s="23" t="inlineStr">
        <is>
          <t>105.24%</t>
        </is>
      </c>
      <c r="I36" s="16" t="inlineStr">
        <is>
          <t>N/A</t>
        </is>
      </c>
      <c r="J36" s="16" t="n">
        <v>2</v>
      </c>
      <c r="K36" s="16" t="n">
        <v>3</v>
      </c>
      <c r="L36" s="16" t="inlineStr">
        <is>
          <t>29.10.2024 10:52:50</t>
        </is>
      </c>
      <c r="M36" s="16" t="inlineStr">
        <is>
          <t>1 days</t>
        </is>
      </c>
      <c r="N36" s="16" t="inlineStr">
        <is>
          <t xml:space="preserve">          5K            19K             4K</t>
        </is>
      </c>
      <c r="O36" s="16" t="inlineStr">
        <is>
          <t>BV5zA1JaGyXEZp79hnkEDnBQTmpPv4LRu8rkC4Xepump</t>
        </is>
      </c>
      <c r="P36" s="16">
        <f>HYPERLINK("https://photon-sol.tinyastro.io/en/lp/BV5zA1JaGyXEZp79hnkEDnBQTmpPv4LRu8rkC4Xepump?handle=676050794bc1b1657a56b", "View")</f>
        <v/>
      </c>
    </row>
    <row r="37">
      <c r="A37" s="19" t="inlineStr">
        <is>
          <t>KE</t>
        </is>
      </c>
      <c r="B37" s="20" t="n">
        <v>19849085</v>
      </c>
      <c r="C37" s="20" t="n">
        <v>19849085</v>
      </c>
      <c r="D37" s="20" t="inlineStr">
        <is>
          <t>0.031170</t>
        </is>
      </c>
      <c r="E37" s="20" t="inlineStr">
        <is>
          <t>2.300 SOL</t>
        </is>
      </c>
      <c r="F37" s="20" t="inlineStr">
        <is>
          <t>2.723 SOL</t>
        </is>
      </c>
      <c r="G37" s="22" t="inlineStr">
        <is>
          <t>0.392 SOL</t>
        </is>
      </c>
      <c r="H37" s="22" t="inlineStr">
        <is>
          <t>16.82%</t>
        </is>
      </c>
      <c r="I37" s="20" t="inlineStr">
        <is>
          <t>N/A</t>
        </is>
      </c>
      <c r="J37" s="20" t="n">
        <v>5</v>
      </c>
      <c r="K37" s="20" t="n">
        <v>4</v>
      </c>
      <c r="L37" s="20" t="inlineStr">
        <is>
          <t>29.10.2024 10:52:37</t>
        </is>
      </c>
      <c r="M37" s="20" t="inlineStr">
        <is>
          <t>4 days</t>
        </is>
      </c>
      <c r="N37" s="20" t="inlineStr">
        <is>
          <t xml:space="preserve">         12K            28K             6K</t>
        </is>
      </c>
      <c r="O37" s="20" t="inlineStr">
        <is>
          <t>9AsGopRU4pYi2kJVKKVXeT5KXCpf5qfvVvVXsJdqpump</t>
        </is>
      </c>
      <c r="P37" s="20">
        <f>HYPERLINK("https://dexscreener.com/solana/9AsGopRU4pYi2kJVKKVXeT5KXCpf5qfvVvVXsJdqpump", "View")</f>
        <v/>
      </c>
    </row>
    <row r="38">
      <c r="A38" s="15" t="inlineStr">
        <is>
          <t>Textural</t>
        </is>
      </c>
      <c r="B38" s="16" t="n">
        <v>12626686</v>
      </c>
      <c r="C38" s="16" t="n">
        <v>12626686</v>
      </c>
      <c r="D38" s="16" t="inlineStr">
        <is>
          <t>0.008660</t>
        </is>
      </c>
      <c r="E38" s="16" t="inlineStr">
        <is>
          <t>1.300 SOL</t>
        </is>
      </c>
      <c r="F38" s="16" t="inlineStr">
        <is>
          <t>1.318 SOL</t>
        </is>
      </c>
      <c r="G38" s="22" t="inlineStr">
        <is>
          <t>0.009 SOL</t>
        </is>
      </c>
      <c r="H38" s="22" t="inlineStr">
        <is>
          <t>0.70%</t>
        </is>
      </c>
      <c r="I38" s="16" t="inlineStr">
        <is>
          <t>N/A</t>
        </is>
      </c>
      <c r="J38" s="16" t="n">
        <v>3</v>
      </c>
      <c r="K38" s="16" t="n">
        <v>3</v>
      </c>
      <c r="L38" s="16" t="inlineStr">
        <is>
          <t>29.10.2024 10:52:29</t>
        </is>
      </c>
      <c r="M38" s="16" t="inlineStr">
        <is>
          <t>4 days</t>
        </is>
      </c>
      <c r="N38" s="16" t="inlineStr">
        <is>
          <t xml:space="preserve">         12K            51K             8K</t>
        </is>
      </c>
      <c r="O38" s="16" t="inlineStr">
        <is>
          <t>GKfNarpWZNZQqM1fC8MfiDAHAG1MKDYKF9iXjxE4pump</t>
        </is>
      </c>
      <c r="P38" s="16">
        <f>HYPERLINK("https://dexscreener.com/solana/GKfNarpWZNZQqM1fC8MfiDAHAG1MKDYKF9iXjxE4pump", "View")</f>
        <v/>
      </c>
    </row>
    <row r="39">
      <c r="A39" s="19" t="inlineStr">
        <is>
          <t>TITO</t>
        </is>
      </c>
      <c r="B39" s="20" t="n">
        <v>2930525</v>
      </c>
      <c r="C39" s="20" t="n">
        <v>2930525</v>
      </c>
      <c r="D39" s="20" t="inlineStr">
        <is>
          <t>0.007740</t>
        </is>
      </c>
      <c r="E39" s="20" t="inlineStr">
        <is>
          <t>0.500 SOL</t>
        </is>
      </c>
      <c r="F39" s="20" t="inlineStr">
        <is>
          <t>0.425 SOL</t>
        </is>
      </c>
      <c r="G39" s="21" t="inlineStr">
        <is>
          <t>-0.082 SOL</t>
        </is>
      </c>
      <c r="H39" s="21" t="inlineStr">
        <is>
          <t>-16.20%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29.10.2024 09:20:30</t>
        </is>
      </c>
      <c r="M39" s="20" t="inlineStr">
        <is>
          <t>4 min</t>
        </is>
      </c>
      <c r="N39" s="20" t="inlineStr">
        <is>
          <t xml:space="preserve">         30K            26K             9K</t>
        </is>
      </c>
      <c r="O39" s="20" t="inlineStr">
        <is>
          <t>5UjbS1bECmQo7B5f817151ctvWskB92aDqu9drsipump</t>
        </is>
      </c>
      <c r="P39" s="20">
        <f>HYPERLINK("https://dexscreener.com/solana/5UjbS1bECmQo7B5f817151ctvWskB92aDqu9drsipump", "View")</f>
        <v/>
      </c>
    </row>
    <row r="40">
      <c r="A40" s="15" t="inlineStr">
        <is>
          <t>TITO</t>
        </is>
      </c>
      <c r="B40" s="16" t="n">
        <v>9245541</v>
      </c>
      <c r="C40" s="16" t="n">
        <v>9245541</v>
      </c>
      <c r="D40" s="16" t="inlineStr">
        <is>
          <t>0.000460</t>
        </is>
      </c>
      <c r="E40" s="16" t="inlineStr">
        <is>
          <t>1.004 SOL</t>
        </is>
      </c>
      <c r="F40" s="16" t="inlineStr">
        <is>
          <t>1.180 SOL</t>
        </is>
      </c>
      <c r="G40" s="22" t="inlineStr">
        <is>
          <t>0.176 SOL</t>
        </is>
      </c>
      <c r="H40" s="22" t="inlineStr">
        <is>
          <t>17.51%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29.10.2024 09:15:05</t>
        </is>
      </c>
      <c r="M40" s="18" t="inlineStr">
        <is>
          <t>19 sec</t>
        </is>
      </c>
      <c r="N40" s="16" t="inlineStr">
        <is>
          <t xml:space="preserve">         19K            23K             5K</t>
        </is>
      </c>
      <c r="O40" s="16" t="inlineStr">
        <is>
          <t>ADxgndVDHgcoNuyMUNTgMtFXJejP4tEW1xLBv1Fvpump</t>
        </is>
      </c>
      <c r="P40" s="16">
        <f>HYPERLINK("https://photon-sol.tinyastro.io/en/lp/ADxgndVDHgcoNuyMUNTgMtFXJejP4tEW1xLBv1Fvpump?handle=676050794bc1b1657a56b", "View")</f>
        <v/>
      </c>
    </row>
    <row r="41">
      <c r="A41" s="19" t="inlineStr">
        <is>
          <t>ELIZA</t>
        </is>
      </c>
      <c r="B41" s="20" t="n">
        <v>1561847</v>
      </c>
      <c r="C41" s="20" t="n">
        <v>1561847</v>
      </c>
      <c r="D41" s="20" t="inlineStr">
        <is>
          <t>0.000460</t>
        </is>
      </c>
      <c r="E41" s="20" t="inlineStr">
        <is>
          <t>0.500 SOL</t>
        </is>
      </c>
      <c r="F41" s="20" t="inlineStr">
        <is>
          <t>0.388 SOL</t>
        </is>
      </c>
      <c r="G41" s="21" t="inlineStr">
        <is>
          <t>-0.112 SOL</t>
        </is>
      </c>
      <c r="H41" s="21" t="inlineStr">
        <is>
          <t>-22.44%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29.10.2024 09:07:50</t>
        </is>
      </c>
      <c r="M41" s="18" t="inlineStr">
        <is>
          <t>56 sec</t>
        </is>
      </c>
      <c r="N41" s="20" t="inlineStr">
        <is>
          <t xml:space="preserve">         56K            44K            14K</t>
        </is>
      </c>
      <c r="O41" s="20" t="inlineStr">
        <is>
          <t>Nt1Ge7ek3HzUHdXJQYbg9jYkRbkJGH68R1cRL8Ppump</t>
        </is>
      </c>
      <c r="P41" s="20">
        <f>HYPERLINK("https://dexscreener.com/solana/Nt1Ge7ek3HzUHdXJQYbg9jYkRbkJGH68R1cRL8Ppump", "View")</f>
        <v/>
      </c>
    </row>
    <row r="42">
      <c r="A42" s="15" t="inlineStr">
        <is>
          <t>69</t>
        </is>
      </c>
      <c r="B42" s="16" t="n">
        <v>3072920</v>
      </c>
      <c r="C42" s="16" t="n">
        <v>0</v>
      </c>
      <c r="D42" s="16" t="inlineStr">
        <is>
          <t>0.007510</t>
        </is>
      </c>
      <c r="E42" s="16" t="inlineStr">
        <is>
          <t>1.000 SOL</t>
        </is>
      </c>
      <c r="F42" s="16" t="inlineStr">
        <is>
          <t>0.000 SOL</t>
        </is>
      </c>
      <c r="G42" s="17" t="inlineStr">
        <is>
          <t>-1.008 SOL</t>
        </is>
      </c>
      <c r="H42" s="17" t="inlineStr">
        <is>
          <t>0.00%</t>
        </is>
      </c>
      <c r="I42" s="16" t="inlineStr">
        <is>
          <t>3,072,920</t>
        </is>
      </c>
      <c r="J42" s="16" t="n">
        <v>1</v>
      </c>
      <c r="K42" s="16" t="n">
        <v>0</v>
      </c>
      <c r="L42" s="16" t="inlineStr">
        <is>
          <t>29.10.2024 08:40:56</t>
        </is>
      </c>
      <c r="M42" s="18" t="inlineStr">
        <is>
          <t>0 sec</t>
        </is>
      </c>
      <c r="N42" s="16" t="inlineStr">
        <is>
          <t xml:space="preserve">         58K            58K            53K</t>
        </is>
      </c>
      <c r="O42" s="16" t="inlineStr">
        <is>
          <t>7dkVt5LvwDxvQdghkxrWcQdT4tk7ixTREGLkKzURTjTS</t>
        </is>
      </c>
      <c r="P42" s="16">
        <f>HYPERLINK("https://dexscreener.com/solana/7dkVt5LvwDxvQdghkxrWcQdT4tk7ixTREGLkKzURTjTS", "View")</f>
        <v/>
      </c>
    </row>
    <row r="43">
      <c r="A43" s="19" t="inlineStr">
        <is>
          <t>ETERNAL</t>
        </is>
      </c>
      <c r="B43" s="20" t="n">
        <v>3347983</v>
      </c>
      <c r="C43" s="20" t="n">
        <v>3347983</v>
      </c>
      <c r="D43" s="20" t="inlineStr">
        <is>
          <t>0.008200</t>
        </is>
      </c>
      <c r="E43" s="20" t="inlineStr">
        <is>
          <t>1.005 SOL</t>
        </is>
      </c>
      <c r="F43" s="20" t="inlineStr">
        <is>
          <t>2.764 SOL</t>
        </is>
      </c>
      <c r="G43" s="23" t="inlineStr">
        <is>
          <t>1.751 SOL</t>
        </is>
      </c>
      <c r="H43" s="23" t="inlineStr">
        <is>
          <t>172.75%</t>
        </is>
      </c>
      <c r="I43" s="20" t="inlineStr">
        <is>
          <t>N/A</t>
        </is>
      </c>
      <c r="J43" s="20" t="n">
        <v>2</v>
      </c>
      <c r="K43" s="20" t="n">
        <v>2</v>
      </c>
      <c r="L43" s="20" t="inlineStr">
        <is>
          <t>29.10.2024 07:57:01</t>
        </is>
      </c>
      <c r="M43" s="20" t="inlineStr">
        <is>
          <t>8 min</t>
        </is>
      </c>
      <c r="N43" s="20" t="inlineStr">
        <is>
          <t xml:space="preserve">         49K           170K            13K</t>
        </is>
      </c>
      <c r="O43" s="20" t="inlineStr">
        <is>
          <t>4L4FU9jwtMdCzbQ7VLY8xetqVsJa8TBu5LgBwp9dpump</t>
        </is>
      </c>
      <c r="P43" s="20">
        <f>HYPERLINK("https://photon-sol.tinyastro.io/en/lp/4L4FU9jwtMdCzbQ7VLY8xetqVsJa8TBu5LgBwp9dpump?handle=676050794bc1b1657a56b", "View")</f>
        <v/>
      </c>
    </row>
    <row r="44">
      <c r="A44" s="15" t="inlineStr">
        <is>
          <t>RNA</t>
        </is>
      </c>
      <c r="B44" s="16" t="n">
        <v>1072904</v>
      </c>
      <c r="C44" s="16" t="n">
        <v>1072904</v>
      </c>
      <c r="D44" s="16" t="inlineStr">
        <is>
          <t>0.000920</t>
        </is>
      </c>
      <c r="E44" s="16" t="inlineStr">
        <is>
          <t>0.800 SOL</t>
        </is>
      </c>
      <c r="F44" s="16" t="inlineStr">
        <is>
          <t>0.703 SOL</t>
        </is>
      </c>
      <c r="G44" s="21" t="inlineStr">
        <is>
          <t>-0.098 SOL</t>
        </is>
      </c>
      <c r="H44" s="21" t="inlineStr">
        <is>
          <t>-12.21%</t>
        </is>
      </c>
      <c r="I44" s="16" t="inlineStr">
        <is>
          <t>N/A</t>
        </is>
      </c>
      <c r="J44" s="16" t="n">
        <v>2</v>
      </c>
      <c r="K44" s="16" t="n">
        <v>2</v>
      </c>
      <c r="L44" s="16" t="inlineStr">
        <is>
          <t>29.10.2024 06:53:21</t>
        </is>
      </c>
      <c r="M44" s="16" t="inlineStr">
        <is>
          <t>24 min</t>
        </is>
      </c>
      <c r="N44" s="16" t="inlineStr">
        <is>
          <t xml:space="preserve">        146K            74K             6K</t>
        </is>
      </c>
      <c r="O44" s="16" t="inlineStr">
        <is>
          <t>BnCdcooM2rBFj5PqouWsqZ8ke2QpbRW8adfoejuYpump</t>
        </is>
      </c>
      <c r="P44" s="16">
        <f>HYPERLINK("https://dexscreener.com/solana/BnCdcooM2rBFj5PqouWsqZ8ke2QpbRW8adfoejuYpump", "View")</f>
        <v/>
      </c>
    </row>
    <row r="45">
      <c r="A45" s="19" t="inlineStr">
        <is>
          <t>BUTTERBEAR</t>
        </is>
      </c>
      <c r="B45" s="20" t="n">
        <v>7482487</v>
      </c>
      <c r="C45" s="20" t="n">
        <v>223199</v>
      </c>
      <c r="D45" s="20" t="inlineStr">
        <is>
          <t>0.003600</t>
        </is>
      </c>
      <c r="E45" s="20" t="inlineStr">
        <is>
          <t>5.300 SOL</t>
        </is>
      </c>
      <c r="F45" s="20" t="inlineStr">
        <is>
          <t>0.286 SOL</t>
        </is>
      </c>
      <c r="G45" s="24" t="inlineStr">
        <is>
          <t>-5.018 SOL</t>
        </is>
      </c>
      <c r="H45" s="24" t="inlineStr">
        <is>
          <t>-94.61%</t>
        </is>
      </c>
      <c r="I45" s="20" t="inlineStr">
        <is>
          <t>N/A</t>
        </is>
      </c>
      <c r="J45" s="20" t="n">
        <v>7</v>
      </c>
      <c r="K45" s="20" t="n">
        <v>1</v>
      </c>
      <c r="L45" s="20" t="inlineStr">
        <is>
          <t>29.10.2024 05:43:30</t>
        </is>
      </c>
      <c r="M45" s="20" t="inlineStr">
        <is>
          <t>3 days</t>
        </is>
      </c>
      <c r="N45" s="20" t="inlineStr">
        <is>
          <t xml:space="preserve">         83K           235K           138K</t>
        </is>
      </c>
      <c r="O45" s="20" t="inlineStr">
        <is>
          <t>HxBxPZ8CXi1BeGj1hNHoBCbHdL4UiT2zZJrjQtivpump</t>
        </is>
      </c>
      <c r="P45" s="20">
        <f>HYPERLINK("https://dexscreener.com/solana/HxBxPZ8CXi1BeGj1hNHoBCbHdL4UiT2zZJrjQtivpump", "View")</f>
        <v/>
      </c>
    </row>
    <row r="46">
      <c r="A46" s="15" t="inlineStr">
        <is>
          <t>Light</t>
        </is>
      </c>
      <c r="B46" s="16" t="n">
        <v>10179407</v>
      </c>
      <c r="C46" s="16" t="n">
        <v>10179407</v>
      </c>
      <c r="D46" s="16" t="inlineStr">
        <is>
          <t>0.007970</t>
        </is>
      </c>
      <c r="E46" s="16" t="inlineStr">
        <is>
          <t>1.029 SOL</t>
        </is>
      </c>
      <c r="F46" s="16" t="inlineStr">
        <is>
          <t>1.136 SOL</t>
        </is>
      </c>
      <c r="G46" s="22" t="inlineStr">
        <is>
          <t>0.099 SOL</t>
        </is>
      </c>
      <c r="H46" s="22" t="inlineStr">
        <is>
          <t>9.55%</t>
        </is>
      </c>
      <c r="I46" s="16" t="inlineStr">
        <is>
          <t>N/A</t>
        </is>
      </c>
      <c r="J46" s="16" t="n">
        <v>2</v>
      </c>
      <c r="K46" s="16" t="n">
        <v>1</v>
      </c>
      <c r="L46" s="16" t="inlineStr">
        <is>
          <t>29.10.2024 03:48:55</t>
        </is>
      </c>
      <c r="M46" s="16" t="inlineStr">
        <is>
          <t>1 hours</t>
        </is>
      </c>
      <c r="N46" s="16" t="inlineStr">
        <is>
          <t xml:space="preserve">         18K            19K             8K</t>
        </is>
      </c>
      <c r="O46" s="16" t="inlineStr">
        <is>
          <t>39em8VjnwBw8LDU31jsmuh2JWGET9vNQDDZMYrcDpump</t>
        </is>
      </c>
      <c r="P46" s="16">
        <f>HYPERLINK("https://photon-sol.tinyastro.io/en/lp/39em8VjnwBw8LDU31jsmuh2JWGET9vNQDDZMYrcDpump?handle=676050794bc1b1657a56b", "View")</f>
        <v/>
      </c>
    </row>
    <row r="47">
      <c r="A47" s="19" t="inlineStr">
        <is>
          <t>BIG</t>
        </is>
      </c>
      <c r="B47" s="20" t="n">
        <v>28712554</v>
      </c>
      <c r="C47" s="20" t="n">
        <v>28712554</v>
      </c>
      <c r="D47" s="20" t="inlineStr">
        <is>
          <t>0.000460</t>
        </is>
      </c>
      <c r="E47" s="20" t="inlineStr">
        <is>
          <t>1.021 SOL</t>
        </is>
      </c>
      <c r="F47" s="20" t="inlineStr">
        <is>
          <t>0.875 SOL</t>
        </is>
      </c>
      <c r="G47" s="21" t="inlineStr">
        <is>
          <t>-0.147 SOL</t>
        </is>
      </c>
      <c r="H47" s="21" t="inlineStr">
        <is>
          <t>-14.34%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29.10.2024 02:53:29</t>
        </is>
      </c>
      <c r="M47" s="20" t="inlineStr">
        <is>
          <t>1 days</t>
        </is>
      </c>
      <c r="N47" s="20" t="inlineStr">
        <is>
          <t xml:space="preserve">          7K             7K             5K</t>
        </is>
      </c>
      <c r="O47" s="20" t="inlineStr">
        <is>
          <t>7N81MKr9a2phpe4xfrJgwmdt5AgREtkBcMp1JEwopump</t>
        </is>
      </c>
      <c r="P47" s="20">
        <f>HYPERLINK("https://photon-sol.tinyastro.io/en/lp/7N81MKr9a2phpe4xfrJgwmdt5AgREtkBcMp1JEwopump?handle=676050794bc1b1657a56b", "View")</f>
        <v/>
      </c>
    </row>
    <row r="48">
      <c r="A48" s="15" t="inlineStr">
        <is>
          <t>IB</t>
        </is>
      </c>
      <c r="B48" s="16" t="n">
        <v>100568</v>
      </c>
      <c r="C48" s="16" t="n">
        <v>100568</v>
      </c>
      <c r="D48" s="16" t="inlineStr">
        <is>
          <t>0.007740</t>
        </is>
      </c>
      <c r="E48" s="16" t="inlineStr">
        <is>
          <t>1.000 SOL</t>
        </is>
      </c>
      <c r="F48" s="16" t="inlineStr">
        <is>
          <t>1.132 SOL</t>
        </is>
      </c>
      <c r="G48" s="22" t="inlineStr">
        <is>
          <t>0.124 SOL</t>
        </is>
      </c>
      <c r="H48" s="22" t="inlineStr">
        <is>
          <t>12.34%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29.10.2024 02:28:20</t>
        </is>
      </c>
      <c r="M48" s="18" t="inlineStr">
        <is>
          <t>16 sec</t>
        </is>
      </c>
      <c r="N48" s="16" t="inlineStr">
        <is>
          <t xml:space="preserve">          2M             2M           347K</t>
        </is>
      </c>
      <c r="O48" s="16" t="inlineStr">
        <is>
          <t>4J5HoZWoKcbo2JQxEEVCKRBfUQtEroY1QdRrKtZFpump</t>
        </is>
      </c>
      <c r="P48" s="16">
        <f>HYPERLINK("https://dexscreener.com/solana/4J5HoZWoKcbo2JQxEEVCKRBfUQtEroY1QdRrKtZFpump", "View")</f>
        <v/>
      </c>
    </row>
    <row r="49">
      <c r="A49" s="19" t="inlineStr">
        <is>
          <t>$CURRY</t>
        </is>
      </c>
      <c r="B49" s="20" t="n">
        <v>3405197</v>
      </c>
      <c r="C49" s="20" t="n">
        <v>3405197</v>
      </c>
      <c r="D49" s="20" t="inlineStr">
        <is>
          <t>0.000460</t>
        </is>
      </c>
      <c r="E49" s="20" t="inlineStr">
        <is>
          <t>1.000 SOL</t>
        </is>
      </c>
      <c r="F49" s="20" t="inlineStr">
        <is>
          <t>0.872 SOL</t>
        </is>
      </c>
      <c r="G49" s="21" t="inlineStr">
        <is>
          <t>-0.129 SOL</t>
        </is>
      </c>
      <c r="H49" s="21" t="inlineStr">
        <is>
          <t>-12.88%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29.10.2024 01:11:03</t>
        </is>
      </c>
      <c r="M49" s="18" t="inlineStr">
        <is>
          <t>19 sec</t>
        </is>
      </c>
      <c r="N49" s="20" t="inlineStr">
        <is>
          <t xml:space="preserve">         51K            46K             4K</t>
        </is>
      </c>
      <c r="O49" s="20" t="inlineStr">
        <is>
          <t>7ZQsdZeg2pC97B5q26hPNcZtdwtV56MZvZ3NUPNEpump</t>
        </is>
      </c>
      <c r="P49" s="20">
        <f>HYPERLINK("https://dexscreener.com/solana/7ZQsdZeg2pC97B5q26hPNcZtdwtV56MZvZ3NUPNEpump", "View")</f>
        <v/>
      </c>
    </row>
    <row r="50">
      <c r="A50" s="15" t="inlineStr">
        <is>
          <t>Fuego</t>
        </is>
      </c>
      <c r="B50" s="16" t="n">
        <v>24254291</v>
      </c>
      <c r="C50" s="16" t="n">
        <v>24254291</v>
      </c>
      <c r="D50" s="16" t="inlineStr">
        <is>
          <t>0.000460</t>
        </is>
      </c>
      <c r="E50" s="16" t="inlineStr">
        <is>
          <t>1.109 SOL</t>
        </is>
      </c>
      <c r="F50" s="16" t="inlineStr">
        <is>
          <t>1.253 SOL</t>
        </is>
      </c>
      <c r="G50" s="22" t="inlineStr">
        <is>
          <t>0.144 SOL</t>
        </is>
      </c>
      <c r="H50" s="22" t="inlineStr">
        <is>
          <t>12.97%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28.10.2024 17:39:13</t>
        </is>
      </c>
      <c r="M50" s="16" t="inlineStr">
        <is>
          <t>20 min</t>
        </is>
      </c>
      <c r="N50" s="16" t="inlineStr">
        <is>
          <t xml:space="preserve">          9K             9K             5K</t>
        </is>
      </c>
      <c r="O50" s="16" t="inlineStr">
        <is>
          <t>958vHC3T2TLv2ofdCRGvBwbGaLsRXezZoP4XfPbopump</t>
        </is>
      </c>
      <c r="P50" s="16">
        <f>HYPERLINK("https://photon-sol.tinyastro.io/en/lp/958vHC3T2TLv2ofdCRGvBwbGaLsRXezZoP4XfPbopump?handle=676050794bc1b1657a56b", "View")</f>
        <v/>
      </c>
    </row>
    <row r="51">
      <c r="A51" s="19" t="inlineStr">
        <is>
          <t>DilexitNos</t>
        </is>
      </c>
      <c r="B51" s="20" t="n">
        <v>3689698</v>
      </c>
      <c r="C51" s="20" t="n">
        <v>3689698</v>
      </c>
      <c r="D51" s="20" t="inlineStr">
        <is>
          <t>0.000460</t>
        </is>
      </c>
      <c r="E51" s="20" t="inlineStr">
        <is>
          <t>0.512 SOL</t>
        </is>
      </c>
      <c r="F51" s="20" t="inlineStr">
        <is>
          <t>0.273 SOL</t>
        </is>
      </c>
      <c r="G51" s="21" t="inlineStr">
        <is>
          <t>-0.240 SOL</t>
        </is>
      </c>
      <c r="H51" s="21" t="inlineStr">
        <is>
          <t>-46.77%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28.10.2024 16:56:43</t>
        </is>
      </c>
      <c r="M51" s="20" t="inlineStr">
        <is>
          <t>8 min</t>
        </is>
      </c>
      <c r="N51" s="20" t="inlineStr">
        <is>
          <t xml:space="preserve">         25K            25K             5K</t>
        </is>
      </c>
      <c r="O51" s="20" t="inlineStr">
        <is>
          <t>2D2Wuzf72RUHyDhTRhApCPigcCoKXxC9fXmDEY7jpump</t>
        </is>
      </c>
      <c r="P51" s="20">
        <f>HYPERLINK("https://photon-sol.tinyastro.io/en/lp/2D2Wuzf72RUHyDhTRhApCPigcCoKXxC9fXmDEY7jpump?handle=676050794bc1b1657a56b", "View")</f>
        <v/>
      </c>
    </row>
    <row r="52">
      <c r="A52" s="15" t="inlineStr">
        <is>
          <t>LUCE-CHAN</t>
        </is>
      </c>
      <c r="B52" s="16" t="n">
        <v>3564138</v>
      </c>
      <c r="C52" s="16" t="n">
        <v>3564138</v>
      </c>
      <c r="D52" s="16" t="inlineStr">
        <is>
          <t>0.015010</t>
        </is>
      </c>
      <c r="E52" s="16" t="inlineStr">
        <is>
          <t>0.519 SOL</t>
        </is>
      </c>
      <c r="F52" s="16" t="inlineStr">
        <is>
          <t>0.153 SOL</t>
        </is>
      </c>
      <c r="G52" s="24" t="inlineStr">
        <is>
          <t>-0.382 SOL</t>
        </is>
      </c>
      <c r="H52" s="24" t="inlineStr">
        <is>
          <t>-71.44%</t>
        </is>
      </c>
      <c r="I52" s="16" t="inlineStr">
        <is>
          <t>N/A</t>
        </is>
      </c>
      <c r="J52" s="16" t="n">
        <v>1</v>
      </c>
      <c r="K52" s="16" t="n">
        <v>1</v>
      </c>
      <c r="L52" s="16" t="inlineStr">
        <is>
          <t>28.10.2024 16:48:16</t>
        </is>
      </c>
      <c r="M52" s="16" t="inlineStr">
        <is>
          <t>7 min</t>
        </is>
      </c>
      <c r="N52" s="16" t="inlineStr">
        <is>
          <t xml:space="preserve">         26K            26K             5K</t>
        </is>
      </c>
      <c r="O52" s="16" t="inlineStr">
        <is>
          <t>99Acd3qK4d5Zc8ruPXbztVPv7EMqeov1XGEsMLZrpump</t>
        </is>
      </c>
      <c r="P52" s="16">
        <f>HYPERLINK("https://photon-sol.tinyastro.io/en/lp/99Acd3qK4d5Zc8ruPXbztVPv7EMqeov1XGEsMLZrpump?handle=676050794bc1b1657a56b", "View")</f>
        <v/>
      </c>
    </row>
    <row r="53">
      <c r="A53" s="19" t="inlineStr">
        <is>
          <t>SMALL</t>
        </is>
      </c>
      <c r="B53" s="20" t="n">
        <v>1929427</v>
      </c>
      <c r="C53" s="20" t="n">
        <v>1929427</v>
      </c>
      <c r="D53" s="20" t="inlineStr">
        <is>
          <t>0.000460</t>
        </is>
      </c>
      <c r="E53" s="20" t="inlineStr">
        <is>
          <t>0.525 SOL</t>
        </is>
      </c>
      <c r="F53" s="20" t="inlineStr">
        <is>
          <t>0.550 SOL</t>
        </is>
      </c>
      <c r="G53" s="22" t="inlineStr">
        <is>
          <t>0.024 SOL</t>
        </is>
      </c>
      <c r="H53" s="22" t="inlineStr">
        <is>
          <t>4.62%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28.10.2024 15:19:35</t>
        </is>
      </c>
      <c r="M53" s="20" t="inlineStr">
        <is>
          <t>18 min</t>
        </is>
      </c>
      <c r="N53" s="20" t="inlineStr">
        <is>
          <t xml:space="preserve">         47K            47K             3K</t>
        </is>
      </c>
      <c r="O53" s="20" t="inlineStr">
        <is>
          <t>J72ai4yk9i77ArxbnR4rpRnvuHJNXbTG8Uaef9Rtpump</t>
        </is>
      </c>
      <c r="P53" s="20">
        <f>HYPERLINK("https://photon-sol.tinyastro.io/en/lp/J72ai4yk9i77ArxbnR4rpRnvuHJNXbTG8Uaef9Rtpump?handle=676050794bc1b1657a56b", "View")</f>
        <v/>
      </c>
    </row>
    <row r="54">
      <c r="A54" s="15" t="inlineStr">
        <is>
          <t>TV</t>
        </is>
      </c>
      <c r="B54" s="16" t="n">
        <v>7319208</v>
      </c>
      <c r="C54" s="16" t="n">
        <v>7319208</v>
      </c>
      <c r="D54" s="16" t="inlineStr">
        <is>
          <t>0.007740</t>
        </is>
      </c>
      <c r="E54" s="16" t="inlineStr">
        <is>
          <t>1.500 SOL</t>
        </is>
      </c>
      <c r="F54" s="16" t="inlineStr">
        <is>
          <t>3.239 SOL</t>
        </is>
      </c>
      <c r="G54" s="23" t="inlineStr">
        <is>
          <t>1.731 SOL</t>
        </is>
      </c>
      <c r="H54" s="23" t="inlineStr">
        <is>
          <t>114.80%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28.10.2024 13:53:17</t>
        </is>
      </c>
      <c r="M54" s="16" t="inlineStr">
        <is>
          <t>1 hours</t>
        </is>
      </c>
      <c r="N54" s="16" t="inlineStr">
        <is>
          <t xml:space="preserve">         35K            35K            22K</t>
        </is>
      </c>
      <c r="O54" s="16" t="inlineStr">
        <is>
          <t>CLLNTfuCHWAfRzo7utGPcZ6qjcwkDrSVyPVywCUSpump</t>
        </is>
      </c>
      <c r="P54" s="16">
        <f>HYPERLINK("https://dexscreener.com/solana/CLLNTfuCHWAfRzo7utGPcZ6qjcwkDrSVyPVywCUSpump", "View")</f>
        <v/>
      </c>
    </row>
    <row r="55">
      <c r="A55" s="19" t="inlineStr">
        <is>
          <t>SIBU JR</t>
        </is>
      </c>
      <c r="B55" s="20" t="n">
        <v>10183011</v>
      </c>
      <c r="C55" s="20" t="n">
        <v>10183011</v>
      </c>
      <c r="D55" s="20" t="inlineStr">
        <is>
          <t>0.000460</t>
        </is>
      </c>
      <c r="E55" s="20" t="inlineStr">
        <is>
          <t>0.512 SOL</t>
        </is>
      </c>
      <c r="F55" s="20" t="inlineStr">
        <is>
          <t>0.527 SOL</t>
        </is>
      </c>
      <c r="G55" s="22" t="inlineStr">
        <is>
          <t>0.015 SOL</t>
        </is>
      </c>
      <c r="H55" s="22" t="inlineStr">
        <is>
          <t>2.94%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28.10.2024 09:44:06</t>
        </is>
      </c>
      <c r="M55" s="20" t="inlineStr">
        <is>
          <t>1 min</t>
        </is>
      </c>
      <c r="N55" s="20" t="inlineStr">
        <is>
          <t xml:space="preserve">          9K             9K             5K</t>
        </is>
      </c>
      <c r="O55" s="20" t="inlineStr">
        <is>
          <t>3c6EDLmVEWc7a5MX7XGxnTxrA38boKGHotDfM2nppump</t>
        </is>
      </c>
      <c r="P55" s="20">
        <f>HYPERLINK("https://photon-sol.tinyastro.io/en/lp/3c6EDLmVEWc7a5MX7XGxnTxrA38boKGHotDfM2nppump?handle=676050794bc1b1657a56b", "View")</f>
        <v/>
      </c>
    </row>
    <row r="56">
      <c r="A56" s="15" t="inlineStr">
        <is>
          <t>MCSQUARED</t>
        </is>
      </c>
      <c r="B56" s="16" t="n">
        <v>17849525</v>
      </c>
      <c r="C56" s="16" t="n">
        <v>17849525</v>
      </c>
      <c r="D56" s="16" t="inlineStr">
        <is>
          <t>0.000690</t>
        </is>
      </c>
      <c r="E56" s="16" t="inlineStr">
        <is>
          <t>1.031 SOL</t>
        </is>
      </c>
      <c r="F56" s="16" t="inlineStr">
        <is>
          <t>1.213 SOL</t>
        </is>
      </c>
      <c r="G56" s="22" t="inlineStr">
        <is>
          <t>0.181 SOL</t>
        </is>
      </c>
      <c r="H56" s="22" t="inlineStr">
        <is>
          <t>17.52%</t>
        </is>
      </c>
      <c r="I56" s="16" t="inlineStr">
        <is>
          <t>N/A</t>
        </is>
      </c>
      <c r="J56" s="16" t="n">
        <v>2</v>
      </c>
      <c r="K56" s="16" t="n">
        <v>1</v>
      </c>
      <c r="L56" s="16" t="inlineStr">
        <is>
          <t>28.10.2024 07:30:27</t>
        </is>
      </c>
      <c r="M56" s="16" t="inlineStr">
        <is>
          <t>15 min</t>
        </is>
      </c>
      <c r="N56" s="16" t="inlineStr">
        <is>
          <t xml:space="preserve">         11K            12K             5K</t>
        </is>
      </c>
      <c r="O56" s="16" t="inlineStr">
        <is>
          <t>3JoRSinbgYa7UexbT9HxRZEHqgKQnwKxYZX7fG9ppump</t>
        </is>
      </c>
      <c r="P56" s="16">
        <f>HYPERLINK("https://photon-sol.tinyastro.io/en/lp/3JoRSinbgYa7UexbT9HxRZEHqgKQnwKxYZX7fG9ppump?handle=676050794bc1b1657a56b", "View")</f>
        <v/>
      </c>
    </row>
    <row r="57">
      <c r="A57" s="19" t="inlineStr">
        <is>
          <t>docs</t>
        </is>
      </c>
      <c r="B57" s="20" t="n">
        <v>3127651</v>
      </c>
      <c r="C57" s="20" t="n">
        <v>3127651</v>
      </c>
      <c r="D57" s="20" t="inlineStr">
        <is>
          <t>0.000460</t>
        </is>
      </c>
      <c r="E57" s="20" t="inlineStr">
        <is>
          <t>0.517 SOL</t>
        </is>
      </c>
      <c r="F57" s="20" t="inlineStr">
        <is>
          <t>0.461 SOL</t>
        </is>
      </c>
      <c r="G57" s="21" t="inlineStr">
        <is>
          <t>-0.056 SOL</t>
        </is>
      </c>
      <c r="H57" s="21" t="inlineStr">
        <is>
          <t>-10.84%</t>
        </is>
      </c>
      <c r="I57" s="20" t="inlineStr">
        <is>
          <t>N/A</t>
        </is>
      </c>
      <c r="J57" s="20" t="n">
        <v>1</v>
      </c>
      <c r="K57" s="20" t="n">
        <v>1</v>
      </c>
      <c r="L57" s="20" t="inlineStr">
        <is>
          <t>28.10.2024 07:16:43</t>
        </is>
      </c>
      <c r="M57" s="20" t="inlineStr">
        <is>
          <t>7 min</t>
        </is>
      </c>
      <c r="N57" s="20" t="inlineStr">
        <is>
          <t xml:space="preserve">         30K            30K             4K</t>
        </is>
      </c>
      <c r="O57" s="20" t="inlineStr">
        <is>
          <t>CB2mBo5sK2vBUWRRF9WCjxaGpB44AYn4Eeeb82Nbpump</t>
        </is>
      </c>
      <c r="P57" s="20">
        <f>HYPERLINK("https://photon-sol.tinyastro.io/en/lp/CB2mBo5sK2vBUWRRF9WCjxaGpB44AYn4Eeeb82Nbpump?handle=676050794bc1b1657a56b", "View")</f>
        <v/>
      </c>
    </row>
    <row r="58">
      <c r="A58" s="15" t="inlineStr">
        <is>
          <t>Insider</t>
        </is>
      </c>
      <c r="B58" s="16" t="n">
        <v>14059858</v>
      </c>
      <c r="C58" s="16" t="n">
        <v>14059858</v>
      </c>
      <c r="D58" s="16" t="inlineStr">
        <is>
          <t>0.003240</t>
        </is>
      </c>
      <c r="E58" s="16" t="inlineStr">
        <is>
          <t>0.506 SOL</t>
        </is>
      </c>
      <c r="F58" s="16" t="inlineStr">
        <is>
          <t>0.430 SOL</t>
        </is>
      </c>
      <c r="G58" s="21" t="inlineStr">
        <is>
          <t>-0.080 SOL</t>
        </is>
      </c>
      <c r="H58" s="21" t="inlineStr">
        <is>
          <t>-15.60%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28.10.2024 06:20:28</t>
        </is>
      </c>
      <c r="M58" s="16" t="inlineStr">
        <is>
          <t>2 min</t>
        </is>
      </c>
      <c r="N58" s="16" t="inlineStr">
        <is>
          <t xml:space="preserve">          7K             5K             5K</t>
        </is>
      </c>
      <c r="O58" s="16" t="inlineStr">
        <is>
          <t>FBvfY2tLLxajhkgsfZkB1WuSSetPPbxNQcfUixjYpump</t>
        </is>
      </c>
      <c r="P58" s="16">
        <f>HYPERLINK("https://photon-sol.tinyastro.io/en/lp/FBvfY2tLLxajhkgsfZkB1WuSSetPPbxNQcfUixjYpump?handle=676050794bc1b1657a56b", "View")</f>
        <v/>
      </c>
    </row>
    <row r="59">
      <c r="A59" s="19" t="inlineStr">
        <is>
          <t>KOTI</t>
        </is>
      </c>
      <c r="B59" s="20" t="n">
        <v>1546548</v>
      </c>
      <c r="C59" s="20" t="n">
        <v>1546548</v>
      </c>
      <c r="D59" s="20" t="inlineStr">
        <is>
          <t>0.000460</t>
        </is>
      </c>
      <c r="E59" s="20" t="inlineStr">
        <is>
          <t>0.513 SOL</t>
        </is>
      </c>
      <c r="F59" s="20" t="inlineStr">
        <is>
          <t>0.763 SOL</t>
        </is>
      </c>
      <c r="G59" s="22" t="inlineStr">
        <is>
          <t>0.250 SOL</t>
        </is>
      </c>
      <c r="H59" s="22" t="inlineStr">
        <is>
          <t>48.66%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28.10.2024 00:34:05</t>
        </is>
      </c>
      <c r="M59" s="20" t="inlineStr">
        <is>
          <t>9 min</t>
        </is>
      </c>
      <c r="N59" s="20" t="inlineStr">
        <is>
          <t xml:space="preserve">         58K            86K             6K</t>
        </is>
      </c>
      <c r="O59" s="20" t="inlineStr">
        <is>
          <t>EMFU6t7eFsTKVv6UkatPpyDt1bugmMqdfScb6jRipump</t>
        </is>
      </c>
      <c r="P59" s="20">
        <f>HYPERLINK("https://photon-sol.tinyastro.io/en/lp/EMFU6t7eFsTKVv6UkatPpyDt1bugmMqdfScb6jRipump?handle=676050794bc1b1657a56b", "View")</f>
        <v/>
      </c>
    </row>
    <row r="60">
      <c r="A60" s="15" t="inlineStr">
        <is>
          <t>Cybele</t>
        </is>
      </c>
      <c r="B60" s="16" t="n">
        <v>9430116</v>
      </c>
      <c r="C60" s="16" t="n">
        <v>9430116</v>
      </c>
      <c r="D60" s="16" t="inlineStr">
        <is>
          <t>0.003700</t>
        </is>
      </c>
      <c r="E60" s="16" t="inlineStr">
        <is>
          <t>1.500 SOL</t>
        </is>
      </c>
      <c r="F60" s="16" t="inlineStr">
        <is>
          <t>10.066 SOL</t>
        </is>
      </c>
      <c r="G60" s="23" t="inlineStr">
        <is>
          <t>8.563 SOL</t>
        </is>
      </c>
      <c r="H60" s="23" t="inlineStr">
        <is>
          <t>569.45%</t>
        </is>
      </c>
      <c r="I60" s="16" t="inlineStr">
        <is>
          <t>N/A</t>
        </is>
      </c>
      <c r="J60" s="16" t="n">
        <v>2</v>
      </c>
      <c r="K60" s="16" t="n">
        <v>2</v>
      </c>
      <c r="L60" s="16" t="inlineStr">
        <is>
          <t>28.10.2024 00:07:10</t>
        </is>
      </c>
      <c r="M60" s="16" t="inlineStr">
        <is>
          <t>23 hours</t>
        </is>
      </c>
      <c r="N60" s="16" t="inlineStr">
        <is>
          <t xml:space="preserve">         37K            19K           122K</t>
        </is>
      </c>
      <c r="O60" s="16" t="inlineStr">
        <is>
          <t>2m2zsQkktkiC96iMtc8X5nXinscXrgLUvAowXvU3pump</t>
        </is>
      </c>
      <c r="P60" s="16">
        <f>HYPERLINK("https://dexscreener.com/solana/2m2zsQkktkiC96iMtc8X5nXinscXrgLUvAowXvU3pump", "View")</f>
        <v/>
      </c>
    </row>
    <row r="61">
      <c r="A61" s="19" t="inlineStr">
        <is>
          <t>MAYA</t>
        </is>
      </c>
      <c r="B61" s="20" t="n">
        <v>2674795</v>
      </c>
      <c r="C61" s="20" t="n">
        <v>2674795</v>
      </c>
      <c r="D61" s="20" t="inlineStr">
        <is>
          <t>0.000460</t>
        </is>
      </c>
      <c r="E61" s="20" t="inlineStr">
        <is>
          <t>0.515 SOL</t>
        </is>
      </c>
      <c r="F61" s="20" t="inlineStr">
        <is>
          <t>0.437 SOL</t>
        </is>
      </c>
      <c r="G61" s="21" t="inlineStr">
        <is>
          <t>-0.078 SOL</t>
        </is>
      </c>
      <c r="H61" s="21" t="inlineStr">
        <is>
          <t>-15.22%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28.10.2024 00:06:54</t>
        </is>
      </c>
      <c r="M61" s="20" t="inlineStr">
        <is>
          <t>14 min</t>
        </is>
      </c>
      <c r="N61" s="20" t="inlineStr">
        <is>
          <t xml:space="preserve">         33K            28K             5K</t>
        </is>
      </c>
      <c r="O61" s="20" t="inlineStr">
        <is>
          <t>FYfBzx7yFVMhavKDDG1b1ZzCSu14WpWcYjeeG3iVpump</t>
        </is>
      </c>
      <c r="P61" s="20">
        <f>HYPERLINK("https://photon-sol.tinyastro.io/en/lp/FYfBzx7yFVMhavKDDG1b1ZzCSu14WpWcYjeeG3iVpump?handle=676050794bc1b1657a56b", "View")</f>
        <v/>
      </c>
    </row>
    <row r="62">
      <c r="A62" s="15" t="inlineStr">
        <is>
          <t>Emily</t>
        </is>
      </c>
      <c r="B62" s="16" t="n">
        <v>3180308</v>
      </c>
      <c r="C62" s="16" t="n">
        <v>0</v>
      </c>
      <c r="D62" s="16" t="inlineStr">
        <is>
          <t>0.000230</t>
        </is>
      </c>
      <c r="E62" s="16" t="inlineStr">
        <is>
          <t>0.500 SOL</t>
        </is>
      </c>
      <c r="F62" s="16" t="inlineStr">
        <is>
          <t>0.000 SOL</t>
        </is>
      </c>
      <c r="G62" s="17" t="inlineStr">
        <is>
          <t>-0.500 SOL</t>
        </is>
      </c>
      <c r="H62" s="17" t="inlineStr">
        <is>
          <t>0.00%</t>
        </is>
      </c>
      <c r="I62" s="16" t="inlineStr">
        <is>
          <t>3,180,308</t>
        </is>
      </c>
      <c r="J62" s="16" t="n">
        <v>1</v>
      </c>
      <c r="K62" s="16" t="n">
        <v>0</v>
      </c>
      <c r="L62" s="16" t="inlineStr">
        <is>
          <t>27.10.2024 17:10:52</t>
        </is>
      </c>
      <c r="M62" s="18" t="inlineStr">
        <is>
          <t>0 sec</t>
        </is>
      </c>
      <c r="N62" s="16" t="inlineStr">
        <is>
          <t xml:space="preserve">         28K            28K            22K</t>
        </is>
      </c>
      <c r="O62" s="16" t="inlineStr">
        <is>
          <t>8TYUnpKJmMeXfw2feRZJnUzHnzMkXbFK5jfpP6zGpump</t>
        </is>
      </c>
      <c r="P62" s="16">
        <f>HYPERLINK("https://dexscreener.com/solana/8TYUnpKJmMeXfw2feRZJnUzHnzMkXbFK5jfpP6zGpump", "View")</f>
        <v/>
      </c>
    </row>
    <row r="63">
      <c r="A63" s="19" t="inlineStr">
        <is>
          <t xml:space="preserve">Senhora </t>
        </is>
      </c>
      <c r="B63" s="20" t="n">
        <v>75552022</v>
      </c>
      <c r="C63" s="20" t="n">
        <v>75552022</v>
      </c>
      <c r="D63" s="20" t="inlineStr">
        <is>
          <t>0.001380</t>
        </is>
      </c>
      <c r="E63" s="20" t="inlineStr">
        <is>
          <t>3.174 SOL</t>
        </is>
      </c>
      <c r="F63" s="20" t="inlineStr">
        <is>
          <t>3.236 SOL</t>
        </is>
      </c>
      <c r="G63" s="22" t="inlineStr">
        <is>
          <t>0.060 SOL</t>
        </is>
      </c>
      <c r="H63" s="22" t="inlineStr">
        <is>
          <t>1.91%</t>
        </is>
      </c>
      <c r="I63" s="20" t="inlineStr">
        <is>
          <t>N/A</t>
        </is>
      </c>
      <c r="J63" s="20" t="n">
        <v>3</v>
      </c>
      <c r="K63" s="20" t="n">
        <v>3</v>
      </c>
      <c r="L63" s="20" t="inlineStr">
        <is>
          <t>27.10.2024 17:03:33</t>
        </is>
      </c>
      <c r="M63" s="20" t="inlineStr">
        <is>
          <t>2 days</t>
        </is>
      </c>
      <c r="N63" s="20" t="inlineStr">
        <is>
          <t xml:space="preserve">          7K             7K             5K</t>
        </is>
      </c>
      <c r="O63" s="20" t="inlineStr">
        <is>
          <t>AuAVeR9g1uSykPaLVixCP83MKQp6Liei3uDzLUVcpump</t>
        </is>
      </c>
      <c r="P63" s="20">
        <f>HYPERLINK("https://photon-sol.tinyastro.io/en/lp/AuAVeR9g1uSykPaLVixCP83MKQp6Liei3uDzLUVcpump?handle=676050794bc1b1657a56b", "View")</f>
        <v/>
      </c>
    </row>
    <row r="64">
      <c r="A64" s="15" t="inlineStr">
        <is>
          <t>LOST</t>
        </is>
      </c>
      <c r="B64" s="16" t="n">
        <v>384685</v>
      </c>
      <c r="C64" s="16" t="n">
        <v>384685</v>
      </c>
      <c r="D64" s="16" t="inlineStr">
        <is>
          <t>0.040240</t>
        </is>
      </c>
      <c r="E64" s="16" t="inlineStr">
        <is>
          <t>0.500 SOL</t>
        </is>
      </c>
      <c r="F64" s="16" t="inlineStr">
        <is>
          <t>0.505 SOL</t>
        </is>
      </c>
      <c r="G64" s="21" t="inlineStr">
        <is>
          <t>-0.035 SOL</t>
        </is>
      </c>
      <c r="H64" s="21" t="inlineStr">
        <is>
          <t>-6.51%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27.10.2024 16:44:14</t>
        </is>
      </c>
      <c r="M64" s="18" t="inlineStr">
        <is>
          <t>57 sec</t>
        </is>
      </c>
      <c r="N64" s="16" t="inlineStr">
        <is>
          <t xml:space="preserve">        225K           226K             9K</t>
        </is>
      </c>
      <c r="O64" s="16" t="inlineStr">
        <is>
          <t>8hzBoKRvpHQEfMfUqzzPQyxtcBtekEmgoC5Q61pUpump</t>
        </is>
      </c>
      <c r="P64" s="16">
        <f>HYPERLINK("https://dexscreener.com/solana/8hzBoKRvpHQEfMfUqzzPQyxtcBtekEmgoC5Q61pUpump", "View")</f>
        <v/>
      </c>
    </row>
    <row r="65">
      <c r="A65" s="19" t="inlineStr">
        <is>
          <t>NESH</t>
        </is>
      </c>
      <c r="B65" s="20" t="n">
        <v>526857</v>
      </c>
      <c r="C65" s="20" t="n">
        <v>526857</v>
      </c>
      <c r="D65" s="20" t="inlineStr">
        <is>
          <t>0.000460</t>
        </is>
      </c>
      <c r="E65" s="20" t="inlineStr">
        <is>
          <t>0.500 SOL</t>
        </is>
      </c>
      <c r="F65" s="20" t="inlineStr">
        <is>
          <t>0.181 SOL</t>
        </is>
      </c>
      <c r="G65" s="24" t="inlineStr">
        <is>
          <t>-0.319 SOL</t>
        </is>
      </c>
      <c r="H65" s="24" t="inlineStr">
        <is>
          <t>-63.79%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27.10.2024 15:38:08</t>
        </is>
      </c>
      <c r="M65" s="20" t="inlineStr">
        <is>
          <t>3 min</t>
        </is>
      </c>
      <c r="N65" s="20" t="inlineStr">
        <is>
          <t xml:space="preserve">        167K           167K             4K</t>
        </is>
      </c>
      <c r="O65" s="20" t="inlineStr">
        <is>
          <t>3GMWBYirJHVpQzKNMxXR36kHPA9nB9UD3Bxxv1Qjpump</t>
        </is>
      </c>
      <c r="P65" s="20">
        <f>HYPERLINK("https://dexscreener.com/solana/3GMWBYirJHVpQzKNMxXR36kHPA9nB9UD3Bxxv1Qjpump", "View")</f>
        <v/>
      </c>
    </row>
    <row r="66">
      <c r="A66" s="15" t="inlineStr">
        <is>
          <t>SAD</t>
        </is>
      </c>
      <c r="B66" s="16" t="n">
        <v>112147</v>
      </c>
      <c r="C66" s="16" t="n">
        <v>112147</v>
      </c>
      <c r="D66" s="16" t="inlineStr">
        <is>
          <t>0.047510</t>
        </is>
      </c>
      <c r="E66" s="16" t="inlineStr">
        <is>
          <t>0.500 SOL</t>
        </is>
      </c>
      <c r="F66" s="16" t="inlineStr">
        <is>
          <t>0.911 SOL</t>
        </is>
      </c>
      <c r="G66" s="23" t="inlineStr">
        <is>
          <t>0.364 SOL</t>
        </is>
      </c>
      <c r="H66" s="23" t="inlineStr">
        <is>
          <t>66.45%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27.10.2024 15:26:32</t>
        </is>
      </c>
      <c r="M66" s="18" t="inlineStr">
        <is>
          <t>49 sec</t>
        </is>
      </c>
      <c r="N66" s="16" t="inlineStr">
        <is>
          <t xml:space="preserve">        748K             1M            57K</t>
        </is>
      </c>
      <c r="O66" s="16" t="inlineStr">
        <is>
          <t>321tt4d8ZCGAdUB9PdB2cMtEL3uaJV4MaCzY2pTQpump</t>
        </is>
      </c>
      <c r="P66" s="16">
        <f>HYPERLINK("https://dexscreener.com/solana/321tt4d8ZCGAdUB9PdB2cMtEL3uaJV4MaCzY2pTQpump", "View")</f>
        <v/>
      </c>
    </row>
    <row r="67">
      <c r="A67" s="19" t="inlineStr">
        <is>
          <t>Nick</t>
        </is>
      </c>
      <c r="B67" s="20" t="n">
        <v>1785747</v>
      </c>
      <c r="C67" s="20" t="n">
        <v>1785747</v>
      </c>
      <c r="D67" s="20" t="inlineStr">
        <is>
          <t>0.007740</t>
        </is>
      </c>
      <c r="E67" s="20" t="inlineStr">
        <is>
          <t>0.517 SOL</t>
        </is>
      </c>
      <c r="F67" s="20" t="inlineStr">
        <is>
          <t>0.270 SOL</t>
        </is>
      </c>
      <c r="G67" s="21" t="inlineStr">
        <is>
          <t>-0.255 SOL</t>
        </is>
      </c>
      <c r="H67" s="21" t="inlineStr">
        <is>
          <t>-48.56%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27.10.2024 14:58:31</t>
        </is>
      </c>
      <c r="M67" s="20" t="inlineStr">
        <is>
          <t>3 min</t>
        </is>
      </c>
      <c r="N67" s="20" t="inlineStr">
        <is>
          <t xml:space="preserve">         51K            51K             4K</t>
        </is>
      </c>
      <c r="O67" s="20" t="inlineStr">
        <is>
          <t>FDtZk5yynvkgUozPAF6JHqX3xRfXq7iD2T6GyPPXpump</t>
        </is>
      </c>
      <c r="P67" s="20">
        <f>HYPERLINK("https://photon-sol.tinyastro.io/en/lp/FDtZk5yynvkgUozPAF6JHqX3xRfXq7iD2T6GyPPXpump?handle=676050794bc1b1657a56b", "View")</f>
        <v/>
      </c>
    </row>
    <row r="68">
      <c r="A68" s="15" t="inlineStr">
        <is>
          <t>NOSE</t>
        </is>
      </c>
      <c r="B68" s="16" t="n">
        <v>3163539</v>
      </c>
      <c r="C68" s="16" t="n">
        <v>3163539</v>
      </c>
      <c r="D68" s="16" t="inlineStr">
        <is>
          <t>0.000460</t>
        </is>
      </c>
      <c r="E68" s="16" t="inlineStr">
        <is>
          <t>0.548 SOL</t>
        </is>
      </c>
      <c r="F68" s="16" t="inlineStr">
        <is>
          <t>0.511 SOL</t>
        </is>
      </c>
      <c r="G68" s="21" t="inlineStr">
        <is>
          <t>-0.037 SOL</t>
        </is>
      </c>
      <c r="H68" s="21" t="inlineStr">
        <is>
          <t>-6.80%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27.10.2024 14:09:00</t>
        </is>
      </c>
      <c r="M68" s="16" t="inlineStr">
        <is>
          <t>1 min</t>
        </is>
      </c>
      <c r="N68" s="16" t="inlineStr">
        <is>
          <t xml:space="preserve">         30K            28K             6K</t>
        </is>
      </c>
      <c r="O68" s="16" t="inlineStr">
        <is>
          <t>DAjMk1tm5g5QcTXtXEJqHiuJtvhjKubNMqLY5ryDpump</t>
        </is>
      </c>
      <c r="P68" s="16">
        <f>HYPERLINK("https://photon-sol.tinyastro.io/en/lp/DAjMk1tm5g5QcTXtXEJqHiuJtvhjKubNMqLY5ryDpump?handle=676050794bc1b1657a56b", "View")</f>
        <v/>
      </c>
    </row>
    <row r="69">
      <c r="A69" s="19" t="inlineStr">
        <is>
          <t>tora</t>
        </is>
      </c>
      <c r="B69" s="20" t="n">
        <v>2740420</v>
      </c>
      <c r="C69" s="20" t="n">
        <v>2740420</v>
      </c>
      <c r="D69" s="20" t="inlineStr">
        <is>
          <t>0.000460</t>
        </is>
      </c>
      <c r="E69" s="20" t="inlineStr">
        <is>
          <t>0.529 SOL</t>
        </is>
      </c>
      <c r="F69" s="20" t="inlineStr">
        <is>
          <t>0.206 SOL</t>
        </is>
      </c>
      <c r="G69" s="24" t="inlineStr">
        <is>
          <t>-0.323 SOL</t>
        </is>
      </c>
      <c r="H69" s="24" t="inlineStr">
        <is>
          <t>-61.08%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27.10.2024 12:44:35</t>
        </is>
      </c>
      <c r="M69" s="20" t="inlineStr">
        <is>
          <t>2 min</t>
        </is>
      </c>
      <c r="N69" s="20" t="inlineStr">
        <is>
          <t xml:space="preserve">         33K            14K             5K</t>
        </is>
      </c>
      <c r="O69" s="20" t="inlineStr">
        <is>
          <t>9u7R39nKRGJbr2TndWuQgF2Hmge581F22wjbnqdBpump</t>
        </is>
      </c>
      <c r="P69" s="20">
        <f>HYPERLINK("https://photon-sol.tinyastro.io/en/lp/9u7R39nKRGJbr2TndWuQgF2Hmge581F22wjbnqdBpump?handle=676050794bc1b1657a56b", "View")</f>
        <v/>
      </c>
    </row>
    <row r="70">
      <c r="A70" s="15" t="inlineStr">
        <is>
          <t>BSP</t>
        </is>
      </c>
      <c r="B70" s="16" t="n">
        <v>3209217</v>
      </c>
      <c r="C70" s="16" t="n">
        <v>3209217</v>
      </c>
      <c r="D70" s="16" t="inlineStr">
        <is>
          <t>0.000460</t>
        </is>
      </c>
      <c r="E70" s="16" t="inlineStr">
        <is>
          <t>0.512 SOL</t>
        </is>
      </c>
      <c r="F70" s="16" t="inlineStr">
        <is>
          <t>0.125 SOL</t>
        </is>
      </c>
      <c r="G70" s="24" t="inlineStr">
        <is>
          <t>-0.387 SOL</t>
        </is>
      </c>
      <c r="H70" s="24" t="inlineStr">
        <is>
          <t>-75.57%</t>
        </is>
      </c>
      <c r="I70" s="16" t="inlineStr">
        <is>
          <t>N/A</t>
        </is>
      </c>
      <c r="J70" s="16" t="n">
        <v>1</v>
      </c>
      <c r="K70" s="16" t="n">
        <v>1</v>
      </c>
      <c r="L70" s="16" t="inlineStr">
        <is>
          <t>27.10.2024 12:34:43</t>
        </is>
      </c>
      <c r="M70" s="16" t="inlineStr">
        <is>
          <t>7 min</t>
        </is>
      </c>
      <c r="N70" s="16" t="inlineStr">
        <is>
          <t xml:space="preserve">         28K            28K             5K</t>
        </is>
      </c>
      <c r="O70" s="16" t="inlineStr">
        <is>
          <t>4BwLvAreX6wM72qP56FZPoAUDPbbkQukaeccHHTLpump</t>
        </is>
      </c>
      <c r="P70" s="16">
        <f>HYPERLINK("https://photon-sol.tinyastro.io/en/lp/4BwLvAreX6wM72qP56FZPoAUDPbbkQukaeccHHTLpump?handle=676050794bc1b1657a56b", "View")</f>
        <v/>
      </c>
    </row>
    <row r="71">
      <c r="A71" s="19" t="inlineStr">
        <is>
          <t>Toad</t>
        </is>
      </c>
      <c r="B71" s="20" t="n">
        <v>17524875</v>
      </c>
      <c r="C71" s="20" t="n">
        <v>17524875</v>
      </c>
      <c r="D71" s="20" t="inlineStr">
        <is>
          <t>0.032780</t>
        </is>
      </c>
      <c r="E71" s="20" t="inlineStr">
        <is>
          <t>3.776 SOL</t>
        </is>
      </c>
      <c r="F71" s="20" t="inlineStr">
        <is>
          <t>32.224 SOL</t>
        </is>
      </c>
      <c r="G71" s="23" t="inlineStr">
        <is>
          <t>28.415 SOL</t>
        </is>
      </c>
      <c r="H71" s="23" t="inlineStr">
        <is>
          <t>746.07%</t>
        </is>
      </c>
      <c r="I71" s="20" t="inlineStr">
        <is>
          <t>N/A</t>
        </is>
      </c>
      <c r="J71" s="20" t="n">
        <v>5</v>
      </c>
      <c r="K71" s="20" t="n">
        <v>11</v>
      </c>
      <c r="L71" s="20" t="inlineStr">
        <is>
          <t>27.10.2024 11:37:30</t>
        </is>
      </c>
      <c r="M71" s="20" t="inlineStr">
        <is>
          <t>45 min</t>
        </is>
      </c>
      <c r="N71" s="20" t="inlineStr">
        <is>
          <t xml:space="preserve">         19K           228K            73K</t>
        </is>
      </c>
      <c r="O71" s="20" t="inlineStr">
        <is>
          <t>7xn2T1x7xw5quHmzy2YvFWyFUNwp75fsw5bxiXGRpump</t>
        </is>
      </c>
      <c r="P71" s="20">
        <f>HYPERLINK("https://photon-sol.tinyastro.io/en/lp/7xn2T1x7xw5quHmzy2YvFWyFUNwp75fsw5bxiXGRpump?handle=676050794bc1b1657a56b", "View")</f>
        <v/>
      </c>
    </row>
    <row r="72">
      <c r="A72" s="15" t="inlineStr">
        <is>
          <t>LNOP</t>
        </is>
      </c>
      <c r="B72" s="16" t="n">
        <v>25947865</v>
      </c>
      <c r="C72" s="16" t="n">
        <v>25947865</v>
      </c>
      <c r="D72" s="16" t="inlineStr">
        <is>
          <t>0.008200</t>
        </is>
      </c>
      <c r="E72" s="16" t="inlineStr">
        <is>
          <t>1.651 SOL</t>
        </is>
      </c>
      <c r="F72" s="16" t="inlineStr">
        <is>
          <t>3.128 SOL</t>
        </is>
      </c>
      <c r="G72" s="23" t="inlineStr">
        <is>
          <t>1.469 SOL</t>
        </is>
      </c>
      <c r="H72" s="23" t="inlineStr">
        <is>
          <t>88.57%</t>
        </is>
      </c>
      <c r="I72" s="16" t="inlineStr">
        <is>
          <t>N/A</t>
        </is>
      </c>
      <c r="J72" s="16" t="n">
        <v>2</v>
      </c>
      <c r="K72" s="16" t="n">
        <v>2</v>
      </c>
      <c r="L72" s="16" t="inlineStr">
        <is>
          <t>27.10.2024 10:12:52</t>
        </is>
      </c>
      <c r="M72" s="16" t="inlineStr">
        <is>
          <t>40 min</t>
        </is>
      </c>
      <c r="N72" s="16" t="inlineStr">
        <is>
          <t xml:space="preserve">          9K            19K             5K</t>
        </is>
      </c>
      <c r="O72" s="16" t="inlineStr">
        <is>
          <t>FAMRtRyf8ePxBqZKmcrwpp1oUYX664t9VUZzuEqRpump</t>
        </is>
      </c>
      <c r="P72" s="16">
        <f>HYPERLINK("https://photon-sol.tinyastro.io/en/lp/FAMRtRyf8ePxBqZKmcrwpp1oUYX664t9VUZzuEqRpump?handle=676050794bc1b1657a56b", "View")</f>
        <v/>
      </c>
    </row>
    <row r="73">
      <c r="A73" s="19" t="inlineStr">
        <is>
          <t>SKYNET</t>
        </is>
      </c>
      <c r="B73" s="20" t="n">
        <v>906954</v>
      </c>
      <c r="C73" s="20" t="n">
        <v>906954</v>
      </c>
      <c r="D73" s="20" t="inlineStr">
        <is>
          <t>0.000460</t>
        </is>
      </c>
      <c r="E73" s="20" t="inlineStr">
        <is>
          <t>0.500 SOL</t>
        </is>
      </c>
      <c r="F73" s="20" t="inlineStr">
        <is>
          <t>0.503 SOL</t>
        </is>
      </c>
      <c r="G73" s="22" t="inlineStr">
        <is>
          <t>0.003 SOL</t>
        </is>
      </c>
      <c r="H73" s="22" t="inlineStr">
        <is>
          <t>0.51%</t>
        </is>
      </c>
      <c r="I73" s="20" t="inlineStr">
        <is>
          <t>N/A</t>
        </is>
      </c>
      <c r="J73" s="20" t="n">
        <v>1</v>
      </c>
      <c r="K73" s="20" t="n">
        <v>1</v>
      </c>
      <c r="L73" s="20" t="inlineStr">
        <is>
          <t>27.10.2024 09:15:42</t>
        </is>
      </c>
      <c r="M73" s="18" t="inlineStr">
        <is>
          <t>24 sec</t>
        </is>
      </c>
      <c r="N73" s="20" t="inlineStr">
        <is>
          <t xml:space="preserve">         97K            97K            33K</t>
        </is>
      </c>
      <c r="O73" s="20" t="inlineStr">
        <is>
          <t>A9xbrMNmpKfoqwNcTRmBv6NXUukv9ixKXhZL1iLCpump</t>
        </is>
      </c>
      <c r="P73" s="20">
        <f>HYPERLINK("https://dexscreener.com/solana/A9xbrMNmpKfoqwNcTRmBv6NXUukv9ixKXhZL1iLCpump", "View")</f>
        <v/>
      </c>
    </row>
    <row r="74">
      <c r="A74" s="15" t="inlineStr">
        <is>
          <t>MosesPepe</t>
        </is>
      </c>
      <c r="B74" s="16" t="n">
        <v>15273828</v>
      </c>
      <c r="C74" s="16" t="n">
        <v>15273828</v>
      </c>
      <c r="D74" s="16" t="inlineStr">
        <is>
          <t>0.001610</t>
        </is>
      </c>
      <c r="E74" s="16" t="inlineStr">
        <is>
          <t>1.017 SOL</t>
        </is>
      </c>
      <c r="F74" s="16" t="inlineStr">
        <is>
          <t>5.925 SOL</t>
        </is>
      </c>
      <c r="G74" s="23" t="inlineStr">
        <is>
          <t>4.906 SOL</t>
        </is>
      </c>
      <c r="H74" s="23" t="inlineStr">
        <is>
          <t>481.54%</t>
        </is>
      </c>
      <c r="I74" s="16" t="inlineStr">
        <is>
          <t>N/A</t>
        </is>
      </c>
      <c r="J74" s="16" t="n">
        <v>2</v>
      </c>
      <c r="K74" s="16" t="n">
        <v>5</v>
      </c>
      <c r="L74" s="16" t="inlineStr">
        <is>
          <t>27.10.2024 09:02:25</t>
        </is>
      </c>
      <c r="M74" s="16" t="inlineStr">
        <is>
          <t>31 min</t>
        </is>
      </c>
      <c r="N74" s="16" t="inlineStr">
        <is>
          <t xml:space="preserve">         12K            12K             4K</t>
        </is>
      </c>
      <c r="O74" s="16" t="inlineStr">
        <is>
          <t>2jrLcdWgkfkGpYPMUs94b9ER8nYBbWECwiF2mBjmpump</t>
        </is>
      </c>
      <c r="P74" s="16">
        <f>HYPERLINK("https://photon-sol.tinyastro.io/en/lp/2jrLcdWgkfkGpYPMUs94b9ER8nYBbWECwiF2mBjmpump?handle=676050794bc1b1657a56b", "View")</f>
        <v/>
      </c>
    </row>
    <row r="75">
      <c r="A75" s="19" t="inlineStr">
        <is>
          <t>AARON</t>
        </is>
      </c>
      <c r="B75" s="20" t="n">
        <v>20629652</v>
      </c>
      <c r="C75" s="20" t="n">
        <v>20629652</v>
      </c>
      <c r="D75" s="20" t="inlineStr">
        <is>
          <t>0.000460</t>
        </is>
      </c>
      <c r="E75" s="20" t="inlineStr">
        <is>
          <t>1.000 SOL</t>
        </is>
      </c>
      <c r="F75" s="20" t="inlineStr">
        <is>
          <t>2.067 SOL</t>
        </is>
      </c>
      <c r="G75" s="23" t="inlineStr">
        <is>
          <t>1.066 SOL</t>
        </is>
      </c>
      <c r="H75" s="23" t="inlineStr">
        <is>
          <t>106.59%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27.10.2024 05:51:14</t>
        </is>
      </c>
      <c r="M75" s="20" t="inlineStr">
        <is>
          <t>6 min</t>
        </is>
      </c>
      <c r="N75" s="20" t="inlineStr">
        <is>
          <t xml:space="preserve">          9K            18K             7K</t>
        </is>
      </c>
      <c r="O75" s="20" t="inlineStr">
        <is>
          <t>HfEcammtZgViSBKkbqg4trpB2paohjVSjyizxSfkpump</t>
        </is>
      </c>
      <c r="P75" s="20">
        <f>HYPERLINK("https://dexscreener.com/solana/HfEcammtZgViSBKkbqg4trpB2paohjVSjyizxSfkpump", "View")</f>
        <v/>
      </c>
    </row>
    <row r="76">
      <c r="A76" s="15" t="inlineStr">
        <is>
          <t>YUD</t>
        </is>
      </c>
      <c r="B76" s="16" t="n">
        <v>12913022</v>
      </c>
      <c r="C76" s="16" t="n">
        <v>12913022</v>
      </c>
      <c r="D76" s="16" t="inlineStr">
        <is>
          <t>0.000530</t>
        </is>
      </c>
      <c r="E76" s="16" t="inlineStr">
        <is>
          <t>2.197 SOL</t>
        </is>
      </c>
      <c r="F76" s="16" t="inlineStr">
        <is>
          <t>5.707 SOL</t>
        </is>
      </c>
      <c r="G76" s="23" t="inlineStr">
        <is>
          <t>3.509 SOL</t>
        </is>
      </c>
      <c r="H76" s="23" t="inlineStr">
        <is>
          <t>159.73%</t>
        </is>
      </c>
      <c r="I76" s="16" t="inlineStr">
        <is>
          <t>N/A</t>
        </is>
      </c>
      <c r="J76" s="16" t="n">
        <v>5</v>
      </c>
      <c r="K76" s="16" t="n">
        <v>4</v>
      </c>
      <c r="L76" s="16" t="inlineStr">
        <is>
          <t>27.10.2024 04:52:18</t>
        </is>
      </c>
      <c r="M76" s="16" t="inlineStr">
        <is>
          <t>9 days</t>
        </is>
      </c>
      <c r="N76" s="16" t="inlineStr">
        <is>
          <t xml:space="preserve">         33K            39K            21K</t>
        </is>
      </c>
      <c r="O76" s="16" t="inlineStr">
        <is>
          <t>AXgfmnMwnkbfMdpXqXMn6oJCQ7sQKvX2PmkXfJSRpump</t>
        </is>
      </c>
      <c r="P76" s="16">
        <f>HYPERLINK("https://photon-sol.tinyastro.io/en/lp/AXgfmnMwnkbfMdpXqXMn6oJCQ7sQKvX2PmkXfJSRpump?handle=676050794bc1b1657a56b", "View")</f>
        <v/>
      </c>
    </row>
    <row r="77">
      <c r="A77" s="19" t="inlineStr">
        <is>
          <t>ORB</t>
        </is>
      </c>
      <c r="B77" s="20" t="n">
        <v>1355309</v>
      </c>
      <c r="C77" s="20" t="n">
        <v>1355309</v>
      </c>
      <c r="D77" s="20" t="inlineStr">
        <is>
          <t>0.000460</t>
        </is>
      </c>
      <c r="E77" s="20" t="inlineStr">
        <is>
          <t>0.315 SOL</t>
        </is>
      </c>
      <c r="F77" s="20" t="inlineStr">
        <is>
          <t>0.391 SOL</t>
        </is>
      </c>
      <c r="G77" s="22" t="inlineStr">
        <is>
          <t>0.076 SOL</t>
        </is>
      </c>
      <c r="H77" s="22" t="inlineStr">
        <is>
          <t>23.98%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27.10.2024 04:10:16</t>
        </is>
      </c>
      <c r="M77" s="20" t="inlineStr">
        <is>
          <t>7 min</t>
        </is>
      </c>
      <c r="N77" s="20" t="inlineStr">
        <is>
          <t xml:space="preserve">         40K            51K             4K</t>
        </is>
      </c>
      <c r="O77" s="20" t="inlineStr">
        <is>
          <t>Cpvf15BUQ2kCJ2rSKmCM79bD5zxLdyiLNawWvybmpump</t>
        </is>
      </c>
      <c r="P77" s="20">
        <f>HYPERLINK("https://photon-sol.tinyastro.io/en/lp/Cpvf15BUQ2kCJ2rSKmCM79bD5zxLdyiLNawWvybmpump?handle=676050794bc1b1657a56b", "View")</f>
        <v/>
      </c>
    </row>
    <row r="78">
      <c r="A78" s="15" t="inlineStr">
        <is>
          <t>a16z</t>
        </is>
      </c>
      <c r="B78" s="16" t="n">
        <v>13839588</v>
      </c>
      <c r="C78" s="16" t="n">
        <v>13839588</v>
      </c>
      <c r="D78" s="16" t="inlineStr">
        <is>
          <t>0.000460</t>
        </is>
      </c>
      <c r="E78" s="16" t="inlineStr">
        <is>
          <t>0.512 SOL</t>
        </is>
      </c>
      <c r="F78" s="16" t="inlineStr">
        <is>
          <t>0.506 SOL</t>
        </is>
      </c>
      <c r="G78" s="21" t="inlineStr">
        <is>
          <t>-0.007 SOL</t>
        </is>
      </c>
      <c r="H78" s="21" t="inlineStr">
        <is>
          <t>-1.29%</t>
        </is>
      </c>
      <c r="I78" s="16" t="inlineStr">
        <is>
          <t>N/A</t>
        </is>
      </c>
      <c r="J78" s="16" t="n">
        <v>1</v>
      </c>
      <c r="K78" s="16" t="n">
        <v>1</v>
      </c>
      <c r="L78" s="16" t="inlineStr">
        <is>
          <t>27.10.2024 03:09:01</t>
        </is>
      </c>
      <c r="M78" s="16" t="inlineStr">
        <is>
          <t>8 min</t>
        </is>
      </c>
      <c r="N78" s="16" t="inlineStr">
        <is>
          <t xml:space="preserve">          7K             7K             5K</t>
        </is>
      </c>
      <c r="O78" s="16" t="inlineStr">
        <is>
          <t>b86mGR2CiKuNW1SHvNfikpLv97j5Fx9EehyQsgbpump</t>
        </is>
      </c>
      <c r="P78" s="16">
        <f>HYPERLINK("https://photon-sol.tinyastro.io/en/lp/b86mGR2CiKuNW1SHvNfikpLv97j5Fx9EehyQsgbpump?handle=676050794bc1b1657a56b", "View")</f>
        <v/>
      </c>
    </row>
    <row r="79">
      <c r="A79" s="19" t="inlineStr">
        <is>
          <t>safari</t>
        </is>
      </c>
      <c r="B79" s="20" t="n">
        <v>26378468</v>
      </c>
      <c r="C79" s="20" t="n">
        <v>26378468</v>
      </c>
      <c r="D79" s="20" t="inlineStr">
        <is>
          <t>0.009120</t>
        </is>
      </c>
      <c r="E79" s="20" t="inlineStr">
        <is>
          <t>1.818 SOL</t>
        </is>
      </c>
      <c r="F79" s="20" t="inlineStr">
        <is>
          <t>2.562 SOL</t>
        </is>
      </c>
      <c r="G79" s="22" t="inlineStr">
        <is>
          <t>0.735 SOL</t>
        </is>
      </c>
      <c r="H79" s="22" t="inlineStr">
        <is>
          <t>40.24%</t>
        </is>
      </c>
      <c r="I79" s="20" t="inlineStr">
        <is>
          <t>N/A</t>
        </is>
      </c>
      <c r="J79" s="20" t="n">
        <v>4</v>
      </c>
      <c r="K79" s="20" t="n">
        <v>4</v>
      </c>
      <c r="L79" s="20" t="inlineStr">
        <is>
          <t>26.10.2024 14:42:51</t>
        </is>
      </c>
      <c r="M79" s="20" t="inlineStr">
        <is>
          <t>4 hours</t>
        </is>
      </c>
      <c r="N79" s="20" t="inlineStr">
        <is>
          <t xml:space="preserve">         18K             9K             5K</t>
        </is>
      </c>
      <c r="O79" s="20" t="inlineStr">
        <is>
          <t>9UuBbqAk1uCpkLv6Ne9opfs6vWs54q1H5mr94LZ4pump</t>
        </is>
      </c>
      <c r="P79" s="20">
        <f>HYPERLINK("https://photon-sol.tinyastro.io/en/lp/9UuBbqAk1uCpkLv6Ne9opfs6vWs54q1H5mr94LZ4pump?handle=676050794bc1b1657a56b", "View")</f>
        <v/>
      </c>
    </row>
    <row r="80">
      <c r="A80" s="15" t="inlineStr">
        <is>
          <t>NotAiToKeN</t>
        </is>
      </c>
      <c r="B80" s="16" t="n">
        <v>15861171</v>
      </c>
      <c r="C80" s="16" t="n">
        <v>15861171</v>
      </c>
      <c r="D80" s="16" t="inlineStr">
        <is>
          <t>0.003240</t>
        </is>
      </c>
      <c r="E80" s="16" t="inlineStr">
        <is>
          <t>0.512 SOL</t>
        </is>
      </c>
      <c r="F80" s="16" t="inlineStr">
        <is>
          <t>0.439 SOL</t>
        </is>
      </c>
      <c r="G80" s="21" t="inlineStr">
        <is>
          <t>-0.076 SOL</t>
        </is>
      </c>
      <c r="H80" s="21" t="inlineStr">
        <is>
          <t>-14.71%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26.10.2024 09:17:43</t>
        </is>
      </c>
      <c r="M80" s="16" t="inlineStr">
        <is>
          <t>4 min</t>
        </is>
      </c>
      <c r="N80" s="16" t="inlineStr">
        <is>
          <t xml:space="preserve">          5K             5K             5K</t>
        </is>
      </c>
      <c r="O80" s="16" t="inlineStr">
        <is>
          <t>Hmg3mbqVEzhQH1WDVH27Uon44BbKpwdQHQLxEPMfpump</t>
        </is>
      </c>
      <c r="P80" s="16">
        <f>HYPERLINK("https://photon-sol.tinyastro.io/en/lp/Hmg3mbqVEzhQH1WDVH27Uon44BbKpwdQHQLxEPMfpump?handle=676050794bc1b1657a56b", "View")</f>
        <v/>
      </c>
    </row>
    <row r="81">
      <c r="A81" s="19" t="inlineStr">
        <is>
          <t>NEXUS</t>
        </is>
      </c>
      <c r="B81" s="20" t="n">
        <v>603102</v>
      </c>
      <c r="C81" s="20" t="n">
        <v>603102</v>
      </c>
      <c r="D81" s="20" t="inlineStr">
        <is>
          <t>0.000460</t>
        </is>
      </c>
      <c r="E81" s="20" t="inlineStr">
        <is>
          <t>0.300 SOL</t>
        </is>
      </c>
      <c r="F81" s="20" t="inlineStr">
        <is>
          <t>0.272 SOL</t>
        </is>
      </c>
      <c r="G81" s="21" t="inlineStr">
        <is>
          <t>-0.029 SOL</t>
        </is>
      </c>
      <c r="H81" s="21" t="inlineStr">
        <is>
          <t>-9.49%</t>
        </is>
      </c>
      <c r="I81" s="20" t="inlineStr">
        <is>
          <t>N/A</t>
        </is>
      </c>
      <c r="J81" s="20" t="n">
        <v>1</v>
      </c>
      <c r="K81" s="20" t="n">
        <v>1</v>
      </c>
      <c r="L81" s="20" t="inlineStr">
        <is>
          <t>26.10.2024 08:46:09</t>
        </is>
      </c>
      <c r="M81" s="18" t="inlineStr">
        <is>
          <t>52 sec</t>
        </is>
      </c>
      <c r="N81" s="20" t="inlineStr">
        <is>
          <t xml:space="preserve">         88K            79K             4K</t>
        </is>
      </c>
      <c r="O81" s="20" t="inlineStr">
        <is>
          <t>CJkaR15A4KTdRUiTkAEAasrR318Wi3LVn4XCok6upump</t>
        </is>
      </c>
      <c r="P81" s="20">
        <f>HYPERLINK("https://dexscreener.com/solana/CJkaR15A4KTdRUiTkAEAasrR318Wi3LVn4XCok6upump", "View")</f>
        <v/>
      </c>
    </row>
    <row r="82">
      <c r="A82" s="15" t="inlineStr">
        <is>
          <t>Quora</t>
        </is>
      </c>
      <c r="B82" s="16" t="n">
        <v>7919117</v>
      </c>
      <c r="C82" s="16" t="n">
        <v>7919117</v>
      </c>
      <c r="D82" s="16" t="inlineStr">
        <is>
          <t>0.000460</t>
        </is>
      </c>
      <c r="E82" s="16" t="inlineStr">
        <is>
          <t>0.512 SOL</t>
        </is>
      </c>
      <c r="F82" s="16" t="inlineStr">
        <is>
          <t>0.325 SOL</t>
        </is>
      </c>
      <c r="G82" s="21" t="inlineStr">
        <is>
          <t>-0.187 SOL</t>
        </is>
      </c>
      <c r="H82" s="21" t="inlineStr">
        <is>
          <t>-36.53%</t>
        </is>
      </c>
      <c r="I82" s="16" t="inlineStr">
        <is>
          <t>N/A</t>
        </is>
      </c>
      <c r="J82" s="16" t="n">
        <v>1</v>
      </c>
      <c r="K82" s="16" t="n">
        <v>1</v>
      </c>
      <c r="L82" s="16" t="inlineStr">
        <is>
          <t>26.10.2024 04:37:18</t>
        </is>
      </c>
      <c r="M82" s="16" t="inlineStr">
        <is>
          <t>9 min</t>
        </is>
      </c>
      <c r="N82" s="16" t="inlineStr">
        <is>
          <t xml:space="preserve">         11K             7K             5K</t>
        </is>
      </c>
      <c r="O82" s="16" t="inlineStr">
        <is>
          <t>9vfrMPecZd3nBeHq8Zmu8iAkqAA5dY8zG1uoKfnSpump</t>
        </is>
      </c>
      <c r="P82" s="16">
        <f>HYPERLINK("https://photon-sol.tinyastro.io/en/lp/9vfrMPecZd3nBeHq8Zmu8iAkqAA5dY8zG1uoKfnSpump?handle=676050794bc1b1657a56b", "View")</f>
        <v/>
      </c>
    </row>
    <row r="83">
      <c r="A83" s="19" t="inlineStr">
        <is>
          <t>DOLPH</t>
        </is>
      </c>
      <c r="B83" s="20" t="n">
        <v>361013</v>
      </c>
      <c r="C83" s="20" t="n">
        <v>361013</v>
      </c>
      <c r="D83" s="20" t="inlineStr">
        <is>
          <t>0.000460</t>
        </is>
      </c>
      <c r="E83" s="20" t="inlineStr">
        <is>
          <t>0.500 SOL</t>
        </is>
      </c>
      <c r="F83" s="20" t="inlineStr">
        <is>
          <t>1.203 SOL</t>
        </is>
      </c>
      <c r="G83" s="23" t="inlineStr">
        <is>
          <t>0.702 SOL</t>
        </is>
      </c>
      <c r="H83" s="23" t="inlineStr">
        <is>
          <t>140.32%</t>
        </is>
      </c>
      <c r="I83" s="20" t="inlineStr">
        <is>
          <t>N/A</t>
        </is>
      </c>
      <c r="J83" s="20" t="n">
        <v>1</v>
      </c>
      <c r="K83" s="20" t="n">
        <v>1</v>
      </c>
      <c r="L83" s="20" t="inlineStr">
        <is>
          <t>26.10.2024 04:16:01</t>
        </is>
      </c>
      <c r="M83" s="20" t="inlineStr">
        <is>
          <t>19 min</t>
        </is>
      </c>
      <c r="N83" s="20" t="inlineStr">
        <is>
          <t xml:space="preserve">        242K           585K             7K</t>
        </is>
      </c>
      <c r="O83" s="20" t="inlineStr">
        <is>
          <t>BJowxCMNHdXzchdKJaVWHUrQAZekpWMqUUgMMHqopump</t>
        </is>
      </c>
      <c r="P83" s="20">
        <f>HYPERLINK("https://dexscreener.com/solana/BJowxCMNHdXzchdKJaVWHUrQAZekpWMqUUgMMHqopump", "View")</f>
        <v/>
      </c>
    </row>
    <row r="84">
      <c r="A84" s="15" t="inlineStr">
        <is>
          <t>GOAT</t>
        </is>
      </c>
      <c r="B84" s="16" t="n">
        <v>1675908</v>
      </c>
      <c r="C84" s="16" t="n">
        <v>1675908</v>
      </c>
      <c r="D84" s="16" t="inlineStr">
        <is>
          <t>0.000460</t>
        </is>
      </c>
      <c r="E84" s="16" t="inlineStr">
        <is>
          <t>0.300 SOL</t>
        </is>
      </c>
      <c r="F84" s="16" t="inlineStr">
        <is>
          <t>0.330 SOL</t>
        </is>
      </c>
      <c r="G84" s="22" t="inlineStr">
        <is>
          <t>0.030 SOL</t>
        </is>
      </c>
      <c r="H84" s="22" t="inlineStr">
        <is>
          <t>9.95%</t>
        </is>
      </c>
      <c r="I84" s="16" t="inlineStr">
        <is>
          <t>N/A</t>
        </is>
      </c>
      <c r="J84" s="16" t="n">
        <v>1</v>
      </c>
      <c r="K84" s="16" t="n">
        <v>1</v>
      </c>
      <c r="L84" s="16" t="inlineStr">
        <is>
          <t>26.10.2024 03:58:37</t>
        </is>
      </c>
      <c r="M84" s="16" t="inlineStr">
        <is>
          <t>26 min</t>
        </is>
      </c>
      <c r="N84" s="16" t="inlineStr">
        <is>
          <t xml:space="preserve">         32K            35K             8K</t>
        </is>
      </c>
      <c r="O84" s="16" t="inlineStr">
        <is>
          <t>7b2ghsnLjKCTBt5QeidgsyePKFApr597D8phzcEFpump</t>
        </is>
      </c>
      <c r="P84" s="16">
        <f>HYPERLINK("https://dexscreener.com/solana/7b2ghsnLjKCTBt5QeidgsyePKFApr597D8phzcEFpump", "View")</f>
        <v/>
      </c>
    </row>
    <row r="85">
      <c r="A85" s="19" t="inlineStr">
        <is>
          <t>MCDENG</t>
        </is>
      </c>
      <c r="B85" s="20" t="n">
        <v>20674364</v>
      </c>
      <c r="C85" s="20" t="n">
        <v>20674364</v>
      </c>
      <c r="D85" s="20" t="inlineStr">
        <is>
          <t>0.001380</t>
        </is>
      </c>
      <c r="E85" s="20" t="inlineStr">
        <is>
          <t>1.512 SOL</t>
        </is>
      </c>
      <c r="F85" s="20" t="inlineStr">
        <is>
          <t>3.847 SOL</t>
        </is>
      </c>
      <c r="G85" s="23" t="inlineStr">
        <is>
          <t>2.334 SOL</t>
        </is>
      </c>
      <c r="H85" s="23" t="inlineStr">
        <is>
          <t>154.24%</t>
        </is>
      </c>
      <c r="I85" s="20" t="inlineStr">
        <is>
          <t>N/A</t>
        </is>
      </c>
      <c r="J85" s="20" t="n">
        <v>2</v>
      </c>
      <c r="K85" s="20" t="n">
        <v>4</v>
      </c>
      <c r="L85" s="20" t="inlineStr">
        <is>
          <t>26.10.2024 03:57:01</t>
        </is>
      </c>
      <c r="M85" s="20" t="inlineStr">
        <is>
          <t>2 hours</t>
        </is>
      </c>
      <c r="N85" s="20" t="inlineStr">
        <is>
          <t xml:space="preserve">          9K            26K             5K</t>
        </is>
      </c>
      <c r="O85" s="20" t="inlineStr">
        <is>
          <t>2FLCr6SUJfoUTMmaL4C4KvUdMVC5mG42zMvEvLhkpump</t>
        </is>
      </c>
      <c r="P85" s="20">
        <f>HYPERLINK("https://photon-sol.tinyastro.io/en/lp/2FLCr6SUJfoUTMmaL4C4KvUdMVC5mG42zMvEvLhkpump?handle=676050794bc1b1657a56b", "View")</f>
        <v/>
      </c>
    </row>
    <row r="86">
      <c r="A86" s="15" t="inlineStr">
        <is>
          <t>moodeng</t>
        </is>
      </c>
      <c r="B86" s="16" t="n">
        <v>4923323</v>
      </c>
      <c r="C86" s="16" t="n">
        <v>4923323</v>
      </c>
      <c r="D86" s="16" t="inlineStr">
        <is>
          <t>0.000460</t>
        </is>
      </c>
      <c r="E86" s="16" t="inlineStr">
        <is>
          <t>0.512 SOL</t>
        </is>
      </c>
      <c r="F86" s="16" t="inlineStr">
        <is>
          <t>0.626 SOL</t>
        </is>
      </c>
      <c r="G86" s="22" t="inlineStr">
        <is>
          <t>0.113 SOL</t>
        </is>
      </c>
      <c r="H86" s="22" t="inlineStr">
        <is>
          <t>22.16%</t>
        </is>
      </c>
      <c r="I86" s="16" t="inlineStr">
        <is>
          <t>N/A</t>
        </is>
      </c>
      <c r="J86" s="16" t="n">
        <v>1</v>
      </c>
      <c r="K86" s="16" t="n">
        <v>1</v>
      </c>
      <c r="L86" s="16" t="inlineStr">
        <is>
          <t>26.10.2024 01:39:46</t>
        </is>
      </c>
      <c r="M86" s="16" t="inlineStr">
        <is>
          <t>15 min</t>
        </is>
      </c>
      <c r="N86" s="16" t="inlineStr">
        <is>
          <t xml:space="preserve">         18K            23K             5K</t>
        </is>
      </c>
      <c r="O86" s="16" t="inlineStr">
        <is>
          <t>AM9MWhxniaknW99RUJP1tmHmRfpUkWJyGLujBTLhpump</t>
        </is>
      </c>
      <c r="P86" s="16">
        <f>HYPERLINK("https://photon-sol.tinyastro.io/en/lp/AM9MWhxniaknW99RUJP1tmHmRfpUkWJyGLujBTLhpump?handle=676050794bc1b1657a56b", "View")</f>
        <v/>
      </c>
    </row>
    <row r="87">
      <c r="A87" s="19" t="inlineStr">
        <is>
          <t>minecraft</t>
        </is>
      </c>
      <c r="B87" s="20" t="n">
        <v>18845661</v>
      </c>
      <c r="C87" s="20" t="n">
        <v>18845661</v>
      </c>
      <c r="D87" s="20" t="inlineStr">
        <is>
          <t>0.000920</t>
        </is>
      </c>
      <c r="E87" s="20" t="inlineStr">
        <is>
          <t>1.429 SOL</t>
        </is>
      </c>
      <c r="F87" s="20" t="inlineStr">
        <is>
          <t>1.271 SOL</t>
        </is>
      </c>
      <c r="G87" s="21" t="inlineStr">
        <is>
          <t>-0.159 SOL</t>
        </is>
      </c>
      <c r="H87" s="21" t="inlineStr">
        <is>
          <t>-11.13%</t>
        </is>
      </c>
      <c r="I87" s="20" t="inlineStr">
        <is>
          <t>N/A</t>
        </is>
      </c>
      <c r="J87" s="20" t="n">
        <v>2</v>
      </c>
      <c r="K87" s="20" t="n">
        <v>2</v>
      </c>
      <c r="L87" s="20" t="inlineStr">
        <is>
          <t>26.10.2024 01:38:05</t>
        </is>
      </c>
      <c r="M87" s="20" t="inlineStr">
        <is>
          <t>49 min</t>
        </is>
      </c>
      <c r="N87" s="20" t="inlineStr">
        <is>
          <t xml:space="preserve">         12K             7K            57K</t>
        </is>
      </c>
      <c r="O87" s="20" t="inlineStr">
        <is>
          <t>4KbbSacSGPBxs1JH7YH8dUERh1NQNJQytJUCnt5mxHyo</t>
        </is>
      </c>
      <c r="P87" s="20">
        <f>HYPERLINK("https://photon-sol.tinyastro.io/en/lp/4KbbSacSGPBxs1JH7YH8dUERh1NQNJQytJUCnt5mxHyo?handle=676050794bc1b1657a56b", "View")</f>
        <v/>
      </c>
    </row>
    <row r="88">
      <c r="A88" s="15" t="inlineStr">
        <is>
          <t>MEQ</t>
        </is>
      </c>
      <c r="B88" s="16" t="n">
        <v>34660524</v>
      </c>
      <c r="C88" s="16" t="n">
        <v>34660524</v>
      </c>
      <c r="D88" s="16" t="inlineStr">
        <is>
          <t>0.025970</t>
        </is>
      </c>
      <c r="E88" s="16" t="inlineStr">
        <is>
          <t>2.261 SOL</t>
        </is>
      </c>
      <c r="F88" s="16" t="inlineStr">
        <is>
          <t>38.176 SOL</t>
        </is>
      </c>
      <c r="G88" s="23" t="inlineStr">
        <is>
          <t>35.889 SOL</t>
        </is>
      </c>
      <c r="H88" s="23" t="inlineStr">
        <is>
          <t>1569.09%</t>
        </is>
      </c>
      <c r="I88" s="16" t="inlineStr">
        <is>
          <t>N/A</t>
        </is>
      </c>
      <c r="J88" s="16" t="n">
        <v>3</v>
      </c>
      <c r="K88" s="16" t="n">
        <v>15</v>
      </c>
      <c r="L88" s="16" t="inlineStr">
        <is>
          <t>25.10.2024 17:41:30</t>
        </is>
      </c>
      <c r="M88" s="16" t="inlineStr">
        <is>
          <t>4 hours</t>
        </is>
      </c>
      <c r="N88" s="16" t="inlineStr">
        <is>
          <t xml:space="preserve">          5K            39K            12K</t>
        </is>
      </c>
      <c r="O88" s="16" t="inlineStr">
        <is>
          <t>3MNkGKDbwvGq8P9XBnQx4ECzifFPFU5Nf43e78EYpump</t>
        </is>
      </c>
      <c r="P88" s="16">
        <f>HYPERLINK("https://photon-sol.tinyastro.io/en/lp/3MNkGKDbwvGq8P9XBnQx4ECzifFPFU5Nf43e78EYpump?handle=676050794bc1b1657a56b", "View")</f>
        <v/>
      </c>
    </row>
    <row r="89">
      <c r="A89" s="19" t="inlineStr">
        <is>
          <t>Comedian</t>
        </is>
      </c>
      <c r="B89" s="20" t="n">
        <v>6647269</v>
      </c>
      <c r="C89" s="20" t="n">
        <v>6647269</v>
      </c>
      <c r="D89" s="20" t="inlineStr">
        <is>
          <t>0.008200</t>
        </is>
      </c>
      <c r="E89" s="20" t="inlineStr">
        <is>
          <t>0.774 SOL</t>
        </is>
      </c>
      <c r="F89" s="20" t="inlineStr">
        <is>
          <t>0.952 SOL</t>
        </is>
      </c>
      <c r="G89" s="22" t="inlineStr">
        <is>
          <t>0.169 SOL</t>
        </is>
      </c>
      <c r="H89" s="22" t="inlineStr">
        <is>
          <t>21.61%</t>
        </is>
      </c>
      <c r="I89" s="20" t="inlineStr">
        <is>
          <t>N/A</t>
        </is>
      </c>
      <c r="J89" s="20" t="n">
        <v>2</v>
      </c>
      <c r="K89" s="20" t="n">
        <v>2</v>
      </c>
      <c r="L89" s="20" t="inlineStr">
        <is>
          <t>25.10.2024 15:49:00</t>
        </is>
      </c>
      <c r="M89" s="20" t="inlineStr">
        <is>
          <t>5 min</t>
        </is>
      </c>
      <c r="N89" s="20" t="inlineStr">
        <is>
          <t xml:space="preserve">         19K            23K            15K</t>
        </is>
      </c>
      <c r="O89" s="20" t="inlineStr">
        <is>
          <t>BpqXJMguKsS8azKaVy4tZ4Ysm2e2f2zygZKHx8VKGKBA</t>
        </is>
      </c>
      <c r="P89" s="20">
        <f>HYPERLINK("https://photon-sol.tinyastro.io/en/lp/BpqXJMguKsS8azKaVy4tZ4Ysm2e2f2zygZKHx8VKGKBA?handle=676050794bc1b1657a56b", "View")</f>
        <v/>
      </c>
    </row>
    <row r="90">
      <c r="A90" s="15" t="inlineStr">
        <is>
          <t>Mini</t>
        </is>
      </c>
      <c r="B90" s="16" t="n">
        <v>2724627</v>
      </c>
      <c r="C90" s="16" t="n">
        <v>2724627</v>
      </c>
      <c r="D90" s="16" t="inlineStr">
        <is>
          <t>0.000460</t>
        </is>
      </c>
      <c r="E90" s="16" t="inlineStr">
        <is>
          <t>1.000 SOL</t>
        </is>
      </c>
      <c r="F90" s="16" t="inlineStr">
        <is>
          <t>0.729 SOL</t>
        </is>
      </c>
      <c r="G90" s="21" t="inlineStr">
        <is>
          <t>-0.271 SOL</t>
        </is>
      </c>
      <c r="H90" s="21" t="inlineStr">
        <is>
          <t>-27.12%</t>
        </is>
      </c>
      <c r="I90" s="16" t="inlineStr">
        <is>
          <t>N/A</t>
        </is>
      </c>
      <c r="J90" s="16" t="n">
        <v>1</v>
      </c>
      <c r="K90" s="16" t="n">
        <v>1</v>
      </c>
      <c r="L90" s="16" t="inlineStr">
        <is>
          <t>25.10.2024 15:26:00</t>
        </is>
      </c>
      <c r="M90" s="16" t="inlineStr">
        <is>
          <t>1 min</t>
        </is>
      </c>
      <c r="N90" s="16" t="inlineStr">
        <is>
          <t xml:space="preserve">         65K            47K             6K</t>
        </is>
      </c>
      <c r="O90" s="16" t="inlineStr">
        <is>
          <t>FNLCYiZzc6dcpNNekZyMUpmQNQLx4LscTi7h5mCYpump</t>
        </is>
      </c>
      <c r="P90" s="16">
        <f>HYPERLINK("https://dexscreener.com/solana/FNLCYiZzc6dcpNNekZyMUpmQNQLx4LscTi7h5mCYpump", "View")</f>
        <v/>
      </c>
    </row>
    <row r="91">
      <c r="A91" s="19" t="inlineStr">
        <is>
          <t>Paddington</t>
        </is>
      </c>
      <c r="B91" s="20" t="n">
        <v>9540618</v>
      </c>
      <c r="C91" s="20" t="n">
        <v>9540618</v>
      </c>
      <c r="D91" s="20" t="inlineStr">
        <is>
          <t>0.000460</t>
        </is>
      </c>
      <c r="E91" s="20" t="inlineStr">
        <is>
          <t>0.525 SOL</t>
        </is>
      </c>
      <c r="F91" s="20" t="inlineStr">
        <is>
          <t>0.346 SOL</t>
        </is>
      </c>
      <c r="G91" s="21" t="inlineStr">
        <is>
          <t>-0.180 SOL</t>
        </is>
      </c>
      <c r="H91" s="21" t="inlineStr">
        <is>
          <t>-34.24%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25.10.2024 15:23:01</t>
        </is>
      </c>
      <c r="M91" s="20" t="inlineStr">
        <is>
          <t>12 min</t>
        </is>
      </c>
      <c r="N91" s="20" t="inlineStr">
        <is>
          <t xml:space="preserve">         11K             7K             5K</t>
        </is>
      </c>
      <c r="O91" s="20" t="inlineStr">
        <is>
          <t>GSt5juThcQpSF599CTKjgthKiZx8c32C13ayf4Sqpump</t>
        </is>
      </c>
      <c r="P91" s="20">
        <f>HYPERLINK("https://photon-sol.tinyastro.io/en/lp/GSt5juThcQpSF599CTKjgthKiZx8c32C13ayf4Sqpump?handle=676050794bc1b1657a56b", "View")</f>
        <v/>
      </c>
    </row>
    <row r="92">
      <c r="A92" s="15" t="inlineStr">
        <is>
          <t>Paddington</t>
        </is>
      </c>
      <c r="B92" s="16" t="n">
        <v>13083815</v>
      </c>
      <c r="C92" s="16" t="n">
        <v>13083815</v>
      </c>
      <c r="D92" s="16" t="inlineStr">
        <is>
          <t>0.000460</t>
        </is>
      </c>
      <c r="E92" s="16" t="inlineStr">
        <is>
          <t>0.512 SOL</t>
        </is>
      </c>
      <c r="F92" s="16" t="inlineStr">
        <is>
          <t>0.380 SOL</t>
        </is>
      </c>
      <c r="G92" s="21" t="inlineStr">
        <is>
          <t>-0.133 SOL</t>
        </is>
      </c>
      <c r="H92" s="21" t="inlineStr">
        <is>
          <t>-25.89%</t>
        </is>
      </c>
      <c r="I92" s="16" t="inlineStr">
        <is>
          <t>N/A</t>
        </is>
      </c>
      <c r="J92" s="16" t="n">
        <v>1</v>
      </c>
      <c r="K92" s="16" t="n">
        <v>1</v>
      </c>
      <c r="L92" s="16" t="inlineStr">
        <is>
          <t>25.10.2024 15:22:52</t>
        </is>
      </c>
      <c r="M92" s="16" t="inlineStr">
        <is>
          <t>11 min</t>
        </is>
      </c>
      <c r="N92" s="16" t="inlineStr">
        <is>
          <t xml:space="preserve">          7K             5K             5K</t>
        </is>
      </c>
      <c r="O92" s="16" t="inlineStr">
        <is>
          <t>AxeNfHPN2Jro6wBpp7LSAs5ZvJvveBz5yy33NbRjpump</t>
        </is>
      </c>
      <c r="P92" s="16">
        <f>HYPERLINK("https://photon-sol.tinyastro.io/en/lp/AxeNfHPN2Jro6wBpp7LSAs5ZvJvveBz5yy33NbRjpump?handle=676050794bc1b1657a56b", "View")</f>
        <v/>
      </c>
    </row>
    <row r="93">
      <c r="A93" s="19" t="inlineStr">
        <is>
          <t>MOCK</t>
        </is>
      </c>
      <c r="B93" s="20" t="n">
        <v>2116944</v>
      </c>
      <c r="C93" s="20" t="n">
        <v>2116944</v>
      </c>
      <c r="D93" s="20" t="inlineStr">
        <is>
          <t>0.000240</t>
        </is>
      </c>
      <c r="E93" s="20" t="inlineStr">
        <is>
          <t>0.400 SOL</t>
        </is>
      </c>
      <c r="F93" s="20" t="inlineStr">
        <is>
          <t>0.046 SOL</t>
        </is>
      </c>
      <c r="G93" s="24" t="inlineStr">
        <is>
          <t>-0.354 SOL</t>
        </is>
      </c>
      <c r="H93" s="24" t="inlineStr">
        <is>
          <t>-88.53%</t>
        </is>
      </c>
      <c r="I93" s="20" t="inlineStr">
        <is>
          <t>N/A</t>
        </is>
      </c>
      <c r="J93" s="20" t="n">
        <v>1</v>
      </c>
      <c r="K93" s="20" t="n">
        <v>1</v>
      </c>
      <c r="L93" s="20" t="inlineStr">
        <is>
          <t>25.10.2024 13:02:45</t>
        </is>
      </c>
      <c r="M93" s="20" t="inlineStr">
        <is>
          <t>8 days</t>
        </is>
      </c>
      <c r="N93" s="20" t="inlineStr">
        <is>
          <t xml:space="preserve">         33K            33K             4K</t>
        </is>
      </c>
      <c r="O93" s="20" t="inlineStr">
        <is>
          <t>9B4A2wwJWPtHKhvXYCr9qdP5FiSTmsQJcQtv9Ewipump</t>
        </is>
      </c>
      <c r="P93" s="20">
        <f>HYPERLINK("https://dexscreener.com/solana/9B4A2wwJWPtHKhvXYCr9qdP5FiSTmsQJcQtv9Ewipump", "View")</f>
        <v/>
      </c>
    </row>
    <row r="94">
      <c r="A94" s="15" t="inlineStr">
        <is>
          <t>LORA</t>
        </is>
      </c>
      <c r="B94" s="16" t="n">
        <v>1839760</v>
      </c>
      <c r="C94" s="16" t="n">
        <v>1839760</v>
      </c>
      <c r="D94" s="16" t="inlineStr">
        <is>
          <t>0.015010</t>
        </is>
      </c>
      <c r="E94" s="16" t="inlineStr">
        <is>
          <t>0.500 SOL</t>
        </is>
      </c>
      <c r="F94" s="16" t="inlineStr">
        <is>
          <t>0.053 SOL</t>
        </is>
      </c>
      <c r="G94" s="24" t="inlineStr">
        <is>
          <t>-0.462 SOL</t>
        </is>
      </c>
      <c r="H94" s="24" t="inlineStr">
        <is>
          <t>-89.72%</t>
        </is>
      </c>
      <c r="I94" s="16" t="inlineStr">
        <is>
          <t>N/A</t>
        </is>
      </c>
      <c r="J94" s="16" t="n">
        <v>1</v>
      </c>
      <c r="K94" s="16" t="n">
        <v>1</v>
      </c>
      <c r="L94" s="16" t="inlineStr">
        <is>
          <t>25.10.2024 13:02:36</t>
        </is>
      </c>
      <c r="M94" s="16" t="inlineStr">
        <is>
          <t>3 days</t>
        </is>
      </c>
      <c r="N94" s="16" t="inlineStr">
        <is>
          <t xml:space="preserve">         47K            47K             4K</t>
        </is>
      </c>
      <c r="O94" s="16" t="inlineStr">
        <is>
          <t>DBmJ57v1SSaGiqRegiBAP1xVGa2FHUmpuKbgCmF6pump</t>
        </is>
      </c>
      <c r="P94" s="16">
        <f>HYPERLINK("https://dexscreener.com/solana/DBmJ57v1SSaGiqRegiBAP1xVGa2FHUmpuKbgCmF6pump", "View")</f>
        <v/>
      </c>
    </row>
    <row r="95">
      <c r="A95" s="19" t="inlineStr">
        <is>
          <t>NONG</t>
        </is>
      </c>
      <c r="B95" s="20" t="n">
        <v>2504491</v>
      </c>
      <c r="C95" s="20" t="n">
        <v>2504491</v>
      </c>
      <c r="D95" s="20" t="inlineStr">
        <is>
          <t>0.000240</t>
        </is>
      </c>
      <c r="E95" s="20" t="inlineStr">
        <is>
          <t>0.300 SOL</t>
        </is>
      </c>
      <c r="F95" s="20" t="inlineStr">
        <is>
          <t>0.058 SOL</t>
        </is>
      </c>
      <c r="G95" s="24" t="inlineStr">
        <is>
          <t>-0.242 SOL</t>
        </is>
      </c>
      <c r="H95" s="24" t="inlineStr">
        <is>
          <t>-80.64%</t>
        </is>
      </c>
      <c r="I95" s="20" t="inlineStr">
        <is>
          <t>N/A</t>
        </is>
      </c>
      <c r="J95" s="20" t="n">
        <v>1</v>
      </c>
      <c r="K95" s="20" t="n">
        <v>1</v>
      </c>
      <c r="L95" s="20" t="inlineStr">
        <is>
          <t>25.10.2024 13:02:23</t>
        </is>
      </c>
      <c r="M95" s="20" t="inlineStr">
        <is>
          <t>6 days</t>
        </is>
      </c>
      <c r="N95" s="20" t="inlineStr">
        <is>
          <t xml:space="preserve">         21K            21K             4K</t>
        </is>
      </c>
      <c r="O95" s="20" t="inlineStr">
        <is>
          <t>7XX64EidmTFff9rs4zqTX1VNJ8b5W8Hn1FReY83Gpump</t>
        </is>
      </c>
      <c r="P95" s="20">
        <f>HYPERLINK("https://dexscreener.com/solana/7XX64EidmTFff9rs4zqTX1VNJ8b5W8Hn1FReY83Gpump", "View")</f>
        <v/>
      </c>
    </row>
    <row r="96">
      <c r="A96" s="15" t="inlineStr">
        <is>
          <t>∯</t>
        </is>
      </c>
      <c r="B96" s="16" t="n">
        <v>1955269</v>
      </c>
      <c r="C96" s="16" t="n">
        <v>1955269</v>
      </c>
      <c r="D96" s="16" t="inlineStr">
        <is>
          <t>0.007740</t>
        </is>
      </c>
      <c r="E96" s="16" t="inlineStr">
        <is>
          <t>0.304 SOL</t>
        </is>
      </c>
      <c r="F96" s="16" t="inlineStr">
        <is>
          <t>0.063 SOL</t>
        </is>
      </c>
      <c r="G96" s="24" t="inlineStr">
        <is>
          <t>-0.248 SOL</t>
        </is>
      </c>
      <c r="H96" s="24" t="inlineStr">
        <is>
          <t>-79.66%</t>
        </is>
      </c>
      <c r="I96" s="16" t="inlineStr">
        <is>
          <t>N/A</t>
        </is>
      </c>
      <c r="J96" s="16" t="n">
        <v>1</v>
      </c>
      <c r="K96" s="16" t="n">
        <v>1</v>
      </c>
      <c r="L96" s="16" t="inlineStr">
        <is>
          <t>25.10.2024 13:02:13</t>
        </is>
      </c>
      <c r="M96" s="16" t="inlineStr">
        <is>
          <t>6 days</t>
        </is>
      </c>
      <c r="N96" s="16" t="inlineStr">
        <is>
          <t xml:space="preserve">         28K            28K             6K</t>
        </is>
      </c>
      <c r="O96" s="16" t="inlineStr">
        <is>
          <t>6432h2xuDKcb5TNHED2JT3UXrqhrgoWceBE1DaWTpump</t>
        </is>
      </c>
      <c r="P96" s="16">
        <f>HYPERLINK("https://photon-sol.tinyastro.io/en/lp/6432h2xuDKcb5TNHED2JT3UXrqhrgoWceBE1DaWTpump?handle=676050794bc1b1657a56b", "View")</f>
        <v/>
      </c>
    </row>
    <row r="97">
      <c r="A97" s="19" t="inlineStr">
        <is>
          <t>AIBO</t>
        </is>
      </c>
      <c r="B97" s="20" t="n">
        <v>2498025</v>
      </c>
      <c r="C97" s="20" t="n">
        <v>2498025</v>
      </c>
      <c r="D97" s="20" t="inlineStr">
        <is>
          <t>0.000460</t>
        </is>
      </c>
      <c r="E97" s="20" t="inlineStr">
        <is>
          <t>0.500 SOL</t>
        </is>
      </c>
      <c r="F97" s="20" t="inlineStr">
        <is>
          <t>0.586 SOL</t>
        </is>
      </c>
      <c r="G97" s="22" t="inlineStr">
        <is>
          <t>0.086 SOL</t>
        </is>
      </c>
      <c r="H97" s="22" t="inlineStr">
        <is>
          <t>17.16%</t>
        </is>
      </c>
      <c r="I97" s="20" t="inlineStr">
        <is>
          <t>N/A</t>
        </is>
      </c>
      <c r="J97" s="20" t="n">
        <v>1</v>
      </c>
      <c r="K97" s="20" t="n">
        <v>1</v>
      </c>
      <c r="L97" s="20" t="inlineStr">
        <is>
          <t>25.10.2024 13:02:02</t>
        </is>
      </c>
      <c r="M97" s="20" t="inlineStr">
        <is>
          <t>1 hours</t>
        </is>
      </c>
      <c r="N97" s="20" t="inlineStr">
        <is>
          <t xml:space="preserve">         35K            40K            13K</t>
        </is>
      </c>
      <c r="O97" s="20" t="inlineStr">
        <is>
          <t>GWRUv7ptKpsj42PmnZeUoLBLfyx1TzPTx6oAZ6uKpump</t>
        </is>
      </c>
      <c r="P97" s="20">
        <f>HYPERLINK("https://dexscreener.com/solana/GWRUv7ptKpsj42PmnZeUoLBLfyx1TzPTx6oAZ6uKpump", "View")</f>
        <v/>
      </c>
    </row>
    <row r="98">
      <c r="A98" s="15" t="inlineStr">
        <is>
          <t>Aibo</t>
        </is>
      </c>
      <c r="B98" s="16" t="n">
        <v>13358788</v>
      </c>
      <c r="C98" s="16" t="n">
        <v>13358788</v>
      </c>
      <c r="D98" s="16" t="inlineStr">
        <is>
          <t>0.007740</t>
        </is>
      </c>
      <c r="E98" s="16" t="inlineStr">
        <is>
          <t>1.000 SOL</t>
        </is>
      </c>
      <c r="F98" s="16" t="inlineStr">
        <is>
          <t>1.019 SOL</t>
        </is>
      </c>
      <c r="G98" s="22" t="inlineStr">
        <is>
          <t>0.011 SOL</t>
        </is>
      </c>
      <c r="H98" s="22" t="inlineStr">
        <is>
          <t>1.08%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25.10.2024 13:01:53</t>
        </is>
      </c>
      <c r="M98" s="16" t="inlineStr">
        <is>
          <t>1 hours</t>
        </is>
      </c>
      <c r="N98" s="16" t="inlineStr">
        <is>
          <t xml:space="preserve">         12K            14K            10K</t>
        </is>
      </c>
      <c r="O98" s="16" t="inlineStr">
        <is>
          <t>9HBZEis8XnyWY8vNPVhzKKLY68byzH4gijXid7LTpump</t>
        </is>
      </c>
      <c r="P98" s="16">
        <f>HYPERLINK("https://dexscreener.com/solana/9HBZEis8XnyWY8vNPVhzKKLY68byzH4gijXid7LTpump", "View")</f>
        <v/>
      </c>
    </row>
    <row r="99">
      <c r="A99" s="19" t="inlineStr">
        <is>
          <t>Fuwa</t>
        </is>
      </c>
      <c r="B99" s="20" t="n">
        <v>7744774</v>
      </c>
      <c r="C99" s="20" t="n">
        <v>7744774</v>
      </c>
      <c r="D99" s="20" t="inlineStr">
        <is>
          <t>0.006010</t>
        </is>
      </c>
      <c r="E99" s="20" t="inlineStr">
        <is>
          <t>1.021 SOL</t>
        </is>
      </c>
      <c r="F99" s="20" t="inlineStr">
        <is>
          <t>0.477 SOL</t>
        </is>
      </c>
      <c r="G99" s="24" t="inlineStr">
        <is>
          <t>-0.550 SOL</t>
        </is>
      </c>
      <c r="H99" s="24" t="inlineStr">
        <is>
          <t>-53.51%</t>
        </is>
      </c>
      <c r="I99" s="20" t="inlineStr">
        <is>
          <t>N/A</t>
        </is>
      </c>
      <c r="J99" s="20" t="n">
        <v>1</v>
      </c>
      <c r="K99" s="20" t="n">
        <v>1</v>
      </c>
      <c r="L99" s="20" t="inlineStr">
        <is>
          <t>25.10.2024 12:19:36</t>
        </is>
      </c>
      <c r="M99" s="20" t="inlineStr">
        <is>
          <t>3 min</t>
        </is>
      </c>
      <c r="N99" s="20" t="inlineStr">
        <is>
          <t xml:space="preserve">         23K            11K             5K</t>
        </is>
      </c>
      <c r="O99" s="20" t="inlineStr">
        <is>
          <t>9698fiaPovHJ4vxBQLLR29EBxtJg4xtRNqSSo5D9Qin7</t>
        </is>
      </c>
      <c r="P99" s="20">
        <f>HYPERLINK("https://photon-sol.tinyastro.io/en/lp/9698fiaPovHJ4vxBQLLR29EBxtJg4xtRNqSSo5D9Qin7?handle=676050794bc1b1657a56b", "View")</f>
        <v/>
      </c>
    </row>
    <row r="100">
      <c r="A100" s="15" t="inlineStr">
        <is>
          <t>Xiaobai</t>
        </is>
      </c>
      <c r="B100" s="16" t="n">
        <v>6195049</v>
      </c>
      <c r="C100" s="16" t="n">
        <v>6195049</v>
      </c>
      <c r="D100" s="16" t="inlineStr">
        <is>
          <t>0.003240</t>
        </is>
      </c>
      <c r="E100" s="16" t="inlineStr">
        <is>
          <t>0.500 SOL</t>
        </is>
      </c>
      <c r="F100" s="16" t="inlineStr">
        <is>
          <t>0.514 SOL</t>
        </is>
      </c>
      <c r="G100" s="22" t="inlineStr">
        <is>
          <t>0.011 SOL</t>
        </is>
      </c>
      <c r="H100" s="22" t="inlineStr">
        <is>
          <t>2.16%</t>
        </is>
      </c>
      <c r="I100" s="16" t="inlineStr">
        <is>
          <t>N/A</t>
        </is>
      </c>
      <c r="J100" s="16" t="n">
        <v>1</v>
      </c>
      <c r="K100" s="16" t="n">
        <v>1</v>
      </c>
      <c r="L100" s="16" t="inlineStr">
        <is>
          <t>25.10.2024 12:11:13</t>
        </is>
      </c>
      <c r="M100" s="16" t="inlineStr">
        <is>
          <t>1 hours</t>
        </is>
      </c>
      <c r="N100" s="16" t="inlineStr">
        <is>
          <t xml:space="preserve">         14K            14K            10K</t>
        </is>
      </c>
      <c r="O100" s="16" t="inlineStr">
        <is>
          <t>A9FFYjRPbKSgVe4qTxMqiQfGHEaV7TnNisjumYsbpump</t>
        </is>
      </c>
      <c r="P100" s="16">
        <f>HYPERLINK("https://dexscreener.com/solana/A9FFYjRPbKSgVe4qTxMqiQfGHEaV7TnNisjumYsbpump", "View")</f>
        <v/>
      </c>
    </row>
    <row r="101">
      <c r="A101" s="19" t="inlineStr">
        <is>
          <t>MEDS</t>
        </is>
      </c>
      <c r="B101" s="20" t="n">
        <v>4012654</v>
      </c>
      <c r="C101" s="20" t="n">
        <v>4012654</v>
      </c>
      <c r="D101" s="20" t="inlineStr">
        <is>
          <t>0.006010</t>
        </is>
      </c>
      <c r="E101" s="20" t="inlineStr">
        <is>
          <t>0.615 SOL</t>
        </is>
      </c>
      <c r="F101" s="20" t="inlineStr">
        <is>
          <t>0.251 SOL</t>
        </is>
      </c>
      <c r="G101" s="24" t="inlineStr">
        <is>
          <t>-0.371 SOL</t>
        </is>
      </c>
      <c r="H101" s="24" t="inlineStr">
        <is>
          <t>-59.68%</t>
        </is>
      </c>
      <c r="I101" s="20" t="inlineStr">
        <is>
          <t>N/A</t>
        </is>
      </c>
      <c r="J101" s="20" t="n">
        <v>1</v>
      </c>
      <c r="K101" s="20" t="n">
        <v>1</v>
      </c>
      <c r="L101" s="20" t="inlineStr">
        <is>
          <t>25.10.2024 12:05:41</t>
        </is>
      </c>
      <c r="M101" s="18" t="inlineStr">
        <is>
          <t>52 sec</t>
        </is>
      </c>
      <c r="N101" s="20" t="inlineStr">
        <is>
          <t xml:space="preserve">         26K            11K             5K</t>
        </is>
      </c>
      <c r="O101" s="20" t="inlineStr">
        <is>
          <t>Gz7nQ3uUUxhMfkgScXAhhp6hmrGFnuz6hxM2sGC5pump</t>
        </is>
      </c>
      <c r="P101" s="20">
        <f>HYPERLINK("https://photon-sol.tinyastro.io/en/lp/Gz7nQ3uUUxhMfkgScXAhhp6hmrGFnuz6hxM2sGC5pump?handle=676050794bc1b1657a56b", "View")</f>
        <v/>
      </c>
    </row>
    <row r="102">
      <c r="A102" s="15" t="inlineStr">
        <is>
          <t>VPN</t>
        </is>
      </c>
      <c r="B102" s="16" t="n">
        <v>1477720</v>
      </c>
      <c r="C102" s="16" t="n">
        <v>1477720</v>
      </c>
      <c r="D102" s="16" t="inlineStr">
        <is>
          <t>0.000460</t>
        </is>
      </c>
      <c r="E102" s="16" t="inlineStr">
        <is>
          <t>0.312 SOL</t>
        </is>
      </c>
      <c r="F102" s="16" t="inlineStr">
        <is>
          <t>0.253 SOL</t>
        </is>
      </c>
      <c r="G102" s="21" t="inlineStr">
        <is>
          <t>-0.059 SOL</t>
        </is>
      </c>
      <c r="H102" s="21" t="inlineStr">
        <is>
          <t>-18.87%</t>
        </is>
      </c>
      <c r="I102" s="16" t="inlineStr">
        <is>
          <t>N/A</t>
        </is>
      </c>
      <c r="J102" s="16" t="n">
        <v>1</v>
      </c>
      <c r="K102" s="16" t="n">
        <v>1</v>
      </c>
      <c r="L102" s="16" t="inlineStr">
        <is>
          <t>25.10.2024 11:31:26</t>
        </is>
      </c>
      <c r="M102" s="16" t="inlineStr">
        <is>
          <t>1 min</t>
        </is>
      </c>
      <c r="N102" s="16" t="inlineStr">
        <is>
          <t xml:space="preserve">         37K            30K             6K</t>
        </is>
      </c>
      <c r="O102" s="16" t="inlineStr">
        <is>
          <t>HxiPu2T4EXfTo33RCvkihRSxUT11Z7ow6yHM7arHpump</t>
        </is>
      </c>
      <c r="P102" s="16">
        <f>HYPERLINK("https://photon-sol.tinyastro.io/en/lp/HxiPu2T4EXfTo33RCvkihRSxUT11Z7ow6yHM7arHpump?handle=676050794bc1b1657a56b", "View")</f>
        <v/>
      </c>
    </row>
    <row r="103">
      <c r="A103" s="19" t="inlineStr">
        <is>
          <t>arni</t>
        </is>
      </c>
      <c r="B103" s="20" t="n">
        <v>14368523</v>
      </c>
      <c r="C103" s="20" t="n">
        <v>14368523</v>
      </c>
      <c r="D103" s="20" t="inlineStr">
        <is>
          <t>0.006010</t>
        </is>
      </c>
      <c r="E103" s="20" t="inlineStr">
        <is>
          <t>0.513 SOL</t>
        </is>
      </c>
      <c r="F103" s="20" t="inlineStr">
        <is>
          <t>0.460 SOL</t>
        </is>
      </c>
      <c r="G103" s="21" t="inlineStr">
        <is>
          <t>-0.059 SOL</t>
        </is>
      </c>
      <c r="H103" s="21" t="inlineStr">
        <is>
          <t>-11.32%</t>
        </is>
      </c>
      <c r="I103" s="20" t="inlineStr">
        <is>
          <t>N/A</t>
        </is>
      </c>
      <c r="J103" s="20" t="n">
        <v>1</v>
      </c>
      <c r="K103" s="20" t="n">
        <v>1</v>
      </c>
      <c r="L103" s="20" t="inlineStr">
        <is>
          <t>25.10.2024 11:25:07</t>
        </is>
      </c>
      <c r="M103" s="20" t="inlineStr">
        <is>
          <t>1 min</t>
        </is>
      </c>
      <c r="N103" s="20" t="inlineStr">
        <is>
          <t xml:space="preserve">          7K             5K             5K</t>
        </is>
      </c>
      <c r="O103" s="20" t="inlineStr">
        <is>
          <t>J5BjAsLZXq3y6Qs8UDh41eVatx8bzkCY7JBJb23spump</t>
        </is>
      </c>
      <c r="P103" s="20">
        <f>HYPERLINK("https://photon-sol.tinyastro.io/en/lp/J5BjAsLZXq3y6Qs8UDh41eVatx8bzkCY7JBJb23spump?handle=676050794bc1b1657a56b", "View")</f>
        <v/>
      </c>
    </row>
    <row r="104">
      <c r="A104" s="15" t="inlineStr">
        <is>
          <t>karter</t>
        </is>
      </c>
      <c r="B104" s="16" t="n">
        <v>15042361</v>
      </c>
      <c r="C104" s="16" t="n">
        <v>15042361</v>
      </c>
      <c r="D104" s="16" t="inlineStr">
        <is>
          <t>0.006010</t>
        </is>
      </c>
      <c r="E104" s="16" t="inlineStr">
        <is>
          <t>0.513 SOL</t>
        </is>
      </c>
      <c r="F104" s="16" t="inlineStr">
        <is>
          <t>0.425 SOL</t>
        </is>
      </c>
      <c r="G104" s="21" t="inlineStr">
        <is>
          <t>-0.094 SOL</t>
        </is>
      </c>
      <c r="H104" s="21" t="inlineStr">
        <is>
          <t>-18.11%</t>
        </is>
      </c>
      <c r="I104" s="16" t="inlineStr">
        <is>
          <t>N/A</t>
        </is>
      </c>
      <c r="J104" s="16" t="n">
        <v>1</v>
      </c>
      <c r="K104" s="16" t="n">
        <v>1</v>
      </c>
      <c r="L104" s="16" t="inlineStr">
        <is>
          <t>25.10.2024 11:22:22</t>
        </is>
      </c>
      <c r="M104" s="18" t="inlineStr">
        <is>
          <t>17 sec</t>
        </is>
      </c>
      <c r="N104" s="16" t="inlineStr">
        <is>
          <t xml:space="preserve">          5K             5K             5K</t>
        </is>
      </c>
      <c r="O104" s="16" t="inlineStr">
        <is>
          <t>DQ7y7jtU4tHbZQvAXzaXxsLxQcvRnjpoB8jGH5Xrpump</t>
        </is>
      </c>
      <c r="P104" s="16">
        <f>HYPERLINK("https://photon-sol.tinyastro.io/en/lp/DQ7y7jtU4tHbZQvAXzaXxsLxQcvRnjpoB8jGH5Xrpump?handle=676050794bc1b1657a56b", "View")</f>
        <v/>
      </c>
    </row>
    <row r="105">
      <c r="A105" s="19" t="inlineStr">
        <is>
          <t>AKHY</t>
        </is>
      </c>
      <c r="B105" s="20" t="n">
        <v>15775476</v>
      </c>
      <c r="C105" s="20" t="n">
        <v>15775476</v>
      </c>
      <c r="D105" s="20" t="inlineStr">
        <is>
          <t>0.006010</t>
        </is>
      </c>
      <c r="E105" s="20" t="inlineStr">
        <is>
          <t>0.562 SOL</t>
        </is>
      </c>
      <c r="F105" s="20" t="inlineStr">
        <is>
          <t>0.629 SOL</t>
        </is>
      </c>
      <c r="G105" s="22" t="inlineStr">
        <is>
          <t>0.061 SOL</t>
        </is>
      </c>
      <c r="H105" s="22" t="inlineStr">
        <is>
          <t>10.75%</t>
        </is>
      </c>
      <c r="I105" s="20" t="inlineStr">
        <is>
          <t>N/A</t>
        </is>
      </c>
      <c r="J105" s="20" t="n">
        <v>1</v>
      </c>
      <c r="K105" s="20" t="n">
        <v>1</v>
      </c>
      <c r="L105" s="20" t="inlineStr">
        <is>
          <t>25.10.2024 11:20:29</t>
        </is>
      </c>
      <c r="M105" s="20" t="inlineStr">
        <is>
          <t>1 min</t>
        </is>
      </c>
      <c r="N105" s="20" t="inlineStr">
        <is>
          <t xml:space="preserve">          7K             7K             5K</t>
        </is>
      </c>
      <c r="O105" s="20" t="inlineStr">
        <is>
          <t>2EY7UsM7TDpmT8PXZ9VkMwGXEtWUQpgy7bLjUpKXpump</t>
        </is>
      </c>
      <c r="P105" s="20">
        <f>HYPERLINK("https://photon-sol.tinyastro.io/en/lp/2EY7UsM7TDpmT8PXZ9VkMwGXEtWUQpgy7bLjUpKXpump?handle=676050794bc1b1657a56b", "View")</f>
        <v/>
      </c>
    </row>
    <row r="106">
      <c r="A106" s="15" t="inlineStr">
        <is>
          <t>TATE</t>
        </is>
      </c>
      <c r="B106" s="16" t="n">
        <v>11243051</v>
      </c>
      <c r="C106" s="16" t="n">
        <v>11243051</v>
      </c>
      <c r="D106" s="16" t="inlineStr">
        <is>
          <t>0.009010</t>
        </is>
      </c>
      <c r="E106" s="16" t="inlineStr">
        <is>
          <t>0.544 SOL</t>
        </is>
      </c>
      <c r="F106" s="16" t="inlineStr">
        <is>
          <t>1.197 SOL</t>
        </is>
      </c>
      <c r="G106" s="23" t="inlineStr">
        <is>
          <t>0.644 SOL</t>
        </is>
      </c>
      <c r="H106" s="23" t="inlineStr">
        <is>
          <t>116.41%</t>
        </is>
      </c>
      <c r="I106" s="16" t="inlineStr">
        <is>
          <t>N/A</t>
        </is>
      </c>
      <c r="J106" s="16" t="n">
        <v>1</v>
      </c>
      <c r="K106" s="16" t="n">
        <v>2</v>
      </c>
      <c r="L106" s="16" t="inlineStr">
        <is>
          <t>25.10.2024 11:12:48</t>
        </is>
      </c>
      <c r="M106" s="16" t="inlineStr">
        <is>
          <t>5 min</t>
        </is>
      </c>
      <c r="N106" s="16" t="inlineStr">
        <is>
          <t xml:space="preserve">          9K            16K             5K</t>
        </is>
      </c>
      <c r="O106" s="16" t="inlineStr">
        <is>
          <t>DH7T1BfuTYqDV75fveYGUpqr41dR5JrFDXK1Ju56pump</t>
        </is>
      </c>
      <c r="P106" s="16">
        <f>HYPERLINK("https://photon-sol.tinyastro.io/en/lp/DH7T1BfuTYqDV75fveYGUpqr41dR5JrFDXK1Ju56pump?handle=676050794bc1b1657a56b", "View")</f>
        <v/>
      </c>
    </row>
    <row r="107">
      <c r="A107" s="19" t="inlineStr">
        <is>
          <t>Equinox</t>
        </is>
      </c>
      <c r="B107" s="20" t="n">
        <v>3745131</v>
      </c>
      <c r="C107" s="20" t="n">
        <v>3745131</v>
      </c>
      <c r="D107" s="20" t="inlineStr">
        <is>
          <t>0.006010</t>
        </is>
      </c>
      <c r="E107" s="20" t="inlineStr">
        <is>
          <t>0.585 SOL</t>
        </is>
      </c>
      <c r="F107" s="20" t="inlineStr">
        <is>
          <t>0.109 SOL</t>
        </is>
      </c>
      <c r="G107" s="24" t="inlineStr">
        <is>
          <t>-0.482 SOL</t>
        </is>
      </c>
      <c r="H107" s="24" t="inlineStr">
        <is>
          <t>-81.52%</t>
        </is>
      </c>
      <c r="I107" s="20" t="inlineStr">
        <is>
          <t>N/A</t>
        </is>
      </c>
      <c r="J107" s="20" t="n">
        <v>1</v>
      </c>
      <c r="K107" s="20" t="n">
        <v>1</v>
      </c>
      <c r="L107" s="20" t="inlineStr">
        <is>
          <t>25.10.2024 11:01:52</t>
        </is>
      </c>
      <c r="M107" s="18" t="inlineStr">
        <is>
          <t>34 sec</t>
        </is>
      </c>
      <c r="N107" s="20" t="inlineStr">
        <is>
          <t xml:space="preserve">         28K             5K             5K</t>
        </is>
      </c>
      <c r="O107" s="20" t="inlineStr">
        <is>
          <t>QU3pzQ3neCtrxxXZE8YsNEvoZmiWJz9FCWTzRf5pump</t>
        </is>
      </c>
      <c r="P107" s="20">
        <f>HYPERLINK("https://photon-sol.tinyastro.io/en/lp/QU3pzQ3neCtrxxXZE8YsNEvoZmiWJz9FCWTzRf5pump?handle=676050794bc1b1657a56b", "View")</f>
        <v/>
      </c>
    </row>
    <row r="108">
      <c r="A108" s="15" t="inlineStr">
        <is>
          <t>fwogmi</t>
        </is>
      </c>
      <c r="B108" s="16" t="n">
        <v>416774</v>
      </c>
      <c r="C108" s="16" t="n">
        <v>416774</v>
      </c>
      <c r="D108" s="16" t="inlineStr">
        <is>
          <t>0.000460</t>
        </is>
      </c>
      <c r="E108" s="16" t="inlineStr">
        <is>
          <t>1.000 SOL</t>
        </is>
      </c>
      <c r="F108" s="16" t="inlineStr">
        <is>
          <t>0.933 SOL</t>
        </is>
      </c>
      <c r="G108" s="21" t="inlineStr">
        <is>
          <t>-0.067 SOL</t>
        </is>
      </c>
      <c r="H108" s="21" t="inlineStr">
        <is>
          <t>-6.71%</t>
        </is>
      </c>
      <c r="I108" s="16" t="inlineStr">
        <is>
          <t>N/A</t>
        </is>
      </c>
      <c r="J108" s="16" t="n">
        <v>1</v>
      </c>
      <c r="K108" s="16" t="n">
        <v>1</v>
      </c>
      <c r="L108" s="16" t="inlineStr">
        <is>
          <t>25.10.2024 09:31:22</t>
        </is>
      </c>
      <c r="M108" s="18" t="inlineStr">
        <is>
          <t>23 sec</t>
        </is>
      </c>
      <c r="N108" s="16" t="inlineStr">
        <is>
          <t xml:space="preserve">        422K           393K           138K</t>
        </is>
      </c>
      <c r="O108" s="16" t="inlineStr">
        <is>
          <t>3xv6pWP1oVENMkZAASxoiAF4dFH9PGVtDnVw8xrbpump</t>
        </is>
      </c>
      <c r="P108" s="16">
        <f>HYPERLINK("https://dexscreener.com/solana/3xv6pWP1oVENMkZAASxoiAF4dFH9PGVtDnVw8xrbpump", "View")</f>
        <v/>
      </c>
    </row>
    <row r="109">
      <c r="A109" s="19" t="inlineStr">
        <is>
          <t>teno</t>
        </is>
      </c>
      <c r="B109" s="20" t="n">
        <v>1372563</v>
      </c>
      <c r="C109" s="20" t="n">
        <v>1372563</v>
      </c>
      <c r="D109" s="20" t="inlineStr">
        <is>
          <t>0.000460</t>
        </is>
      </c>
      <c r="E109" s="20" t="inlineStr">
        <is>
          <t>0.500 SOL</t>
        </is>
      </c>
      <c r="F109" s="20" t="inlineStr">
        <is>
          <t>0.460 SOL</t>
        </is>
      </c>
      <c r="G109" s="21" t="inlineStr">
        <is>
          <t>-0.040 SOL</t>
        </is>
      </c>
      <c r="H109" s="21" t="inlineStr">
        <is>
          <t>-8.05%</t>
        </is>
      </c>
      <c r="I109" s="20" t="inlineStr">
        <is>
          <t>N/A</t>
        </is>
      </c>
      <c r="J109" s="20" t="n">
        <v>1</v>
      </c>
      <c r="K109" s="20" t="n">
        <v>1</v>
      </c>
      <c r="L109" s="20" t="inlineStr">
        <is>
          <t>25.10.2024 08:14:08</t>
        </is>
      </c>
      <c r="M109" s="20" t="inlineStr">
        <is>
          <t>5 hours</t>
        </is>
      </c>
      <c r="N109" s="20" t="inlineStr">
        <is>
          <t xml:space="preserve">         63K            63K            31K</t>
        </is>
      </c>
      <c r="O109" s="20" t="inlineStr">
        <is>
          <t>7WMh8NGrjgqQGUF8UX6GRwAAAfVJ57EvgzvDsgEmpump</t>
        </is>
      </c>
      <c r="P109" s="20">
        <f>HYPERLINK("https://dexscreener.com/solana/7WMh8NGrjgqQGUF8UX6GRwAAAfVJ57EvgzvDsgEmpump", "View")</f>
        <v/>
      </c>
    </row>
    <row r="110">
      <c r="A110" s="15" t="inlineStr">
        <is>
          <t>GPT2</t>
        </is>
      </c>
      <c r="B110" s="16" t="n">
        <v>2733259</v>
      </c>
      <c r="C110" s="16" t="n">
        <v>2733259</v>
      </c>
      <c r="D110" s="16" t="inlineStr">
        <is>
          <t>0.000460</t>
        </is>
      </c>
      <c r="E110" s="16" t="inlineStr">
        <is>
          <t>0.500 SOL</t>
        </is>
      </c>
      <c r="F110" s="16" t="inlineStr">
        <is>
          <t>0.558 SOL</t>
        </is>
      </c>
      <c r="G110" s="22" t="inlineStr">
        <is>
          <t>0.057 SOL</t>
        </is>
      </c>
      <c r="H110" s="22" t="inlineStr">
        <is>
          <t>11.43%</t>
        </is>
      </c>
      <c r="I110" s="16" t="inlineStr">
        <is>
          <t>N/A</t>
        </is>
      </c>
      <c r="J110" s="16" t="n">
        <v>1</v>
      </c>
      <c r="K110" s="16" t="n">
        <v>1</v>
      </c>
      <c r="L110" s="16" t="inlineStr">
        <is>
          <t>25.10.2024 02:14:34</t>
        </is>
      </c>
      <c r="M110" s="18" t="inlineStr">
        <is>
          <t>32 sec</t>
        </is>
      </c>
      <c r="N110" s="16" t="inlineStr">
        <is>
          <t xml:space="preserve">         30K            33K             4K</t>
        </is>
      </c>
      <c r="O110" s="16" t="inlineStr">
        <is>
          <t>EnLdWPQrjQqyrCP2zuQ4AKbmyJrB4kraMkfotV6gpump</t>
        </is>
      </c>
      <c r="P110" s="16">
        <f>HYPERLINK("https://dexscreener.com/solana/EnLdWPQrjQqyrCP2zuQ4AKbmyJrB4kraMkfotV6gpump", "View")</f>
        <v/>
      </c>
    </row>
    <row r="111">
      <c r="A111" s="19" t="inlineStr">
        <is>
          <t>ruby</t>
        </is>
      </c>
      <c r="B111" s="20" t="n">
        <v>890325</v>
      </c>
      <c r="C111" s="20" t="n">
        <v>890325</v>
      </c>
      <c r="D111" s="20" t="inlineStr">
        <is>
          <t>0.003240</t>
        </is>
      </c>
      <c r="E111" s="20" t="inlineStr">
        <is>
          <t>0.500 SOL</t>
        </is>
      </c>
      <c r="F111" s="20" t="inlineStr">
        <is>
          <t>0.086 SOL</t>
        </is>
      </c>
      <c r="G111" s="24" t="inlineStr">
        <is>
          <t>-0.417 SOL</t>
        </is>
      </c>
      <c r="H111" s="24" t="inlineStr">
        <is>
          <t>-82.96%</t>
        </is>
      </c>
      <c r="I111" s="20" t="inlineStr">
        <is>
          <t>N/A</t>
        </is>
      </c>
      <c r="J111" s="20" t="n">
        <v>1</v>
      </c>
      <c r="K111" s="20" t="n">
        <v>1</v>
      </c>
      <c r="L111" s="20" t="inlineStr">
        <is>
          <t>25.10.2024 01:22:04</t>
        </is>
      </c>
      <c r="M111" s="20" t="inlineStr">
        <is>
          <t>2 days</t>
        </is>
      </c>
      <c r="N111" s="20" t="inlineStr">
        <is>
          <t xml:space="preserve">         98K            98K            57K</t>
        </is>
      </c>
      <c r="O111" s="20" t="inlineStr">
        <is>
          <t>ABHQGzXNoRbJ1sjUsCJ2TmTAo1uMx4EUpV1qYiSVpump</t>
        </is>
      </c>
      <c r="P111" s="20">
        <f>HYPERLINK("https://dexscreener.com/solana/ABHQGzXNoRbJ1sjUsCJ2TmTAo1uMx4EUpV1qYiSVpump", "View")</f>
        <v/>
      </c>
    </row>
    <row r="112">
      <c r="A112" s="15" t="inlineStr">
        <is>
          <t>MIMI</t>
        </is>
      </c>
      <c r="B112" s="16" t="n">
        <v>3293990</v>
      </c>
      <c r="C112" s="16" t="n">
        <v>3293990</v>
      </c>
      <c r="D112" s="16" t="inlineStr">
        <is>
          <t>0.022980</t>
        </is>
      </c>
      <c r="E112" s="16" t="inlineStr">
        <is>
          <t>1.000 SOL</t>
        </is>
      </c>
      <c r="F112" s="16" t="inlineStr">
        <is>
          <t>3.003 SOL</t>
        </is>
      </c>
      <c r="G112" s="23" t="inlineStr">
        <is>
          <t>1.980 SOL</t>
        </is>
      </c>
      <c r="H112" s="23" t="inlineStr">
        <is>
          <t>193.55%</t>
        </is>
      </c>
      <c r="I112" s="16" t="inlineStr">
        <is>
          <t>N/A</t>
        </is>
      </c>
      <c r="J112" s="16" t="n">
        <v>2</v>
      </c>
      <c r="K112" s="16" t="n">
        <v>3</v>
      </c>
      <c r="L112" s="16" t="inlineStr">
        <is>
          <t>25.10.2024 01:21:50</t>
        </is>
      </c>
      <c r="M112" s="16" t="inlineStr">
        <is>
          <t>3 days</t>
        </is>
      </c>
      <c r="N112" s="16" t="inlineStr">
        <is>
          <t xml:space="preserve">        133K           566K            31K</t>
        </is>
      </c>
      <c r="O112" s="16" t="inlineStr">
        <is>
          <t>9iuze1ULYZhfVyBwuNu2B2opAWphD5XYsyrfWV5Gpump</t>
        </is>
      </c>
      <c r="P112" s="16">
        <f>HYPERLINK("https://dexscreener.com/solana/9iuze1ULYZhfVyBwuNu2B2opAWphD5XYsyrfWV5Gpump", "View")</f>
        <v/>
      </c>
    </row>
    <row r="113">
      <c r="A113" s="19" t="inlineStr">
        <is>
          <t>TateAI</t>
        </is>
      </c>
      <c r="B113" s="20" t="n">
        <v>128688</v>
      </c>
      <c r="C113" s="20" t="n">
        <v>128688</v>
      </c>
      <c r="D113" s="20" t="inlineStr">
        <is>
          <t>0.000920</t>
        </is>
      </c>
      <c r="E113" s="20" t="inlineStr">
        <is>
          <t>1.500 SOL</t>
        </is>
      </c>
      <c r="F113" s="20" t="inlineStr">
        <is>
          <t>1.309 SOL</t>
        </is>
      </c>
      <c r="G113" s="21" t="inlineStr">
        <is>
          <t>-0.192 SOL</t>
        </is>
      </c>
      <c r="H113" s="21" t="inlineStr">
        <is>
          <t>-12.77%</t>
        </is>
      </c>
      <c r="I113" s="20" t="inlineStr">
        <is>
          <t>N/A</t>
        </is>
      </c>
      <c r="J113" s="20" t="n">
        <v>2</v>
      </c>
      <c r="K113" s="20" t="n">
        <v>2</v>
      </c>
      <c r="L113" s="20" t="inlineStr">
        <is>
          <t>24.10.2024 09:26:40</t>
        </is>
      </c>
      <c r="M113" s="20" t="inlineStr">
        <is>
          <t>7 min</t>
        </is>
      </c>
      <c r="N113" s="20" t="inlineStr">
        <is>
          <t xml:space="preserve">          2M             1M           659K</t>
        </is>
      </c>
      <c r="O113" s="20" t="inlineStr">
        <is>
          <t>BoBj68cWnCvzMNUKzJyR7Jq7tLM3v76D1pYL1E8rpump</t>
        </is>
      </c>
      <c r="P113" s="20">
        <f>HYPERLINK("https://dexscreener.com/solana/BoBj68cWnCvzMNUKzJyR7Jq7tLM3v76D1pYL1E8rpump", "View")</f>
        <v/>
      </c>
    </row>
    <row r="114">
      <c r="A114" s="15" t="inlineStr">
        <is>
          <t>holy whore</t>
        </is>
      </c>
      <c r="B114" s="16" t="n">
        <v>1410142</v>
      </c>
      <c r="C114" s="16" t="n">
        <v>1410142</v>
      </c>
      <c r="D114" s="16" t="inlineStr">
        <is>
          <t>0.000460</t>
        </is>
      </c>
      <c r="E114" s="16" t="inlineStr">
        <is>
          <t>1.000 SOL</t>
        </is>
      </c>
      <c r="F114" s="16" t="inlineStr">
        <is>
          <t>1.453 SOL</t>
        </is>
      </c>
      <c r="G114" s="22" t="inlineStr">
        <is>
          <t>0.453 SOL</t>
        </is>
      </c>
      <c r="H114" s="22" t="inlineStr">
        <is>
          <t>45.27%</t>
        </is>
      </c>
      <c r="I114" s="16" t="inlineStr">
        <is>
          <t>N/A</t>
        </is>
      </c>
      <c r="J114" s="16" t="n">
        <v>1</v>
      </c>
      <c r="K114" s="16" t="n">
        <v>1</v>
      </c>
      <c r="L114" s="16" t="inlineStr">
        <is>
          <t>24.10.2024 05:43:35</t>
        </is>
      </c>
      <c r="M114" s="16" t="inlineStr">
        <is>
          <t>2 min</t>
        </is>
      </c>
      <c r="N114" s="16" t="inlineStr">
        <is>
          <t xml:space="preserve">        125K           181K            16K</t>
        </is>
      </c>
      <c r="O114" s="16" t="inlineStr">
        <is>
          <t>AYKA69vt8dGabhiBSJ5hjsG9rK78nwC6ZvVVCV3opump</t>
        </is>
      </c>
      <c r="P114" s="16">
        <f>HYPERLINK("https://dexscreener.com/solana/AYKA69vt8dGabhiBSJ5hjsG9rK78nwC6ZvVVCV3opump", "View")</f>
        <v/>
      </c>
    </row>
    <row r="115">
      <c r="A115" s="19" t="inlineStr">
        <is>
          <t>PMPFN</t>
        </is>
      </c>
      <c r="B115" s="20" t="n">
        <v>3708928</v>
      </c>
      <c r="C115" s="20" t="n">
        <v>3708928</v>
      </c>
      <c r="D115" s="20" t="inlineStr">
        <is>
          <t>0.000460</t>
        </is>
      </c>
      <c r="E115" s="20" t="inlineStr">
        <is>
          <t>0.500 SOL</t>
        </is>
      </c>
      <c r="F115" s="20" t="inlineStr">
        <is>
          <t>0.268 SOL</t>
        </is>
      </c>
      <c r="G115" s="21" t="inlineStr">
        <is>
          <t>-0.232 SOL</t>
        </is>
      </c>
      <c r="H115" s="21" t="inlineStr">
        <is>
          <t>-46.44%</t>
        </is>
      </c>
      <c r="I115" s="20" t="inlineStr">
        <is>
          <t>N/A</t>
        </is>
      </c>
      <c r="J115" s="20" t="n">
        <v>1</v>
      </c>
      <c r="K115" s="20" t="n">
        <v>1</v>
      </c>
      <c r="L115" s="20" t="inlineStr">
        <is>
          <t>24.10.2024 05:40:20</t>
        </is>
      </c>
      <c r="M115" s="20" t="inlineStr">
        <is>
          <t>6 min</t>
        </is>
      </c>
      <c r="N115" s="20" t="inlineStr">
        <is>
          <t xml:space="preserve">         23K            12K             5K</t>
        </is>
      </c>
      <c r="O115" s="20" t="inlineStr">
        <is>
          <t>DBVLyL7bmwyED4gUh2NQ38kdRJTKNrYSK6JasBsopump</t>
        </is>
      </c>
      <c r="P115" s="20">
        <f>HYPERLINK("https://dexscreener.com/solana/DBVLyL7bmwyED4gUh2NQ38kdRJTKNrYSK6JasBsopump", "View")</f>
        <v/>
      </c>
    </row>
    <row r="116">
      <c r="A116" s="15" t="inlineStr">
        <is>
          <t>HKY</t>
        </is>
      </c>
      <c r="B116" s="16" t="n">
        <v>877657</v>
      </c>
      <c r="C116" s="16" t="n">
        <v>877657</v>
      </c>
      <c r="D116" s="16" t="inlineStr">
        <is>
          <t>0.000020</t>
        </is>
      </c>
      <c r="E116" s="16" t="inlineStr">
        <is>
          <t>0.500 SOL</t>
        </is>
      </c>
      <c r="F116" s="16" t="inlineStr">
        <is>
          <t>0.229 SOL</t>
        </is>
      </c>
      <c r="G116" s="24" t="inlineStr">
        <is>
          <t>-0.271 SOL</t>
        </is>
      </c>
      <c r="H116" s="24" t="inlineStr">
        <is>
          <t>-54.16%</t>
        </is>
      </c>
      <c r="I116" s="16" t="inlineStr">
        <is>
          <t>N/A</t>
        </is>
      </c>
      <c r="J116" s="16" t="n">
        <v>1</v>
      </c>
      <c r="K116" s="16" t="n">
        <v>1</v>
      </c>
      <c r="L116" s="16" t="inlineStr">
        <is>
          <t>24.10.2024 04:28:30</t>
        </is>
      </c>
      <c r="M116" s="16" t="inlineStr">
        <is>
          <t>3 min</t>
        </is>
      </c>
      <c r="N116" s="16" t="inlineStr">
        <is>
          <t xml:space="preserve">        100K            46K             6K</t>
        </is>
      </c>
      <c r="O116" s="16" t="inlineStr">
        <is>
          <t>ByaTYruLNRG413eayk7XeyrLNAVmmZfHaxUTo8rmpump</t>
        </is>
      </c>
      <c r="P116" s="16">
        <f>HYPERLINK("https://dexscreener.com/solana/ByaTYruLNRG413eayk7XeyrLNAVmmZfHaxUTo8rmpump", "View")</f>
        <v/>
      </c>
    </row>
    <row r="117">
      <c r="A117" s="19" t="inlineStr">
        <is>
          <t>XCQY-V1D1</t>
        </is>
      </c>
      <c r="B117" s="20" t="n">
        <v>9284670</v>
      </c>
      <c r="C117" s="20" t="n">
        <v>9284670</v>
      </c>
      <c r="D117" s="20" t="inlineStr">
        <is>
          <t>0.000020</t>
        </is>
      </c>
      <c r="E117" s="20" t="inlineStr">
        <is>
          <t>0.561 SOL</t>
        </is>
      </c>
      <c r="F117" s="20" t="inlineStr">
        <is>
          <t>0.424 SOL</t>
        </is>
      </c>
      <c r="G117" s="21" t="inlineStr">
        <is>
          <t>-0.137 SOL</t>
        </is>
      </c>
      <c r="H117" s="21" t="inlineStr">
        <is>
          <t>-24.42%</t>
        </is>
      </c>
      <c r="I117" s="20" t="inlineStr">
        <is>
          <t>N/A</t>
        </is>
      </c>
      <c r="J117" s="20" t="n">
        <v>1</v>
      </c>
      <c r="K117" s="20" t="n">
        <v>1</v>
      </c>
      <c r="L117" s="20" t="inlineStr">
        <is>
          <t>24.10.2024 04:04:36</t>
        </is>
      </c>
      <c r="M117" s="20" t="inlineStr">
        <is>
          <t>4 min</t>
        </is>
      </c>
      <c r="N117" s="20" t="inlineStr">
        <is>
          <t xml:space="preserve">         11K             9K             5K</t>
        </is>
      </c>
      <c r="O117" s="20" t="inlineStr">
        <is>
          <t>G27oPxx74MjcAjVf9ZZZBrVHnPeXjigZDtqLBERiRuM9</t>
        </is>
      </c>
      <c r="P117" s="20">
        <f>HYPERLINK("https://photon-sol.tinyastro.io/en/lp/G27oPxx74MjcAjVf9ZZZBrVHnPeXjigZDtqLBERiRuM9?handle=676050794bc1b1657a56b", "View")</f>
        <v/>
      </c>
    </row>
    <row r="118">
      <c r="A118" s="15" t="inlineStr">
        <is>
          <t>DEVCAT</t>
        </is>
      </c>
      <c r="B118" s="16" t="n">
        <v>4343913</v>
      </c>
      <c r="C118" s="16" t="n">
        <v>4343912</v>
      </c>
      <c r="D118" s="16" t="inlineStr">
        <is>
          <t>0.007920</t>
        </is>
      </c>
      <c r="E118" s="16" t="inlineStr">
        <is>
          <t>0.195 SOL</t>
        </is>
      </c>
      <c r="F118" s="16" t="inlineStr">
        <is>
          <t>0.132 SOL</t>
        </is>
      </c>
      <c r="G118" s="21" t="inlineStr">
        <is>
          <t>-0.071 SOL</t>
        </is>
      </c>
      <c r="H118" s="21" t="inlineStr">
        <is>
          <t>-34.83%</t>
        </is>
      </c>
      <c r="I118" s="16" t="inlineStr">
        <is>
          <t>N/A</t>
        </is>
      </c>
      <c r="J118" s="16" t="n">
        <v>1</v>
      </c>
      <c r="K118" s="16" t="n">
        <v>1</v>
      </c>
      <c r="L118" s="16" t="inlineStr">
        <is>
          <t>23.10.2024 17:08:25</t>
        </is>
      </c>
      <c r="M118" s="16" t="inlineStr">
        <is>
          <t>13 min</t>
        </is>
      </c>
      <c r="N118" s="16" t="inlineStr">
        <is>
          <t xml:space="preserve">          7K             5K             5K</t>
        </is>
      </c>
      <c r="O118" s="16" t="inlineStr">
        <is>
          <t>CATPjbbu15byKWr8Yziwf8YEucrueBvVyQYEFShArEHY</t>
        </is>
      </c>
      <c r="P118" s="16">
        <f>HYPERLINK("https://photon-sol.tinyastro.io/en/lp/CATPjbbu15byKWr8Yziwf8YEucrueBvVyQYEFShArEHY?handle=676050794bc1b1657a56b", "View")</f>
        <v/>
      </c>
    </row>
    <row r="119">
      <c r="A119" s="19" t="inlineStr">
        <is>
          <t>MIA</t>
        </is>
      </c>
      <c r="B119" s="20" t="n">
        <v>4436718</v>
      </c>
      <c r="C119" s="20" t="n">
        <v>4436718</v>
      </c>
      <c r="D119" s="20" t="inlineStr">
        <is>
          <t>0.015010</t>
        </is>
      </c>
      <c r="E119" s="20" t="inlineStr">
        <is>
          <t>0.580 SOL</t>
        </is>
      </c>
      <c r="F119" s="20" t="inlineStr">
        <is>
          <t>0.665 SOL</t>
        </is>
      </c>
      <c r="G119" s="22" t="inlineStr">
        <is>
          <t>0.070 SOL</t>
        </is>
      </c>
      <c r="H119" s="22" t="inlineStr">
        <is>
          <t>11.77%</t>
        </is>
      </c>
      <c r="I119" s="20" t="inlineStr">
        <is>
          <t>N/A</t>
        </is>
      </c>
      <c r="J119" s="20" t="n">
        <v>1</v>
      </c>
      <c r="K119" s="20" t="n">
        <v>1</v>
      </c>
      <c r="L119" s="20" t="inlineStr">
        <is>
          <t>23.10.2024 16:50:51</t>
        </is>
      </c>
      <c r="M119" s="20" t="inlineStr">
        <is>
          <t>8 min</t>
        </is>
      </c>
      <c r="N119" s="20" t="inlineStr">
        <is>
          <t xml:space="preserve">         23K            26K             6K</t>
        </is>
      </c>
      <c r="O119" s="20" t="inlineStr">
        <is>
          <t>CHVqfzZHHfay4J1u5MJKa8vRb3NWYEwdrhsiQLJWpump</t>
        </is>
      </c>
      <c r="P119" s="20">
        <f>HYPERLINK("https://photon-sol.tinyastro.io/en/lp/CHVqfzZHHfay4J1u5MJKa8vRb3NWYEwdrhsiQLJWpump?handle=676050794bc1b1657a56b", "View")</f>
        <v/>
      </c>
    </row>
    <row r="120">
      <c r="A120" s="15" t="inlineStr">
        <is>
          <t>Blacked AI</t>
        </is>
      </c>
      <c r="B120" s="16" t="n">
        <v>32460985</v>
      </c>
      <c r="C120" s="16" t="n">
        <v>32460985</v>
      </c>
      <c r="D120" s="16" t="inlineStr">
        <is>
          <t>0.015010</t>
        </is>
      </c>
      <c r="E120" s="16" t="inlineStr">
        <is>
          <t>1.095 SOL</t>
        </is>
      </c>
      <c r="F120" s="16" t="inlineStr">
        <is>
          <t>1.633 SOL</t>
        </is>
      </c>
      <c r="G120" s="22" t="inlineStr">
        <is>
          <t>0.523 SOL</t>
        </is>
      </c>
      <c r="H120" s="22" t="inlineStr">
        <is>
          <t>47.09%</t>
        </is>
      </c>
      <c r="I120" s="16" t="inlineStr">
        <is>
          <t>N/A</t>
        </is>
      </c>
      <c r="J120" s="16" t="n">
        <v>1</v>
      </c>
      <c r="K120" s="16" t="n">
        <v>1</v>
      </c>
      <c r="L120" s="16" t="inlineStr">
        <is>
          <t>23.10.2024 15:33:14</t>
        </is>
      </c>
      <c r="M120" s="16" t="inlineStr">
        <is>
          <t>40 min</t>
        </is>
      </c>
      <c r="N120" s="16" t="inlineStr">
        <is>
          <t xml:space="preserve">          5K             9K             3K</t>
        </is>
      </c>
      <c r="O120" s="16" t="inlineStr">
        <is>
          <t>6h7ieyMNGDnJa2rzrACb8XBAR8R5gk2R5bsHBXZ9pump</t>
        </is>
      </c>
      <c r="P120" s="16">
        <f>HYPERLINK("https://photon-sol.tinyastro.io/en/lp/6h7ieyMNGDnJa2rzrACb8XBAR8R5gk2R5bsHBXZ9pump?handle=676050794bc1b1657a56b", "View")</f>
        <v/>
      </c>
    </row>
    <row r="121">
      <c r="A121" s="19" t="inlineStr">
        <is>
          <t>KLEROS</t>
        </is>
      </c>
      <c r="B121" s="20" t="n">
        <v>1033382</v>
      </c>
      <c r="C121" s="20" t="n">
        <v>1033382</v>
      </c>
      <c r="D121" s="20" t="inlineStr">
        <is>
          <t>0.007520</t>
        </is>
      </c>
      <c r="E121" s="20" t="inlineStr">
        <is>
          <t>0.500 SOL</t>
        </is>
      </c>
      <c r="F121" s="20" t="inlineStr">
        <is>
          <t>0.462 SOL</t>
        </is>
      </c>
      <c r="G121" s="21" t="inlineStr">
        <is>
          <t>-0.045 SOL</t>
        </is>
      </c>
      <c r="H121" s="21" t="inlineStr">
        <is>
          <t>-8.92%</t>
        </is>
      </c>
      <c r="I121" s="20" t="inlineStr">
        <is>
          <t>N/A</t>
        </is>
      </c>
      <c r="J121" s="20" t="n">
        <v>1</v>
      </c>
      <c r="K121" s="20" t="n">
        <v>1</v>
      </c>
      <c r="L121" s="20" t="inlineStr">
        <is>
          <t>23.10.2024 10:53:34</t>
        </is>
      </c>
      <c r="M121" s="20" t="inlineStr">
        <is>
          <t>1 min</t>
        </is>
      </c>
      <c r="N121" s="20" t="inlineStr">
        <is>
          <t xml:space="preserve">         84K            79K             9K</t>
        </is>
      </c>
      <c r="O121" s="20" t="inlineStr">
        <is>
          <t>5WkoGr8UExZBtKNwdfAs9Zc7qbZSSxww3dx59EdJpump</t>
        </is>
      </c>
      <c r="P121" s="20">
        <f>HYPERLINK("https://dexscreener.com/solana/5WkoGr8UExZBtKNwdfAs9Zc7qbZSSxww3dx59EdJpump", "View")</f>
        <v/>
      </c>
    </row>
    <row r="122">
      <c r="A122" s="15" t="inlineStr">
        <is>
          <t>DWF</t>
        </is>
      </c>
      <c r="B122" s="16" t="n">
        <v>5562031</v>
      </c>
      <c r="C122" s="16" t="n">
        <v>5562031</v>
      </c>
      <c r="D122" s="16" t="inlineStr">
        <is>
          <t>0.024030</t>
        </is>
      </c>
      <c r="E122" s="16" t="inlineStr">
        <is>
          <t>0.800 SOL</t>
        </is>
      </c>
      <c r="F122" s="16" t="inlineStr">
        <is>
          <t>2.150 SOL</t>
        </is>
      </c>
      <c r="G122" s="23" t="inlineStr">
        <is>
          <t>1.326 SOL</t>
        </is>
      </c>
      <c r="H122" s="23" t="inlineStr">
        <is>
          <t>160.95%</t>
        </is>
      </c>
      <c r="I122" s="16" t="inlineStr">
        <is>
          <t>N/A</t>
        </is>
      </c>
      <c r="J122" s="16" t="n">
        <v>2</v>
      </c>
      <c r="K122" s="16" t="n">
        <v>3</v>
      </c>
      <c r="L122" s="16" t="inlineStr">
        <is>
          <t>23.10.2024 10:34:28</t>
        </is>
      </c>
      <c r="M122" s="16" t="inlineStr">
        <is>
          <t>17 min</t>
        </is>
      </c>
      <c r="N122" s="16" t="inlineStr">
        <is>
          <t xml:space="preserve">         28K            18K             4K</t>
        </is>
      </c>
      <c r="O122" s="16" t="inlineStr">
        <is>
          <t>49BpEqdXm9uahssPR9x8uzBhjoaKbAzWqMS9oCb8pump</t>
        </is>
      </c>
      <c r="P122" s="16">
        <f>HYPERLINK("https://dexscreener.com/solana/49BpEqdXm9uahssPR9x8uzBhjoaKbAzWqMS9oCb8pump", "View")</f>
        <v/>
      </c>
    </row>
    <row r="123">
      <c r="A123" s="19" t="inlineStr">
        <is>
          <t>AIBOT ATRI</t>
        </is>
      </c>
      <c r="B123" s="20" t="n">
        <v>6903609</v>
      </c>
      <c r="C123" s="20" t="n">
        <v>6903609</v>
      </c>
      <c r="D123" s="20" t="inlineStr">
        <is>
          <t>0.010510</t>
        </is>
      </c>
      <c r="E123" s="20" t="inlineStr">
        <is>
          <t>0.498 SOL</t>
        </is>
      </c>
      <c r="F123" s="20" t="inlineStr">
        <is>
          <t>0.433 SOL</t>
        </is>
      </c>
      <c r="G123" s="21" t="inlineStr">
        <is>
          <t>-0.075 SOL</t>
        </is>
      </c>
      <c r="H123" s="21" t="inlineStr">
        <is>
          <t>-14.72%</t>
        </is>
      </c>
      <c r="I123" s="20" t="inlineStr">
        <is>
          <t>N/A</t>
        </is>
      </c>
      <c r="J123" s="20" t="n">
        <v>1</v>
      </c>
      <c r="K123" s="20" t="n">
        <v>1</v>
      </c>
      <c r="L123" s="20" t="inlineStr">
        <is>
          <t>23.10.2024 09:09:07</t>
        </is>
      </c>
      <c r="M123" s="20" t="inlineStr">
        <is>
          <t>7 min</t>
        </is>
      </c>
      <c r="N123" s="20" t="inlineStr">
        <is>
          <t xml:space="preserve">         12K            11K             6K</t>
        </is>
      </c>
      <c r="O123" s="20" t="inlineStr">
        <is>
          <t>EnY8uT28fGAV7f2W5Z58rV2upy2rRGG2deoUxuv3pump</t>
        </is>
      </c>
      <c r="P123" s="20">
        <f>HYPERLINK("https://photon-sol.tinyastro.io/en/lp/EnY8uT28fGAV7f2W5Z58rV2upy2rRGG2deoUxuv3pump?handle=676050794bc1b1657a56b", "View")</f>
        <v/>
      </c>
    </row>
    <row r="124">
      <c r="A124" s="15" t="inlineStr">
        <is>
          <t>two奴fi</t>
        </is>
      </c>
      <c r="B124" s="16" t="n">
        <v>5235681</v>
      </c>
      <c r="C124" s="16" t="n">
        <v>5235681</v>
      </c>
      <c r="D124" s="16" t="inlineStr">
        <is>
          <t>0.006010</t>
        </is>
      </c>
      <c r="E124" s="16" t="inlineStr">
        <is>
          <t>0.486 SOL</t>
        </is>
      </c>
      <c r="F124" s="16" t="inlineStr">
        <is>
          <t>0.280 SOL</t>
        </is>
      </c>
      <c r="G124" s="21" t="inlineStr">
        <is>
          <t>-0.213 SOL</t>
        </is>
      </c>
      <c r="H124" s="21" t="inlineStr">
        <is>
          <t>-43.18%</t>
        </is>
      </c>
      <c r="I124" s="16" t="inlineStr">
        <is>
          <t>N/A</t>
        </is>
      </c>
      <c r="J124" s="16" t="n">
        <v>1</v>
      </c>
      <c r="K124" s="16" t="n">
        <v>1</v>
      </c>
      <c r="L124" s="16" t="inlineStr">
        <is>
          <t>23.10.2024 08:51:32</t>
        </is>
      </c>
      <c r="M124" s="18" t="inlineStr">
        <is>
          <t>34 sec</t>
        </is>
      </c>
      <c r="N124" s="16" t="inlineStr">
        <is>
          <t xml:space="preserve">         16K             9K             5K</t>
        </is>
      </c>
      <c r="O124" s="16" t="inlineStr">
        <is>
          <t>CB3MvmoFZch9aN88x6XxeZ2AS2jbF8FRDRBgG8fbpump</t>
        </is>
      </c>
      <c r="P124" s="16">
        <f>HYPERLINK("https://photon-sol.tinyastro.io/en/lp/CB3MvmoFZch9aN88x6XxeZ2AS2jbF8FRDRBgG8fbpump?handle=676050794bc1b1657a56b", "View")</f>
        <v/>
      </c>
    </row>
    <row r="125">
      <c r="A125" s="19" t="inlineStr">
        <is>
          <t>wint ai</t>
        </is>
      </c>
      <c r="B125" s="20" t="n">
        <v>6934172</v>
      </c>
      <c r="C125" s="20" t="n">
        <v>6934172</v>
      </c>
      <c r="D125" s="20" t="inlineStr">
        <is>
          <t>0.006010</t>
        </is>
      </c>
      <c r="E125" s="20" t="inlineStr">
        <is>
          <t>0.512 SOL</t>
        </is>
      </c>
      <c r="F125" s="20" t="inlineStr">
        <is>
          <t>0.498 SOL</t>
        </is>
      </c>
      <c r="G125" s="21" t="inlineStr">
        <is>
          <t>-0.019 SOL</t>
        </is>
      </c>
      <c r="H125" s="21" t="inlineStr">
        <is>
          <t>-3.75%</t>
        </is>
      </c>
      <c r="I125" s="20" t="inlineStr">
        <is>
          <t>N/A</t>
        </is>
      </c>
      <c r="J125" s="20" t="n">
        <v>1</v>
      </c>
      <c r="K125" s="20" t="n">
        <v>1</v>
      </c>
      <c r="L125" s="20" t="inlineStr">
        <is>
          <t>23.10.2024 07:40:05</t>
        </is>
      </c>
      <c r="M125" s="18" t="inlineStr">
        <is>
          <t>16 sec</t>
        </is>
      </c>
      <c r="N125" s="20" t="inlineStr">
        <is>
          <t xml:space="preserve">         12K            12K             5K</t>
        </is>
      </c>
      <c r="O125" s="20" t="inlineStr">
        <is>
          <t>3TFQEDnu6p68XyyA7fuvDw9PMEdmKz7pmeCoUtzspump</t>
        </is>
      </c>
      <c r="P125" s="20">
        <f>HYPERLINK("https://photon-sol.tinyastro.io/en/lp/3TFQEDnu6p68XyyA7fuvDw9PMEdmKz7pmeCoUtzspump?handle=676050794bc1b1657a56b", "View")</f>
        <v/>
      </c>
    </row>
    <row r="126">
      <c r="A126" s="15" t="inlineStr">
        <is>
          <t>Dottie</t>
        </is>
      </c>
      <c r="B126" s="16" t="n">
        <v>10597703</v>
      </c>
      <c r="C126" s="16" t="n">
        <v>10597702</v>
      </c>
      <c r="D126" s="16" t="inlineStr">
        <is>
          <t>0.015440</t>
        </is>
      </c>
      <c r="E126" s="16" t="inlineStr">
        <is>
          <t>0.825 SOL</t>
        </is>
      </c>
      <c r="F126" s="16" t="inlineStr">
        <is>
          <t>0.935 SOL</t>
        </is>
      </c>
      <c r="G126" s="22" t="inlineStr">
        <is>
          <t>0.095 SOL</t>
        </is>
      </c>
      <c r="H126" s="22" t="inlineStr">
        <is>
          <t>11.34%</t>
        </is>
      </c>
      <c r="I126" s="16" t="inlineStr">
        <is>
          <t>N/A</t>
        </is>
      </c>
      <c r="J126" s="16" t="n">
        <v>2</v>
      </c>
      <c r="K126" s="16" t="n">
        <v>2</v>
      </c>
      <c r="L126" s="16" t="inlineStr">
        <is>
          <t>23.10.2024 07:22:03</t>
        </is>
      </c>
      <c r="M126" s="16" t="inlineStr">
        <is>
          <t>56 min</t>
        </is>
      </c>
      <c r="N126" s="16" t="inlineStr">
        <is>
          <t xml:space="preserve">         12K            16K             5K</t>
        </is>
      </c>
      <c r="O126" s="16" t="inlineStr">
        <is>
          <t>682BrhrPPWw2gcZwW7gidZ6AsskhTZCRfgoiMzQFpump</t>
        </is>
      </c>
      <c r="P126" s="16">
        <f>HYPERLINK("https://photon-sol.tinyastro.io/en/lp/682BrhrPPWw2gcZwW7gidZ6AsskhTZCRfgoiMzQFpump?handle=676050794bc1b1657a56b", "View")</f>
        <v/>
      </c>
    </row>
    <row r="127">
      <c r="A127" s="19" t="inlineStr">
        <is>
          <t>PLAYFUL</t>
        </is>
      </c>
      <c r="B127" s="20" t="n">
        <v>1540766</v>
      </c>
      <c r="C127" s="20" t="n">
        <v>1540766</v>
      </c>
      <c r="D127" s="20" t="inlineStr">
        <is>
          <t>0.007520</t>
        </is>
      </c>
      <c r="E127" s="20" t="inlineStr">
        <is>
          <t>0.459 SOL</t>
        </is>
      </c>
      <c r="F127" s="20" t="inlineStr">
        <is>
          <t>0.249 SOL</t>
        </is>
      </c>
      <c r="G127" s="21" t="inlineStr">
        <is>
          <t>-0.218 SOL</t>
        </is>
      </c>
      <c r="H127" s="21" t="inlineStr">
        <is>
          <t>-46.60%</t>
        </is>
      </c>
      <c r="I127" s="20" t="inlineStr">
        <is>
          <t>N/A</t>
        </is>
      </c>
      <c r="J127" s="20" t="n">
        <v>1</v>
      </c>
      <c r="K127" s="20" t="n">
        <v>1</v>
      </c>
      <c r="L127" s="20" t="inlineStr">
        <is>
          <t>23.10.2024 06:51:24</t>
        </is>
      </c>
      <c r="M127" s="20" t="inlineStr">
        <is>
          <t>3 min</t>
        </is>
      </c>
      <c r="N127" s="20" t="inlineStr">
        <is>
          <t xml:space="preserve">        N/A           N/A           N/A</t>
        </is>
      </c>
      <c r="O127" s="20" t="inlineStr">
        <is>
          <t>uFFzWZ9t9D5VECS291E6QHR4MygbCJTjtaDyDgwpump</t>
        </is>
      </c>
      <c r="P127" s="20">
        <f>HYPERLINK("https://photon-sol.tinyastro.io/en/lp/uFFzWZ9t9D5VECS291E6QHR4MygbCJTjtaDyDgwpump?handle=676050794bc1b1657a56b", "View")</f>
        <v/>
      </c>
    </row>
    <row r="128">
      <c r="A128" s="15" t="inlineStr">
        <is>
          <t>tradcath</t>
        </is>
      </c>
      <c r="B128" s="16" t="n">
        <v>6280586</v>
      </c>
      <c r="C128" s="16" t="n">
        <v>6280586</v>
      </c>
      <c r="D128" s="16" t="inlineStr">
        <is>
          <t>0.007550</t>
        </is>
      </c>
      <c r="E128" s="16" t="inlineStr">
        <is>
          <t>1.000 SOL</t>
        </is>
      </c>
      <c r="F128" s="16" t="inlineStr">
        <is>
          <t>2.383 SOL</t>
        </is>
      </c>
      <c r="G128" s="23" t="inlineStr">
        <is>
          <t>1.376 SOL</t>
        </is>
      </c>
      <c r="H128" s="23" t="inlineStr">
        <is>
          <t>136.54%</t>
        </is>
      </c>
      <c r="I128" s="16" t="inlineStr">
        <is>
          <t>N/A</t>
        </is>
      </c>
      <c r="J128" s="16" t="n">
        <v>2</v>
      </c>
      <c r="K128" s="16" t="n">
        <v>3</v>
      </c>
      <c r="L128" s="16" t="inlineStr">
        <is>
          <t>23.10.2024 06:25:02</t>
        </is>
      </c>
      <c r="M128" s="16" t="inlineStr">
        <is>
          <t>35 min</t>
        </is>
      </c>
      <c r="N128" s="16" t="inlineStr">
        <is>
          <t xml:space="preserve">         23K            58K            13K</t>
        </is>
      </c>
      <c r="O128" s="16" t="inlineStr">
        <is>
          <t>4TC9sF6NTKFjUiSzojWnnRZ8peoxUjNePJrnTid6pump</t>
        </is>
      </c>
      <c r="P128" s="16">
        <f>HYPERLINK("https://dexscreener.com/solana/4TC9sF6NTKFjUiSzojWnnRZ8peoxUjNePJrnTid6pump", "View")</f>
        <v/>
      </c>
    </row>
    <row r="129">
      <c r="A129" s="19" t="inlineStr">
        <is>
          <t>Omnira</t>
        </is>
      </c>
      <c r="B129" s="20" t="n">
        <v>804522</v>
      </c>
      <c r="C129" s="20" t="n">
        <v>804522</v>
      </c>
      <c r="D129" s="20" t="inlineStr">
        <is>
          <t>0.007520</t>
        </is>
      </c>
      <c r="E129" s="20" t="inlineStr">
        <is>
          <t>1.000 SOL</t>
        </is>
      </c>
      <c r="F129" s="20" t="inlineStr">
        <is>
          <t>0.192 SOL</t>
        </is>
      </c>
      <c r="G129" s="24" t="inlineStr">
        <is>
          <t>-0.815 SOL</t>
        </is>
      </c>
      <c r="H129" s="24" t="inlineStr">
        <is>
          <t>-80.92%</t>
        </is>
      </c>
      <c r="I129" s="20" t="inlineStr">
        <is>
          <t>N/A</t>
        </is>
      </c>
      <c r="J129" s="20" t="n">
        <v>1</v>
      </c>
      <c r="K129" s="20" t="n">
        <v>1</v>
      </c>
      <c r="L129" s="20" t="inlineStr">
        <is>
          <t>23.10.2024 04:30:55</t>
        </is>
      </c>
      <c r="M129" s="20" t="inlineStr">
        <is>
          <t>12 min</t>
        </is>
      </c>
      <c r="N129" s="20" t="inlineStr">
        <is>
          <t xml:space="preserve">        182K            35K             5K</t>
        </is>
      </c>
      <c r="O129" s="20" t="inlineStr">
        <is>
          <t>DDdFK7UTz8ZFR5AZhgfmCAUPo9ATZk4HdMxnGyjVpump</t>
        </is>
      </c>
      <c r="P129" s="20">
        <f>HYPERLINK("https://dexscreener.com/solana/DDdFK7UTz8ZFR5AZhgfmCAUPo9ATZk4HdMxnGyjVpump", "View")</f>
        <v/>
      </c>
    </row>
    <row r="130">
      <c r="A130" s="15" t="inlineStr">
        <is>
          <t>AIGF</t>
        </is>
      </c>
      <c r="B130" s="16" t="n">
        <v>380937</v>
      </c>
      <c r="C130" s="16" t="n">
        <v>380937</v>
      </c>
      <c r="D130" s="16" t="inlineStr">
        <is>
          <t>0.015010</t>
        </is>
      </c>
      <c r="E130" s="16" t="inlineStr">
        <is>
          <t>0.300 SOL</t>
        </is>
      </c>
      <c r="F130" s="16" t="inlineStr">
        <is>
          <t>0.391 SOL</t>
        </is>
      </c>
      <c r="G130" s="22" t="inlineStr">
        <is>
          <t>0.076 SOL</t>
        </is>
      </c>
      <c r="H130" s="22" t="inlineStr">
        <is>
          <t>24.26%</t>
        </is>
      </c>
      <c r="I130" s="16" t="inlineStr">
        <is>
          <t>N/A</t>
        </is>
      </c>
      <c r="J130" s="16" t="n">
        <v>1</v>
      </c>
      <c r="K130" s="16" t="n">
        <v>1</v>
      </c>
      <c r="L130" s="16" t="inlineStr">
        <is>
          <t>23.10.2024 03:25:56</t>
        </is>
      </c>
      <c r="M130" s="16" t="inlineStr">
        <is>
          <t>7 min</t>
        </is>
      </c>
      <c r="N130" s="16" t="inlineStr">
        <is>
          <t xml:space="preserve">        139K           181K             5K</t>
        </is>
      </c>
      <c r="O130" s="16" t="inlineStr">
        <is>
          <t>238pAXUg7kdRZj5SK8XZZamFSTrhEGz4ZgegYGKDpump</t>
        </is>
      </c>
      <c r="P130" s="16">
        <f>HYPERLINK("https://dexscreener.com/solana/238pAXUg7kdRZj5SK8XZZamFSTrhEGz4ZgegYGKDpump", "View")</f>
        <v/>
      </c>
    </row>
    <row r="131">
      <c r="A131" s="19" t="inlineStr">
        <is>
          <t>Moon</t>
        </is>
      </c>
      <c r="B131" s="20" t="n">
        <v>16180946</v>
      </c>
      <c r="C131" s="20" t="n">
        <v>16180946</v>
      </c>
      <c r="D131" s="20" t="inlineStr">
        <is>
          <t>0.015010</t>
        </is>
      </c>
      <c r="E131" s="20" t="inlineStr">
        <is>
          <t>0.519 SOL</t>
        </is>
      </c>
      <c r="F131" s="20" t="inlineStr">
        <is>
          <t>0.526 SOL</t>
        </is>
      </c>
      <c r="G131" s="21" t="inlineStr">
        <is>
          <t>-0.009 SOL</t>
        </is>
      </c>
      <c r="H131" s="21" t="inlineStr">
        <is>
          <t>-1.60%</t>
        </is>
      </c>
      <c r="I131" s="20" t="inlineStr">
        <is>
          <t>N/A</t>
        </is>
      </c>
      <c r="J131" s="20" t="n">
        <v>1</v>
      </c>
      <c r="K131" s="20" t="n">
        <v>1</v>
      </c>
      <c r="L131" s="20" t="inlineStr">
        <is>
          <t>23.10.2024 02:20:50</t>
        </is>
      </c>
      <c r="M131" s="20" t="inlineStr">
        <is>
          <t>10 min</t>
        </is>
      </c>
      <c r="N131" s="20" t="inlineStr">
        <is>
          <t xml:space="preserve">          5K             5K             5K</t>
        </is>
      </c>
      <c r="O131" s="20" t="inlineStr">
        <is>
          <t>6wtwrom6PSB8RxDHbFeTUsMc9jKC8eCTNuC42qCFpump</t>
        </is>
      </c>
      <c r="P131" s="20">
        <f>HYPERLINK("https://photon-sol.tinyastro.io/en/lp/6wtwrom6PSB8RxDHbFeTUsMc9jKC8eCTNuC42qCFpump?handle=676050794bc1b1657a56b", "View")</f>
        <v/>
      </c>
    </row>
    <row r="132">
      <c r="A132" s="15" t="inlineStr">
        <is>
          <t>BEAST</t>
        </is>
      </c>
      <c r="B132" s="16" t="n">
        <v>15380425</v>
      </c>
      <c r="C132" s="16" t="n">
        <v>15380425</v>
      </c>
      <c r="D132" s="16" t="inlineStr">
        <is>
          <t>0.015010</t>
        </is>
      </c>
      <c r="E132" s="16" t="inlineStr">
        <is>
          <t>0.519 SOL</t>
        </is>
      </c>
      <c r="F132" s="16" t="inlineStr">
        <is>
          <t>0.543 SOL</t>
        </is>
      </c>
      <c r="G132" s="22" t="inlineStr">
        <is>
          <t>0.009 SOL</t>
        </is>
      </c>
      <c r="H132" s="22" t="inlineStr">
        <is>
          <t>1.61%</t>
        </is>
      </c>
      <c r="I132" s="16" t="inlineStr">
        <is>
          <t>N/A</t>
        </is>
      </c>
      <c r="J132" s="16" t="n">
        <v>1</v>
      </c>
      <c r="K132" s="16" t="n">
        <v>1</v>
      </c>
      <c r="L132" s="16" t="inlineStr">
        <is>
          <t>22.10.2024 17:17:12</t>
        </is>
      </c>
      <c r="M132" s="16" t="inlineStr">
        <is>
          <t>7 min</t>
        </is>
      </c>
      <c r="N132" s="16" t="inlineStr">
        <is>
          <t xml:space="preserve">          5K             7K             5K</t>
        </is>
      </c>
      <c r="O132" s="16" t="inlineStr">
        <is>
          <t>EJ4mLJ4h3tuGbmjccEm86zrc2nj7iCSk7hzVPuUXpump</t>
        </is>
      </c>
      <c r="P132" s="16">
        <f>HYPERLINK("https://photon-sol.tinyastro.io/en/lp/EJ4mLJ4h3tuGbmjccEm86zrc2nj7iCSk7hzVPuUXpump?handle=676050794bc1b1657a56b", "View")</f>
        <v/>
      </c>
    </row>
    <row r="133">
      <c r="A133" s="19" t="inlineStr">
        <is>
          <t>Koto</t>
        </is>
      </c>
      <c r="B133" s="20" t="n">
        <v>928578</v>
      </c>
      <c r="C133" s="20" t="n">
        <v>928578</v>
      </c>
      <c r="D133" s="20" t="inlineStr">
        <is>
          <t>0.015010</t>
        </is>
      </c>
      <c r="E133" s="20" t="inlineStr">
        <is>
          <t>0.500 SOL</t>
        </is>
      </c>
      <c r="F133" s="20" t="inlineStr">
        <is>
          <t>0.948 SOL</t>
        </is>
      </c>
      <c r="G133" s="23" t="inlineStr">
        <is>
          <t>0.433 SOL</t>
        </is>
      </c>
      <c r="H133" s="23" t="inlineStr">
        <is>
          <t>84.16%</t>
        </is>
      </c>
      <c r="I133" s="20" t="inlineStr">
        <is>
          <t>N/A</t>
        </is>
      </c>
      <c r="J133" s="20" t="n">
        <v>1</v>
      </c>
      <c r="K133" s="20" t="n">
        <v>1</v>
      </c>
      <c r="L133" s="20" t="inlineStr">
        <is>
          <t>22.10.2024 16:59:00</t>
        </is>
      </c>
      <c r="M133" s="20" t="inlineStr">
        <is>
          <t>5 min</t>
        </is>
      </c>
      <c r="N133" s="20" t="inlineStr">
        <is>
          <t xml:space="preserve">         95K           179K             7K</t>
        </is>
      </c>
      <c r="O133" s="20" t="inlineStr">
        <is>
          <t>7L9M2o26R8G9poY8PQD9GPhiL14sabsFk6MVeW1opump</t>
        </is>
      </c>
      <c r="P133" s="20">
        <f>HYPERLINK("https://dexscreener.com/solana/7L9M2o26R8G9poY8PQD9GPhiL14sabsFk6MVeW1opump", "View")</f>
        <v/>
      </c>
    </row>
    <row r="134">
      <c r="A134" s="15" t="inlineStr">
        <is>
          <t>vicious</t>
        </is>
      </c>
      <c r="B134" s="16" t="n">
        <v>78862</v>
      </c>
      <c r="C134" s="16" t="n">
        <v>78862</v>
      </c>
      <c r="D134" s="16" t="inlineStr">
        <is>
          <t>0.015010</t>
        </is>
      </c>
      <c r="E134" s="16" t="inlineStr">
        <is>
          <t>0.500 SOL</t>
        </is>
      </c>
      <c r="F134" s="16" t="inlineStr">
        <is>
          <t>0.044 SOL</t>
        </is>
      </c>
      <c r="G134" s="24" t="inlineStr">
        <is>
          <t>-0.471 SOL</t>
        </is>
      </c>
      <c r="H134" s="24" t="inlineStr">
        <is>
          <t>-91.53%</t>
        </is>
      </c>
      <c r="I134" s="16" t="inlineStr">
        <is>
          <t>N/A</t>
        </is>
      </c>
      <c r="J134" s="16" t="n">
        <v>1</v>
      </c>
      <c r="K134" s="16" t="n">
        <v>1</v>
      </c>
      <c r="L134" s="16" t="inlineStr">
        <is>
          <t>22.10.2024 16:13:03</t>
        </is>
      </c>
      <c r="M134" s="16" t="inlineStr">
        <is>
          <t>2 min</t>
        </is>
      </c>
      <c r="N134" s="16" t="inlineStr">
        <is>
          <t xml:space="preserve">          1M            97K             8K</t>
        </is>
      </c>
      <c r="O134" s="16" t="inlineStr">
        <is>
          <t>2xVq1oMRmCtYBXrPvgVpHGtDLYReYC4zDZKugiiUT8AP</t>
        </is>
      </c>
      <c r="P134" s="16">
        <f>HYPERLINK("https://dexscreener.com/solana/2xVq1oMRmCtYBXrPvgVpHGtDLYReYC4zDZKugiiUT8AP", "View")</f>
        <v/>
      </c>
    </row>
    <row r="135">
      <c r="A135" s="19" t="inlineStr">
        <is>
          <t>WORLD</t>
        </is>
      </c>
      <c r="B135" s="20" t="n">
        <v>2278090</v>
      </c>
      <c r="C135" s="20" t="n">
        <v>2278090</v>
      </c>
      <c r="D135" s="20" t="inlineStr">
        <is>
          <t>0.015010</t>
        </is>
      </c>
      <c r="E135" s="20" t="inlineStr">
        <is>
          <t>0.520 SOL</t>
        </is>
      </c>
      <c r="F135" s="20" t="inlineStr">
        <is>
          <t>0.226 SOL</t>
        </is>
      </c>
      <c r="G135" s="24" t="inlineStr">
        <is>
          <t>-0.309 SOL</t>
        </is>
      </c>
      <c r="H135" s="24" t="inlineStr">
        <is>
          <t>-57.82%</t>
        </is>
      </c>
      <c r="I135" s="20" t="inlineStr">
        <is>
          <t>N/A</t>
        </is>
      </c>
      <c r="J135" s="20" t="n">
        <v>1</v>
      </c>
      <c r="K135" s="20" t="n">
        <v>1</v>
      </c>
      <c r="L135" s="20" t="inlineStr">
        <is>
          <t>22.10.2024 13:34:17</t>
        </is>
      </c>
      <c r="M135" s="20" t="inlineStr">
        <is>
          <t>1 min</t>
        </is>
      </c>
      <c r="N135" s="20" t="inlineStr">
        <is>
          <t xml:space="preserve">         40K            18K             4K</t>
        </is>
      </c>
      <c r="O135" s="20" t="inlineStr">
        <is>
          <t>EjggBgTdE9bXWdaFcsnQjBsZTv2mHQKVEKxARpQSpump</t>
        </is>
      </c>
      <c r="P135" s="20">
        <f>HYPERLINK("https://photon-sol.tinyastro.io/en/lp/EjggBgTdE9bXWdaFcsnQjBsZTv2mHQKVEKxARpQSpump?handle=676050794bc1b1657a56b", "View")</f>
        <v/>
      </c>
    </row>
    <row r="136">
      <c r="A136" s="15" t="inlineStr">
        <is>
          <t>Siri</t>
        </is>
      </c>
      <c r="B136" s="16" t="n">
        <v>2831319</v>
      </c>
      <c r="C136" s="16" t="n">
        <v>2831319</v>
      </c>
      <c r="D136" s="16" t="inlineStr">
        <is>
          <t>0.015010</t>
        </is>
      </c>
      <c r="E136" s="16" t="inlineStr">
        <is>
          <t>0.300 SOL</t>
        </is>
      </c>
      <c r="F136" s="16" t="inlineStr">
        <is>
          <t>0.408 SOL</t>
        </is>
      </c>
      <c r="G136" s="22" t="inlineStr">
        <is>
          <t>0.093 SOL</t>
        </is>
      </c>
      <c r="H136" s="22" t="inlineStr">
        <is>
          <t>29.48%</t>
        </is>
      </c>
      <c r="I136" s="16" t="inlineStr">
        <is>
          <t>N/A</t>
        </is>
      </c>
      <c r="J136" s="16" t="n">
        <v>1</v>
      </c>
      <c r="K136" s="16" t="n">
        <v>1</v>
      </c>
      <c r="L136" s="16" t="inlineStr">
        <is>
          <t>22.10.2024 12:39:51</t>
        </is>
      </c>
      <c r="M136" s="16" t="inlineStr">
        <is>
          <t>2 min</t>
        </is>
      </c>
      <c r="N136" s="16" t="inlineStr">
        <is>
          <t xml:space="preserve">         19K            25K             5K</t>
        </is>
      </c>
      <c r="O136" s="16" t="inlineStr">
        <is>
          <t>BZ92s5S7sHmxUj98frBiG8FsPd2jv5R4XGp74YbSpump</t>
        </is>
      </c>
      <c r="P136" s="16">
        <f>HYPERLINK("https://dexscreener.com/solana/BZ92s5S7sHmxUj98frBiG8FsPd2jv5R4XGp74YbSpump", "View")</f>
        <v/>
      </c>
    </row>
    <row r="137">
      <c r="A137" s="19" t="inlineStr">
        <is>
          <t>bodhi</t>
        </is>
      </c>
      <c r="B137" s="20" t="n">
        <v>7348691</v>
      </c>
      <c r="C137" s="20" t="n">
        <v>7348691</v>
      </c>
      <c r="D137" s="20" t="inlineStr">
        <is>
          <t>0.007520</t>
        </is>
      </c>
      <c r="E137" s="20" t="inlineStr">
        <is>
          <t>0.512 SOL</t>
        </is>
      </c>
      <c r="F137" s="20" t="inlineStr">
        <is>
          <t>0.703 SOL</t>
        </is>
      </c>
      <c r="G137" s="22" t="inlineStr">
        <is>
          <t>0.184 SOL</t>
        </is>
      </c>
      <c r="H137" s="22" t="inlineStr">
        <is>
          <t>35.48%</t>
        </is>
      </c>
      <c r="I137" s="20" t="inlineStr">
        <is>
          <t>N/A</t>
        </is>
      </c>
      <c r="J137" s="20" t="n">
        <v>1</v>
      </c>
      <c r="K137" s="20" t="n">
        <v>1</v>
      </c>
      <c r="L137" s="20" t="inlineStr">
        <is>
          <t>22.10.2024 11:26:19</t>
        </is>
      </c>
      <c r="M137" s="20" t="inlineStr">
        <is>
          <t>3 min</t>
        </is>
      </c>
      <c r="N137" s="20" t="inlineStr">
        <is>
          <t xml:space="preserve">         12K            18K             5K</t>
        </is>
      </c>
      <c r="O137" s="20" t="inlineStr">
        <is>
          <t>5bKgtsAEgtcs5wNofCZSLWtQCVKcvZfTHrzynttupump</t>
        </is>
      </c>
      <c r="P137" s="20">
        <f>HYPERLINK("https://photon-sol.tinyastro.io/en/lp/5bKgtsAEgtcs5wNofCZSLWtQCVKcvZfTHrzynttupump?handle=676050794bc1b1657a56b", "View")</f>
        <v/>
      </c>
    </row>
    <row r="138">
      <c r="A138" s="15" t="inlineStr">
        <is>
          <t>Doomer</t>
        </is>
      </c>
      <c r="B138" s="16" t="n">
        <v>4071541</v>
      </c>
      <c r="C138" s="16" t="n">
        <v>4071541</v>
      </c>
      <c r="D138" s="16" t="inlineStr">
        <is>
          <t>0.000020</t>
        </is>
      </c>
      <c r="E138" s="16" t="inlineStr">
        <is>
          <t>0.301 SOL</t>
        </is>
      </c>
      <c r="F138" s="16" t="inlineStr">
        <is>
          <t>0.178 SOL</t>
        </is>
      </c>
      <c r="G138" s="21" t="inlineStr">
        <is>
          <t>-0.123 SOL</t>
        </is>
      </c>
      <c r="H138" s="21" t="inlineStr">
        <is>
          <t>-40.87%</t>
        </is>
      </c>
      <c r="I138" s="16" t="inlineStr">
        <is>
          <t>N/A</t>
        </is>
      </c>
      <c r="J138" s="16" t="n">
        <v>1</v>
      </c>
      <c r="K138" s="16" t="n">
        <v>1</v>
      </c>
      <c r="L138" s="16" t="inlineStr">
        <is>
          <t>22.10.2024 10:43:49</t>
        </is>
      </c>
      <c r="M138" s="16" t="inlineStr">
        <is>
          <t>38 min</t>
        </is>
      </c>
      <c r="N138" s="16" t="inlineStr">
        <is>
          <t xml:space="preserve">         12K             7K             5K</t>
        </is>
      </c>
      <c r="O138" s="16" t="inlineStr">
        <is>
          <t>FaDBodckqomH5vdRotVmAxvfzVFkNJPFwh46Vxd5pump</t>
        </is>
      </c>
      <c r="P138" s="16">
        <f>HYPERLINK("https://photon-sol.tinyastro.io/en/lp/FaDBodckqomH5vdRotVmAxvfzVFkNJPFwh46Vxd5pump?handle=676050794bc1b1657a56b", "View")</f>
        <v/>
      </c>
    </row>
    <row r="139">
      <c r="A139" s="19" t="inlineStr">
        <is>
          <t>DOOMER</t>
        </is>
      </c>
      <c r="B139" s="20" t="n">
        <v>8380540</v>
      </c>
      <c r="C139" s="20" t="n">
        <v>8380540</v>
      </c>
      <c r="D139" s="20" t="inlineStr">
        <is>
          <t>0.007520</t>
        </is>
      </c>
      <c r="E139" s="20" t="inlineStr">
        <is>
          <t>0.500 SOL</t>
        </is>
      </c>
      <c r="F139" s="20" t="inlineStr">
        <is>
          <t>0.565 SOL</t>
        </is>
      </c>
      <c r="G139" s="22" t="inlineStr">
        <is>
          <t>0.057 SOL</t>
        </is>
      </c>
      <c r="H139" s="22" t="inlineStr">
        <is>
          <t>11.25%</t>
        </is>
      </c>
      <c r="I139" s="20" t="inlineStr">
        <is>
          <t>N/A</t>
        </is>
      </c>
      <c r="J139" s="20" t="n">
        <v>1</v>
      </c>
      <c r="K139" s="20" t="n">
        <v>1</v>
      </c>
      <c r="L139" s="20" t="inlineStr">
        <is>
          <t>22.10.2024 09:49:43</t>
        </is>
      </c>
      <c r="M139" s="20" t="inlineStr">
        <is>
          <t>4 min</t>
        </is>
      </c>
      <c r="N139" s="20" t="inlineStr">
        <is>
          <t xml:space="preserve">         11K            12K             8K</t>
        </is>
      </c>
      <c r="O139" s="20" t="inlineStr">
        <is>
          <t>GUzsJpDi5c5ReE7Ji5btkcgpbx86CcWS71wKZvhEpump</t>
        </is>
      </c>
      <c r="P139" s="20">
        <f>HYPERLINK("https://dexscreener.com/solana/GUzsJpDi5c5ReE7Ji5btkcgpbx86CcWS71wKZvhEpump", "View")</f>
        <v/>
      </c>
    </row>
    <row r="140">
      <c r="A140" s="15" t="inlineStr">
        <is>
          <t>Prometheus</t>
        </is>
      </c>
      <c r="B140" s="16" t="n">
        <v>6995368</v>
      </c>
      <c r="C140" s="16" t="n">
        <v>6995368</v>
      </c>
      <c r="D140" s="16" t="inlineStr">
        <is>
          <t>0.013530</t>
        </is>
      </c>
      <c r="E140" s="16" t="inlineStr">
        <is>
          <t>1.017 SOL</t>
        </is>
      </c>
      <c r="F140" s="16" t="inlineStr">
        <is>
          <t>1.163 SOL</t>
        </is>
      </c>
      <c r="G140" s="22" t="inlineStr">
        <is>
          <t>0.133 SOL</t>
        </is>
      </c>
      <c r="H140" s="22" t="inlineStr">
        <is>
          <t>12.88%</t>
        </is>
      </c>
      <c r="I140" s="16" t="inlineStr">
        <is>
          <t>N/A</t>
        </is>
      </c>
      <c r="J140" s="16" t="n">
        <v>2</v>
      </c>
      <c r="K140" s="16" t="n">
        <v>2</v>
      </c>
      <c r="L140" s="16" t="inlineStr">
        <is>
          <t>22.10.2024 09:23:23</t>
        </is>
      </c>
      <c r="M140" s="16" t="inlineStr">
        <is>
          <t>30 min</t>
        </is>
      </c>
      <c r="N140" s="16" t="inlineStr">
        <is>
          <t xml:space="preserve">         27K            19K             5K</t>
        </is>
      </c>
      <c r="O140" s="16" t="inlineStr">
        <is>
          <t>Frc3N7KsKzfM7CcHRfkBqiewKm5Tn83EcjyhBejmpump</t>
        </is>
      </c>
      <c r="P140" s="16">
        <f>HYPERLINK("https://photon-sol.tinyastro.io/en/lp/Frc3N7KsKzfM7CcHRfkBqiewKm5Tn83EcjyhBejmpump?handle=676050794bc1b1657a56b", "View")</f>
        <v/>
      </c>
    </row>
    <row r="141">
      <c r="A141" s="19" t="inlineStr">
        <is>
          <t>RRS</t>
        </is>
      </c>
      <c r="B141" s="20" t="n">
        <v>627018</v>
      </c>
      <c r="C141" s="20" t="n">
        <v>627018</v>
      </c>
      <c r="D141" s="20" t="inlineStr">
        <is>
          <t>0.006010</t>
        </is>
      </c>
      <c r="E141" s="20" t="inlineStr">
        <is>
          <t>0.300 SOL</t>
        </is>
      </c>
      <c r="F141" s="20" t="inlineStr">
        <is>
          <t>0.305 SOL</t>
        </is>
      </c>
      <c r="G141" s="21" t="inlineStr">
        <is>
          <t>-0.001 SOL</t>
        </is>
      </c>
      <c r="H141" s="21" t="inlineStr">
        <is>
          <t>-0.43%</t>
        </is>
      </c>
      <c r="I141" s="20" t="inlineStr">
        <is>
          <t>N/A</t>
        </is>
      </c>
      <c r="J141" s="20" t="n">
        <v>1</v>
      </c>
      <c r="K141" s="20" t="n">
        <v>1</v>
      </c>
      <c r="L141" s="20" t="inlineStr">
        <is>
          <t>22.10.2024 07:58:41</t>
        </is>
      </c>
      <c r="M141" s="20" t="inlineStr">
        <is>
          <t>1 min</t>
        </is>
      </c>
      <c r="N141" s="20" t="inlineStr">
        <is>
          <t xml:space="preserve">         84K            86K             4K</t>
        </is>
      </c>
      <c r="O141" s="20" t="inlineStr">
        <is>
          <t>H3qhHzQ1k4u4xRkS8acTZ7yGQ227jg2BVLeHCJYtpump</t>
        </is>
      </c>
      <c r="P141" s="20">
        <f>HYPERLINK("https://dexscreener.com/solana/H3qhHzQ1k4u4xRkS8acTZ7yGQ227jg2BVLeHCJYtpump", "View")</f>
        <v/>
      </c>
    </row>
    <row r="142">
      <c r="A142" s="15" t="inlineStr">
        <is>
          <t>vibrator</t>
        </is>
      </c>
      <c r="B142" s="16" t="n">
        <v>3056924</v>
      </c>
      <c r="C142" s="16" t="n">
        <v>3056924</v>
      </c>
      <c r="D142" s="16" t="inlineStr">
        <is>
          <t>0.000020</t>
        </is>
      </c>
      <c r="E142" s="16" t="inlineStr">
        <is>
          <t>0.308 SOL</t>
        </is>
      </c>
      <c r="F142" s="16" t="inlineStr">
        <is>
          <t>0.134 SOL</t>
        </is>
      </c>
      <c r="G142" s="24" t="inlineStr">
        <is>
          <t>-0.174 SOL</t>
        </is>
      </c>
      <c r="H142" s="24" t="inlineStr">
        <is>
          <t>-56.40%</t>
        </is>
      </c>
      <c r="I142" s="16" t="inlineStr">
        <is>
          <t>N/A</t>
        </is>
      </c>
      <c r="J142" s="16" t="n">
        <v>1</v>
      </c>
      <c r="K142" s="16" t="n">
        <v>1</v>
      </c>
      <c r="L142" s="16" t="inlineStr">
        <is>
          <t>22.10.2024 06:42:06</t>
        </is>
      </c>
      <c r="M142" s="16" t="inlineStr">
        <is>
          <t>16 min</t>
        </is>
      </c>
      <c r="N142" s="16" t="inlineStr">
        <is>
          <t xml:space="preserve">         18K             7K             5K</t>
        </is>
      </c>
      <c r="O142" s="16" t="inlineStr">
        <is>
          <t>CoZAdKfHuXGC12QF84pznVpeXUFPJ1CCCKBNiRa7pump</t>
        </is>
      </c>
      <c r="P142" s="16">
        <f>HYPERLINK("https://photon-sol.tinyastro.io/en/lp/CoZAdKfHuXGC12QF84pznVpeXUFPJ1CCCKBNiRa7pump?handle=676050794bc1b1657a56b", "View")</f>
        <v/>
      </c>
    </row>
    <row r="143">
      <c r="A143" s="19" t="inlineStr">
        <is>
          <t>GOAT</t>
        </is>
      </c>
      <c r="B143" s="20" t="n">
        <v>8387737</v>
      </c>
      <c r="C143" s="20" t="n">
        <v>8387737</v>
      </c>
      <c r="D143" s="20" t="inlineStr">
        <is>
          <t>0.015010</t>
        </is>
      </c>
      <c r="E143" s="20" t="inlineStr">
        <is>
          <t>0.505 SOL</t>
        </is>
      </c>
      <c r="F143" s="20" t="inlineStr">
        <is>
          <t>0.504 SOL</t>
        </is>
      </c>
      <c r="G143" s="21" t="inlineStr">
        <is>
          <t>-0.016 SOL</t>
        </is>
      </c>
      <c r="H143" s="21" t="inlineStr">
        <is>
          <t>-3.16%</t>
        </is>
      </c>
      <c r="I143" s="20" t="inlineStr">
        <is>
          <t>N/A</t>
        </is>
      </c>
      <c r="J143" s="20" t="n">
        <v>1</v>
      </c>
      <c r="K143" s="20" t="n">
        <v>1</v>
      </c>
      <c r="L143" s="20" t="inlineStr">
        <is>
          <t>22.10.2024 05:33:48</t>
        </is>
      </c>
      <c r="M143" s="18" t="inlineStr">
        <is>
          <t>19 sec</t>
        </is>
      </c>
      <c r="N143" s="20" t="inlineStr">
        <is>
          <t xml:space="preserve">         11K            11K             5K</t>
        </is>
      </c>
      <c r="O143" s="20" t="inlineStr">
        <is>
          <t>EwhJ4fYHa7L1ySdqibQqjiFKcufNcJyTS8BzELF3pump</t>
        </is>
      </c>
      <c r="P143" s="20">
        <f>HYPERLINK("https://photon-sol.tinyastro.io/en/lp/EwhJ4fYHa7L1ySdqibQqjiFKcufNcJyTS8BzELF3pump?handle=676050794bc1b1657a56b", "View")</f>
        <v/>
      </c>
    </row>
    <row r="144">
      <c r="A144" s="15" t="inlineStr">
        <is>
          <t>MCGA</t>
        </is>
      </c>
      <c r="B144" s="16" t="n">
        <v>5358</v>
      </c>
      <c r="C144" s="16" t="n">
        <v>5358</v>
      </c>
      <c r="D144" s="16" t="inlineStr">
        <is>
          <t>0.015010</t>
        </is>
      </c>
      <c r="E144" s="16" t="inlineStr">
        <is>
          <t>0.500 SOL</t>
        </is>
      </c>
      <c r="F144" s="16" t="inlineStr">
        <is>
          <t>0.934 SOL</t>
        </is>
      </c>
      <c r="G144" s="23" t="inlineStr">
        <is>
          <t>0.419 SOL</t>
        </is>
      </c>
      <c r="H144" s="23" t="inlineStr">
        <is>
          <t>81.36%</t>
        </is>
      </c>
      <c r="I144" s="16" t="inlineStr">
        <is>
          <t>N/A</t>
        </is>
      </c>
      <c r="J144" s="16" t="n">
        <v>1</v>
      </c>
      <c r="K144" s="16" t="n">
        <v>1</v>
      </c>
      <c r="L144" s="16" t="inlineStr">
        <is>
          <t>22.10.2024 04:36:08</t>
        </is>
      </c>
      <c r="M144" s="16" t="inlineStr">
        <is>
          <t>28 min</t>
        </is>
      </c>
      <c r="N144" s="16" t="inlineStr">
        <is>
          <t xml:space="preserve">         16K            31K            15K</t>
        </is>
      </c>
      <c r="O144" s="16" t="inlineStr">
        <is>
          <t>7fiu1FmMcTyEnLHkGt2bYKA9QcwRXuWYbxtTCmtXE7iB</t>
        </is>
      </c>
      <c r="P144" s="16">
        <f>HYPERLINK("https://dexscreener.com/solana/7fiu1FmMcTyEnLHkGt2bYKA9QcwRXuWYbxtTCmtXE7iB", "View")</f>
        <v/>
      </c>
    </row>
    <row r="145">
      <c r="A145" s="19" t="inlineStr">
        <is>
          <t>MARVIN</t>
        </is>
      </c>
      <c r="B145" s="20" t="n">
        <v>5548221</v>
      </c>
      <c r="C145" s="20" t="n">
        <v>5548221</v>
      </c>
      <c r="D145" s="20" t="inlineStr">
        <is>
          <t>0.015010</t>
        </is>
      </c>
      <c r="E145" s="20" t="inlineStr">
        <is>
          <t>0.499 SOL</t>
        </is>
      </c>
      <c r="F145" s="20" t="inlineStr">
        <is>
          <t>0.605 SOL</t>
        </is>
      </c>
      <c r="G145" s="22" t="inlineStr">
        <is>
          <t>0.090 SOL</t>
        </is>
      </c>
      <c r="H145" s="22" t="inlineStr">
        <is>
          <t>17.51%</t>
        </is>
      </c>
      <c r="I145" s="20" t="inlineStr">
        <is>
          <t>N/A</t>
        </is>
      </c>
      <c r="J145" s="20" t="n">
        <v>1</v>
      </c>
      <c r="K145" s="20" t="n">
        <v>1</v>
      </c>
      <c r="L145" s="20" t="inlineStr">
        <is>
          <t>22.10.2024 04:35:55</t>
        </is>
      </c>
      <c r="M145" s="20" t="inlineStr">
        <is>
          <t>3 min</t>
        </is>
      </c>
      <c r="N145" s="20" t="inlineStr">
        <is>
          <t xml:space="preserve">         15K            18K             7K</t>
        </is>
      </c>
      <c r="O145" s="20" t="inlineStr">
        <is>
          <t>9obx6ng4XPMn74WsQ3EpLYqfZ4KVLz3tZXAays75J5hf</t>
        </is>
      </c>
      <c r="P145" s="20">
        <f>HYPERLINK("https://dexscreener.com/solana/9obx6ng4XPMn74WsQ3EpLYqfZ4KVLz3tZXAays75J5hf", "View")</f>
        <v/>
      </c>
    </row>
    <row r="146">
      <c r="A146" s="15" t="inlineStr">
        <is>
          <t>NexCoin</t>
        </is>
      </c>
      <c r="B146" s="16" t="n">
        <v>9019038</v>
      </c>
      <c r="C146" s="16" t="n">
        <v>9019038</v>
      </c>
      <c r="D146" s="16" t="inlineStr">
        <is>
          <t>0.052560</t>
        </is>
      </c>
      <c r="E146" s="16" t="inlineStr">
        <is>
          <t>0.500 SOL</t>
        </is>
      </c>
      <c r="F146" s="16" t="inlineStr">
        <is>
          <t>3.940 SOL</t>
        </is>
      </c>
      <c r="G146" s="23" t="inlineStr">
        <is>
          <t>3.388 SOL</t>
        </is>
      </c>
      <c r="H146" s="23" t="inlineStr">
        <is>
          <t>613.13%</t>
        </is>
      </c>
      <c r="I146" s="16" t="inlineStr">
        <is>
          <t>N/A</t>
        </is>
      </c>
      <c r="J146" s="16" t="n">
        <v>1</v>
      </c>
      <c r="K146" s="16" t="n">
        <v>8</v>
      </c>
      <c r="L146" s="16" t="inlineStr">
        <is>
          <t>22.10.2024 04:26:03</t>
        </is>
      </c>
      <c r="M146" s="16" t="inlineStr">
        <is>
          <t>58 min</t>
        </is>
      </c>
      <c r="N146" s="16" t="inlineStr">
        <is>
          <t xml:space="preserve">         11K           133K            10K</t>
        </is>
      </c>
      <c r="O146" s="16" t="inlineStr">
        <is>
          <t>CRo1fQxkEqkqXGGeKb9yfkoisHChCtSGRzKNd1rApump</t>
        </is>
      </c>
      <c r="P146" s="16">
        <f>HYPERLINK("https://dexscreener.com/solana/CRo1fQxkEqkqXGGeKb9yfkoisHChCtSGRzKNd1rApump", "View")</f>
        <v/>
      </c>
    </row>
    <row r="147">
      <c r="A147" s="19" t="inlineStr">
        <is>
          <t>MATT</t>
        </is>
      </c>
      <c r="B147" s="20" t="n">
        <v>1357858</v>
      </c>
      <c r="C147" s="20" t="n">
        <v>1357858</v>
      </c>
      <c r="D147" s="20" t="inlineStr">
        <is>
          <t>0.015010</t>
        </is>
      </c>
      <c r="E147" s="20" t="inlineStr">
        <is>
          <t>0.300 SOL</t>
        </is>
      </c>
      <c r="F147" s="20" t="inlineStr">
        <is>
          <t>0.060 SOL</t>
        </is>
      </c>
      <c r="G147" s="24" t="inlineStr">
        <is>
          <t>-0.255 SOL</t>
        </is>
      </c>
      <c r="H147" s="24" t="inlineStr">
        <is>
          <t>-80.83%</t>
        </is>
      </c>
      <c r="I147" s="20" t="inlineStr">
        <is>
          <t>N/A</t>
        </is>
      </c>
      <c r="J147" s="20" t="n">
        <v>1</v>
      </c>
      <c r="K147" s="20" t="n">
        <v>1</v>
      </c>
      <c r="L147" s="20" t="inlineStr">
        <is>
          <t>22.10.2024 02:35:46</t>
        </is>
      </c>
      <c r="M147" s="20" t="inlineStr">
        <is>
          <t>1 min</t>
        </is>
      </c>
      <c r="N147" s="20" t="inlineStr">
        <is>
          <t xml:space="preserve">         39K             7K             3K</t>
        </is>
      </c>
      <c r="O147" s="20" t="inlineStr">
        <is>
          <t>3ipnR1FDQjCcn5fJiumN5Mt3MCQN5yj8qA4FqKX6pump</t>
        </is>
      </c>
      <c r="P147" s="20">
        <f>HYPERLINK("https://dexscreener.com/solana/3ipnR1FDQjCcn5fJiumN5Mt3MCQN5yj8qA4FqKX6pump", "View")</f>
        <v/>
      </c>
    </row>
    <row r="148">
      <c r="A148" s="15" t="inlineStr">
        <is>
          <t>☯</t>
        </is>
      </c>
      <c r="B148" s="16" t="n">
        <v>19276973</v>
      </c>
      <c r="C148" s="16" t="n">
        <v>19276973</v>
      </c>
      <c r="D148" s="16" t="inlineStr">
        <is>
          <t>0.007520</t>
        </is>
      </c>
      <c r="E148" s="16" t="inlineStr">
        <is>
          <t>1.029 SOL</t>
        </is>
      </c>
      <c r="F148" s="16" t="inlineStr">
        <is>
          <t>1.019 SOL</t>
        </is>
      </c>
      <c r="G148" s="21" t="inlineStr">
        <is>
          <t>-0.017 SOL</t>
        </is>
      </c>
      <c r="H148" s="21" t="inlineStr">
        <is>
          <t>-1.61%</t>
        </is>
      </c>
      <c r="I148" s="16" t="inlineStr">
        <is>
          <t>N/A</t>
        </is>
      </c>
      <c r="J148" s="16" t="n">
        <v>1</v>
      </c>
      <c r="K148" s="16" t="n">
        <v>1</v>
      </c>
      <c r="L148" s="16" t="inlineStr">
        <is>
          <t>22.10.2024 02:01:05</t>
        </is>
      </c>
      <c r="M148" s="18" t="inlineStr">
        <is>
          <t>59 sec</t>
        </is>
      </c>
      <c r="N148" s="16" t="inlineStr">
        <is>
          <t xml:space="preserve">          9K             9K             5K</t>
        </is>
      </c>
      <c r="O148" s="16" t="inlineStr">
        <is>
          <t>3kUL1YrLJgttqCF6RnaqgNwMcwj6RsyAk5tVV3i5pump</t>
        </is>
      </c>
      <c r="P148" s="16">
        <f>HYPERLINK("https://photon-sol.tinyastro.io/en/lp/3kUL1YrLJgttqCF6RnaqgNwMcwj6RsyAk5tVV3i5pump?handle=676050794bc1b1657a56b", "View")</f>
        <v/>
      </c>
    </row>
    <row r="149">
      <c r="A149" s="19" t="inlineStr">
        <is>
          <t>stinkgen</t>
        </is>
      </c>
      <c r="B149" s="20" t="n">
        <v>9095014</v>
      </c>
      <c r="C149" s="20" t="n">
        <v>9095014</v>
      </c>
      <c r="D149" s="20" t="inlineStr">
        <is>
          <t>0.030040</t>
        </is>
      </c>
      <c r="E149" s="20" t="inlineStr">
        <is>
          <t>2.500 SOL</t>
        </is>
      </c>
      <c r="F149" s="20" t="inlineStr">
        <is>
          <t>3.139 SOL</t>
        </is>
      </c>
      <c r="G149" s="22" t="inlineStr">
        <is>
          <t>0.609 SOL</t>
        </is>
      </c>
      <c r="H149" s="22" t="inlineStr">
        <is>
          <t>24.07%</t>
        </is>
      </c>
      <c r="I149" s="20" t="inlineStr">
        <is>
          <t>N/A</t>
        </is>
      </c>
      <c r="J149" s="20" t="n">
        <v>3</v>
      </c>
      <c r="K149" s="20" t="n">
        <v>3</v>
      </c>
      <c r="L149" s="20" t="inlineStr">
        <is>
          <t>22.10.2024 01:51:15</t>
        </is>
      </c>
      <c r="M149" s="20" t="inlineStr">
        <is>
          <t>5 days</t>
        </is>
      </c>
      <c r="N149" s="20" t="inlineStr">
        <is>
          <t xml:space="preserve">         37K           214K            18K</t>
        </is>
      </c>
      <c r="O149" s="20" t="inlineStr">
        <is>
          <t>5PHGgTLR82QS66HGbRrJDr6GxbgNFHLJ4fwJD3rdpump</t>
        </is>
      </c>
      <c r="P149" s="20">
        <f>HYPERLINK("https://dexscreener.com/solana/5PHGgTLR82QS66HGbRrJDr6GxbgNFHLJ4fwJD3rdpump", "View")</f>
        <v/>
      </c>
    </row>
    <row r="150">
      <c r="A150" s="15" t="inlineStr">
        <is>
          <t>YUDHOAI</t>
        </is>
      </c>
      <c r="B150" s="16" t="n">
        <v>2214549</v>
      </c>
      <c r="C150" s="16" t="n">
        <v>2214549</v>
      </c>
      <c r="D150" s="16" t="inlineStr">
        <is>
          <t>0.015010</t>
        </is>
      </c>
      <c r="E150" s="16" t="inlineStr">
        <is>
          <t>0.500 SOL</t>
        </is>
      </c>
      <c r="F150" s="16" t="inlineStr">
        <is>
          <t>0.414 SOL</t>
        </is>
      </c>
      <c r="G150" s="21" t="inlineStr">
        <is>
          <t>-0.101 SOL</t>
        </is>
      </c>
      <c r="H150" s="21" t="inlineStr">
        <is>
          <t>-19.66%</t>
        </is>
      </c>
      <c r="I150" s="16" t="inlineStr">
        <is>
          <t>N/A</t>
        </is>
      </c>
      <c r="J150" s="16" t="n">
        <v>1</v>
      </c>
      <c r="K150" s="16" t="n">
        <v>1</v>
      </c>
      <c r="L150" s="16" t="inlineStr">
        <is>
          <t>21.10.2024 16:18:23</t>
        </is>
      </c>
      <c r="M150" s="16" t="inlineStr">
        <is>
          <t>11 min</t>
        </is>
      </c>
      <c r="N150" s="16" t="inlineStr">
        <is>
          <t xml:space="preserve">         36K            30K            81K</t>
        </is>
      </c>
      <c r="O150" s="16" t="inlineStr">
        <is>
          <t>5Gw2SboaCeKWPE9YErGMkoJ9eETq13EkeFV3ee8rpump</t>
        </is>
      </c>
      <c r="P150" s="16">
        <f>HYPERLINK("https://dexscreener.com/solana/5Gw2SboaCeKWPE9YErGMkoJ9eETq13EkeFV3ee8rpump", "View")</f>
        <v/>
      </c>
    </row>
    <row r="151">
      <c r="A151" s="19" t="inlineStr">
        <is>
          <t>FRAUD</t>
        </is>
      </c>
      <c r="B151" s="20" t="n">
        <v>199058</v>
      </c>
      <c r="C151" s="20" t="n">
        <v>199058</v>
      </c>
      <c r="D151" s="20" t="inlineStr">
        <is>
          <t>0.015010</t>
        </is>
      </c>
      <c r="E151" s="20" t="inlineStr">
        <is>
          <t>1.000 SOL</t>
        </is>
      </c>
      <c r="F151" s="20" t="inlineStr">
        <is>
          <t>2.324 SOL</t>
        </is>
      </c>
      <c r="G151" s="23" t="inlineStr">
        <is>
          <t>1.309 SOL</t>
        </is>
      </c>
      <c r="H151" s="23" t="inlineStr">
        <is>
          <t>128.98%</t>
        </is>
      </c>
      <c r="I151" s="20" t="inlineStr">
        <is>
          <t>N/A</t>
        </is>
      </c>
      <c r="J151" s="20" t="n">
        <v>1</v>
      </c>
      <c r="K151" s="20" t="n">
        <v>1</v>
      </c>
      <c r="L151" s="20" t="inlineStr">
        <is>
          <t>21.10.2024 15:29:22</t>
        </is>
      </c>
      <c r="M151" s="20" t="inlineStr">
        <is>
          <t>28 min</t>
        </is>
      </c>
      <c r="N151" s="20" t="inlineStr">
        <is>
          <t xml:space="preserve">        804K             2M            43K</t>
        </is>
      </c>
      <c r="O151" s="20" t="inlineStr">
        <is>
          <t>CUots31KNMDbswxamS4fYQD3g4L3i4g2smT1djitpump</t>
        </is>
      </c>
      <c r="P151" s="20">
        <f>HYPERLINK("https://dexscreener.com/solana/CUots31KNMDbswxamS4fYQD3g4L3i4g2smT1djitpump", "View")</f>
        <v/>
      </c>
    </row>
    <row r="152">
      <c r="A152" s="15" t="inlineStr">
        <is>
          <t>GOD</t>
        </is>
      </c>
      <c r="B152" s="16" t="n">
        <v>4143900</v>
      </c>
      <c r="C152" s="16" t="n">
        <v>4143900</v>
      </c>
      <c r="D152" s="16" t="inlineStr">
        <is>
          <t>0.015010</t>
        </is>
      </c>
      <c r="E152" s="16" t="inlineStr">
        <is>
          <t>0.500 SOL</t>
        </is>
      </c>
      <c r="F152" s="16" t="inlineStr">
        <is>
          <t>0.514 SOL</t>
        </is>
      </c>
      <c r="G152" s="21" t="inlineStr">
        <is>
          <t>-0.001 SOL</t>
        </is>
      </c>
      <c r="H152" s="21" t="inlineStr">
        <is>
          <t>-0.25%</t>
        </is>
      </c>
      <c r="I152" s="16" t="inlineStr">
        <is>
          <t>N/A</t>
        </is>
      </c>
      <c r="J152" s="16" t="n">
        <v>1</v>
      </c>
      <c r="K152" s="16" t="n">
        <v>1</v>
      </c>
      <c r="L152" s="16" t="inlineStr">
        <is>
          <t>21.10.2024 14:44:04</t>
        </is>
      </c>
      <c r="M152" s="16" t="inlineStr">
        <is>
          <t>2 min</t>
        </is>
      </c>
      <c r="N152" s="16" t="inlineStr">
        <is>
          <t xml:space="preserve">         21K            21K             6K</t>
        </is>
      </c>
      <c r="O152" s="16" t="inlineStr">
        <is>
          <t>G6Ja3KLn69wgZJ295JsSPee8fe686HcCgZwaMmG4Rg17</t>
        </is>
      </c>
      <c r="P152" s="16">
        <f>HYPERLINK("https://dexscreener.com/solana/G6Ja3KLn69wgZJ295JsSPee8fe686HcCgZwaMmG4Rg17", "View")</f>
        <v/>
      </c>
    </row>
    <row r="153">
      <c r="A153" s="19" t="inlineStr">
        <is>
          <t>fubian</t>
        </is>
      </c>
      <c r="B153" s="20" t="n">
        <v>5868086</v>
      </c>
      <c r="C153" s="20" t="n">
        <v>5868086</v>
      </c>
      <c r="D153" s="20" t="inlineStr">
        <is>
          <t>0.009030</t>
        </is>
      </c>
      <c r="E153" s="20" t="inlineStr">
        <is>
          <t>0.315 SOL</t>
        </is>
      </c>
      <c r="F153" s="20" t="inlineStr">
        <is>
          <t>0.201 SOL</t>
        </is>
      </c>
      <c r="G153" s="21" t="inlineStr">
        <is>
          <t>-0.124 SOL</t>
        </is>
      </c>
      <c r="H153" s="21" t="inlineStr">
        <is>
          <t>-38.12%</t>
        </is>
      </c>
      <c r="I153" s="20" t="inlineStr">
        <is>
          <t>N/A</t>
        </is>
      </c>
      <c r="J153" s="20" t="n">
        <v>1</v>
      </c>
      <c r="K153" s="20" t="n">
        <v>1</v>
      </c>
      <c r="L153" s="20" t="inlineStr">
        <is>
          <t>21.10.2024 05:49:49</t>
        </is>
      </c>
      <c r="M153" s="20" t="inlineStr">
        <is>
          <t>2 hours</t>
        </is>
      </c>
      <c r="N153" s="20" t="inlineStr">
        <is>
          <t xml:space="preserve">          9K             5K             5K</t>
        </is>
      </c>
      <c r="O153" s="20" t="inlineStr">
        <is>
          <t>6kimeS2KpVKydqEnQ1hPjaRL4zw8SUpaYUvq4Xippump</t>
        </is>
      </c>
      <c r="P153" s="20">
        <f>HYPERLINK("https://photon-sol.tinyastro.io/en/lp/6kimeS2KpVKydqEnQ1hPjaRL4zw8SUpaYUvq4Xippump?handle=676050794bc1b1657a56b", "View")</f>
        <v/>
      </c>
    </row>
    <row r="154">
      <c r="A154" s="15" t="inlineStr">
        <is>
          <t xml:space="preserve">ToT </t>
        </is>
      </c>
      <c r="B154" s="16" t="n">
        <v>16018125</v>
      </c>
      <c r="C154" s="16" t="n">
        <v>16018125</v>
      </c>
      <c r="D154" s="16" t="inlineStr">
        <is>
          <t>0.015010</t>
        </is>
      </c>
      <c r="E154" s="16" t="inlineStr">
        <is>
          <t>0.519 SOL</t>
        </is>
      </c>
      <c r="F154" s="16" t="inlineStr">
        <is>
          <t>0.810 SOL</t>
        </is>
      </c>
      <c r="G154" s="23" t="inlineStr">
        <is>
          <t>0.276 SOL</t>
        </is>
      </c>
      <c r="H154" s="23" t="inlineStr">
        <is>
          <t>51.70%</t>
        </is>
      </c>
      <c r="I154" s="16" t="inlineStr">
        <is>
          <t>N/A</t>
        </is>
      </c>
      <c r="J154" s="16" t="n">
        <v>1</v>
      </c>
      <c r="K154" s="16" t="n">
        <v>1</v>
      </c>
      <c r="L154" s="16" t="inlineStr">
        <is>
          <t>21.10.2024 04:22:25</t>
        </is>
      </c>
      <c r="M154" s="16" t="inlineStr">
        <is>
          <t>30 min</t>
        </is>
      </c>
      <c r="N154" s="16" t="inlineStr">
        <is>
          <t xml:space="preserve">          5K             9K             5K</t>
        </is>
      </c>
      <c r="O154" s="16" t="inlineStr">
        <is>
          <t>FT7DuqzigbSRwyXZiXos7DRr1heeUjShXYkyCLrCpump</t>
        </is>
      </c>
      <c r="P154" s="16">
        <f>HYPERLINK("https://photon-sol.tinyastro.io/en/lp/FT7DuqzigbSRwyXZiXos7DRr1heeUjShXYkyCLrCpump?handle=676050794bc1b1657a56b", "View")</f>
        <v/>
      </c>
    </row>
    <row r="155">
      <c r="A155" s="19" t="inlineStr">
        <is>
          <t>taoki</t>
        </is>
      </c>
      <c r="B155" s="20" t="n">
        <v>6637070</v>
      </c>
      <c r="C155" s="20" t="n">
        <v>6637070</v>
      </c>
      <c r="D155" s="20" t="inlineStr">
        <is>
          <t>0.015040</t>
        </is>
      </c>
      <c r="E155" s="20" t="inlineStr">
        <is>
          <t>1.029 SOL</t>
        </is>
      </c>
      <c r="F155" s="20" t="inlineStr">
        <is>
          <t>1.322 SOL</t>
        </is>
      </c>
      <c r="G155" s="22" t="inlineStr">
        <is>
          <t>0.278 SOL</t>
        </is>
      </c>
      <c r="H155" s="22" t="inlineStr">
        <is>
          <t>26.68%</t>
        </is>
      </c>
      <c r="I155" s="20" t="inlineStr">
        <is>
          <t>N/A</t>
        </is>
      </c>
      <c r="J155" s="20" t="n">
        <v>2</v>
      </c>
      <c r="K155" s="20" t="n">
        <v>3</v>
      </c>
      <c r="L155" s="20" t="inlineStr">
        <is>
          <t>20.10.2024 16:32:52</t>
        </is>
      </c>
      <c r="M155" s="20" t="inlineStr">
        <is>
          <t>14 min</t>
        </is>
      </c>
      <c r="N155" s="20" t="inlineStr">
        <is>
          <t xml:space="preserve">         26K            23K             3K</t>
        </is>
      </c>
      <c r="O155" s="20" t="inlineStr">
        <is>
          <t>72MeajasdEE7EiJnirmYFv3peoE1TMvp2SG7C2oBpump</t>
        </is>
      </c>
      <c r="P155" s="20">
        <f>HYPERLINK("https://photon-sol.tinyastro.io/en/lp/72MeajasdEE7EiJnirmYFv3peoE1TMvp2SG7C2oBpump?handle=676050794bc1b1657a56b", "View")</f>
        <v/>
      </c>
    </row>
    <row r="156">
      <c r="A156" s="15" t="inlineStr">
        <is>
          <t>iuji</t>
        </is>
      </c>
      <c r="B156" s="16" t="n">
        <v>4242259</v>
      </c>
      <c r="C156" s="16" t="n">
        <v>4242259</v>
      </c>
      <c r="D156" s="16" t="inlineStr">
        <is>
          <t>0.000020</t>
        </is>
      </c>
      <c r="E156" s="16" t="inlineStr">
        <is>
          <t>0.500 SOL</t>
        </is>
      </c>
      <c r="F156" s="16" t="inlineStr">
        <is>
          <t>0.565 SOL</t>
        </is>
      </c>
      <c r="G156" s="22" t="inlineStr">
        <is>
          <t>0.065 SOL</t>
        </is>
      </c>
      <c r="H156" s="22" t="inlineStr">
        <is>
          <t>13.00%</t>
        </is>
      </c>
      <c r="I156" s="16" t="inlineStr">
        <is>
          <t>N/A</t>
        </is>
      </c>
      <c r="J156" s="16" t="n">
        <v>1</v>
      </c>
      <c r="K156" s="16" t="n">
        <v>1</v>
      </c>
      <c r="L156" s="16" t="inlineStr">
        <is>
          <t>20.10.2024 13:44:40</t>
        </is>
      </c>
      <c r="M156" s="16" t="inlineStr">
        <is>
          <t>2 hours</t>
        </is>
      </c>
      <c r="N156" s="16" t="inlineStr">
        <is>
          <t xml:space="preserve">         21K            21K             6K</t>
        </is>
      </c>
      <c r="O156" s="16" t="inlineStr">
        <is>
          <t>GUGmG7qWG4KDCZimpBKi1Ej6xo4ko46V4Fnw6RhKpump</t>
        </is>
      </c>
      <c r="P156" s="16">
        <f>HYPERLINK("https://dexscreener.com/solana/GUGmG7qWG4KDCZimpBKi1Ej6xo4ko46V4Fnw6RhKpump", "View")</f>
        <v/>
      </c>
    </row>
    <row r="157">
      <c r="A157" s="19" t="inlineStr">
        <is>
          <t>bhole</t>
        </is>
      </c>
      <c r="B157" s="20" t="n">
        <v>2919073</v>
      </c>
      <c r="C157" s="20" t="n">
        <v>2919073</v>
      </c>
      <c r="D157" s="20" t="inlineStr">
        <is>
          <t>0.007550</t>
        </is>
      </c>
      <c r="E157" s="20" t="inlineStr">
        <is>
          <t>0.802 SOL</t>
        </is>
      </c>
      <c r="F157" s="20" t="inlineStr">
        <is>
          <t>2.143 SOL</t>
        </is>
      </c>
      <c r="G157" s="23" t="inlineStr">
        <is>
          <t>1.333 SOL</t>
        </is>
      </c>
      <c r="H157" s="23" t="inlineStr">
        <is>
          <t>164.65%</t>
        </is>
      </c>
      <c r="I157" s="20" t="inlineStr">
        <is>
          <t>N/A</t>
        </is>
      </c>
      <c r="J157" s="20" t="n">
        <v>2</v>
      </c>
      <c r="K157" s="20" t="n">
        <v>3</v>
      </c>
      <c r="L157" s="20" t="inlineStr">
        <is>
          <t>20.10.2024 11:06:54</t>
        </is>
      </c>
      <c r="M157" s="20" t="inlineStr">
        <is>
          <t>2 days</t>
        </is>
      </c>
      <c r="N157" s="20" t="inlineStr">
        <is>
          <t xml:space="preserve">         49K           172K            23K</t>
        </is>
      </c>
      <c r="O157" s="20" t="inlineStr">
        <is>
          <t>EVgPUtiE6Fg7T6RY16ACmydX7uucpCaqsK3es3u2pump</t>
        </is>
      </c>
      <c r="P157" s="20">
        <f>HYPERLINK("https://photon-sol.tinyastro.io/en/lp/EVgPUtiE6Fg7T6RY16ACmydX7uucpCaqsK3es3u2pump?handle=676050794bc1b1657a56b", "View")</f>
        <v/>
      </c>
    </row>
    <row r="158">
      <c r="A158" s="15" t="inlineStr">
        <is>
          <t>ICK</t>
        </is>
      </c>
      <c r="B158" s="16" t="n">
        <v>383694</v>
      </c>
      <c r="C158" s="16" t="n">
        <v>383694</v>
      </c>
      <c r="D158" s="16" t="inlineStr">
        <is>
          <t>0.000020</t>
        </is>
      </c>
      <c r="E158" s="16" t="inlineStr">
        <is>
          <t>0.300 SOL</t>
        </is>
      </c>
      <c r="F158" s="16" t="inlineStr">
        <is>
          <t>0.108 SOL</t>
        </is>
      </c>
      <c r="G158" s="24" t="inlineStr">
        <is>
          <t>-0.192 SOL</t>
        </is>
      </c>
      <c r="H158" s="24" t="inlineStr">
        <is>
          <t>-64.06%</t>
        </is>
      </c>
      <c r="I158" s="16" t="inlineStr">
        <is>
          <t>N/A</t>
        </is>
      </c>
      <c r="J158" s="16" t="n">
        <v>1</v>
      </c>
      <c r="K158" s="16" t="n">
        <v>1</v>
      </c>
      <c r="L158" s="16" t="inlineStr">
        <is>
          <t>20.10.2024 11:06:43</t>
        </is>
      </c>
      <c r="M158" s="16" t="inlineStr">
        <is>
          <t>1 days</t>
        </is>
      </c>
      <c r="N158" s="16" t="inlineStr">
        <is>
          <t xml:space="preserve">        137K           137K            12K</t>
        </is>
      </c>
      <c r="O158" s="16" t="inlineStr">
        <is>
          <t>2J1iS9awQkhjrpUqmTBWtP1EyopH5H7G5wJ7pCQHpump</t>
        </is>
      </c>
      <c r="P158" s="16">
        <f>HYPERLINK("https://dexscreener.com/solana/2J1iS9awQkhjrpUqmTBWtP1EyopH5H7G5wJ7pCQHpump", "View")</f>
        <v/>
      </c>
    </row>
    <row r="159">
      <c r="A159" s="19" t="inlineStr">
        <is>
          <t>MEMESAGE</t>
        </is>
      </c>
      <c r="B159" s="20" t="n">
        <v>1683774</v>
      </c>
      <c r="C159" s="20" t="n">
        <v>1683774</v>
      </c>
      <c r="D159" s="20" t="inlineStr">
        <is>
          <t>0.000020</t>
        </is>
      </c>
      <c r="E159" s="20" t="inlineStr">
        <is>
          <t>0.300 SOL</t>
        </is>
      </c>
      <c r="F159" s="20" t="inlineStr">
        <is>
          <t>0.152 SOL</t>
        </is>
      </c>
      <c r="G159" s="21" t="inlineStr">
        <is>
          <t>-0.148 SOL</t>
        </is>
      </c>
      <c r="H159" s="21" t="inlineStr">
        <is>
          <t>-49.18%</t>
        </is>
      </c>
      <c r="I159" s="20" t="inlineStr">
        <is>
          <t>N/A</t>
        </is>
      </c>
      <c r="J159" s="20" t="n">
        <v>1</v>
      </c>
      <c r="K159" s="20" t="n">
        <v>1</v>
      </c>
      <c r="L159" s="20" t="inlineStr">
        <is>
          <t>20.10.2024 11:06:33</t>
        </is>
      </c>
      <c r="M159" s="20" t="inlineStr">
        <is>
          <t>7 hours</t>
        </is>
      </c>
      <c r="N159" s="20" t="inlineStr">
        <is>
          <t xml:space="preserve">         31K            31K             7K</t>
        </is>
      </c>
      <c r="O159" s="20" t="inlineStr">
        <is>
          <t>2ozdu4xkxK2fVkgjARq18uQLkHcymxr3qxDFoFtyA3eP</t>
        </is>
      </c>
      <c r="P159" s="20">
        <f>HYPERLINK("https://dexscreener.com/solana/2ozdu4xkxK2fVkgjARq18uQLkHcymxr3qxDFoFtyA3eP", "View")</f>
        <v/>
      </c>
    </row>
    <row r="160">
      <c r="A160" s="15" t="inlineStr">
        <is>
          <t>MemeX</t>
        </is>
      </c>
      <c r="B160" s="16" t="n">
        <v>14411861</v>
      </c>
      <c r="C160" s="16" t="n">
        <v>14411861</v>
      </c>
      <c r="D160" s="16" t="inlineStr">
        <is>
          <t>0.000030</t>
        </is>
      </c>
      <c r="E160" s="16" t="inlineStr">
        <is>
          <t>0.977 SOL</t>
        </is>
      </c>
      <c r="F160" s="16" t="inlineStr">
        <is>
          <t>1.071 SOL</t>
        </is>
      </c>
      <c r="G160" s="22" t="inlineStr">
        <is>
          <t>0.093 SOL</t>
        </is>
      </c>
      <c r="H160" s="22" t="inlineStr">
        <is>
          <t>9.55%</t>
        </is>
      </c>
      <c r="I160" s="16" t="inlineStr">
        <is>
          <t>N/A</t>
        </is>
      </c>
      <c r="J160" s="16" t="n">
        <v>2</v>
      </c>
      <c r="K160" s="16" t="n">
        <v>1</v>
      </c>
      <c r="L160" s="16" t="inlineStr">
        <is>
          <t>20.10.2024 02:18:26</t>
        </is>
      </c>
      <c r="M160" s="16" t="inlineStr">
        <is>
          <t>9 hours</t>
        </is>
      </c>
      <c r="N160" s="16" t="inlineStr">
        <is>
          <t xml:space="preserve">         23K             7K             4K</t>
        </is>
      </c>
      <c r="O160" s="16" t="inlineStr">
        <is>
          <t>C4sSMEGy5Nd1QBFJ6hZyrpK4TwdunmQnoeMYv4f7fi8W</t>
        </is>
      </c>
      <c r="P160" s="16">
        <f>HYPERLINK("https://photon-sol.tinyastro.io/en/lp/C4sSMEGy5Nd1QBFJ6hZyrpK4TwdunmQnoeMYv4f7fi8W?handle=676050794bc1b1657a56b", "View")</f>
        <v/>
      </c>
    </row>
    <row r="161">
      <c r="A161" s="19" t="inlineStr">
        <is>
          <t>moment</t>
        </is>
      </c>
      <c r="B161" s="20" t="n">
        <v>29737</v>
      </c>
      <c r="C161" s="20" t="n">
        <v>29737</v>
      </c>
      <c r="D161" s="20" t="inlineStr">
        <is>
          <t>0.009010</t>
        </is>
      </c>
      <c r="E161" s="20" t="inlineStr">
        <is>
          <t>0.500 SOL</t>
        </is>
      </c>
      <c r="F161" s="20" t="inlineStr">
        <is>
          <t>0.481 SOL</t>
        </is>
      </c>
      <c r="G161" s="21" t="inlineStr">
        <is>
          <t>-0.028 SOL</t>
        </is>
      </c>
      <c r="H161" s="21" t="inlineStr">
        <is>
          <t>-5.44%</t>
        </is>
      </c>
      <c r="I161" s="20" t="inlineStr">
        <is>
          <t>N/A</t>
        </is>
      </c>
      <c r="J161" s="20" t="n">
        <v>1</v>
      </c>
      <c r="K161" s="20" t="n">
        <v>1</v>
      </c>
      <c r="L161" s="20" t="inlineStr">
        <is>
          <t>19.10.2024 16:00:15</t>
        </is>
      </c>
      <c r="M161" s="20" t="inlineStr">
        <is>
          <t>3 min</t>
        </is>
      </c>
      <c r="N161" s="20" t="inlineStr">
        <is>
          <t xml:space="preserve">          3M             3M            16K</t>
        </is>
      </c>
      <c r="O161" s="20" t="inlineStr">
        <is>
          <t>BnyK5ccegzrpEcv9UH5GPF8fZwV865m33pGi2Uk7cXQ7</t>
        </is>
      </c>
      <c r="P161" s="20">
        <f>HYPERLINK("https://dexscreener.com/solana/BnyK5ccegzrpEcv9UH5GPF8fZwV865m33pGi2Uk7cXQ7", "View")</f>
        <v/>
      </c>
    </row>
    <row r="162">
      <c r="A162" s="15" t="inlineStr">
        <is>
          <t>CHAPTER1</t>
        </is>
      </c>
      <c r="B162" s="16" t="n">
        <v>8084565</v>
      </c>
      <c r="C162" s="16" t="n">
        <v>8084565</v>
      </c>
      <c r="D162" s="16" t="inlineStr">
        <is>
          <t>0.007520</t>
        </is>
      </c>
      <c r="E162" s="16" t="inlineStr">
        <is>
          <t>0.512 SOL</t>
        </is>
      </c>
      <c r="F162" s="16" t="inlineStr">
        <is>
          <t>0.471 SOL</t>
        </is>
      </c>
      <c r="G162" s="21" t="inlineStr">
        <is>
          <t>-0.048 SOL</t>
        </is>
      </c>
      <c r="H162" s="21" t="inlineStr">
        <is>
          <t>-9.27%</t>
        </is>
      </c>
      <c r="I162" s="16" t="inlineStr">
        <is>
          <t>N/A</t>
        </is>
      </c>
      <c r="J162" s="16" t="n">
        <v>1</v>
      </c>
      <c r="K162" s="16" t="n">
        <v>1</v>
      </c>
      <c r="L162" s="16" t="inlineStr">
        <is>
          <t>19.10.2024 13:28:32</t>
        </is>
      </c>
      <c r="M162" s="16" t="inlineStr">
        <is>
          <t>1 min</t>
        </is>
      </c>
      <c r="N162" s="16" t="inlineStr">
        <is>
          <t xml:space="preserve">         11K            11K             5K</t>
        </is>
      </c>
      <c r="O162" s="16" t="inlineStr">
        <is>
          <t>FZHBppG3Ppq6jYzydLeTzTyN9Qn4w5sALYHsLEhUpump</t>
        </is>
      </c>
      <c r="P162" s="16">
        <f>HYPERLINK("https://photon-sol.tinyastro.io/en/lp/FZHBppG3Ppq6jYzydLeTzTyN9Qn4w5sALYHsLEhUpump?handle=676050794bc1b1657a56b", "View")</f>
        <v/>
      </c>
    </row>
    <row r="163">
      <c r="A163" s="19" t="inlineStr">
        <is>
          <t>nachi</t>
        </is>
      </c>
      <c r="B163" s="20" t="n">
        <v>2707901</v>
      </c>
      <c r="C163" s="20" t="n">
        <v>2707901</v>
      </c>
      <c r="D163" s="20" t="inlineStr">
        <is>
          <t>0.000020</t>
        </is>
      </c>
      <c r="E163" s="20" t="inlineStr">
        <is>
          <t>0.309 SOL</t>
        </is>
      </c>
      <c r="F163" s="20" t="inlineStr">
        <is>
          <t>0.244 SOL</t>
        </is>
      </c>
      <c r="G163" s="21" t="inlineStr">
        <is>
          <t>-0.065 SOL</t>
        </is>
      </c>
      <c r="H163" s="21" t="inlineStr">
        <is>
          <t>-20.93%</t>
        </is>
      </c>
      <c r="I163" s="20" t="inlineStr">
        <is>
          <t>N/A</t>
        </is>
      </c>
      <c r="J163" s="20" t="n">
        <v>1</v>
      </c>
      <c r="K163" s="20" t="n">
        <v>1</v>
      </c>
      <c r="L163" s="20" t="inlineStr">
        <is>
          <t>19.10.2024 10:23:43</t>
        </is>
      </c>
      <c r="M163" s="20" t="inlineStr">
        <is>
          <t>2 min</t>
        </is>
      </c>
      <c r="N163" s="20" t="inlineStr">
        <is>
          <t xml:space="preserve">        N/A           N/A           N/A</t>
        </is>
      </c>
      <c r="O163" s="20" t="inlineStr">
        <is>
          <t>9GD3XDGnEmDxULpFTNZWVmN9F25BQhpfv1BRf1NS5oRn</t>
        </is>
      </c>
      <c r="P163" s="20">
        <f>HYPERLINK("https://photon-sol.tinyastro.io/en/lp/9GD3XDGnEmDxULpFTNZWVmN9F25BQhpfv1BRf1NS5oRn?handle=676050794bc1b1657a56b", "View")</f>
        <v/>
      </c>
    </row>
    <row r="164">
      <c r="A164" s="15" t="inlineStr">
        <is>
          <t>TS</t>
        </is>
      </c>
      <c r="B164" s="16" t="n">
        <v>13364378</v>
      </c>
      <c r="C164" s="16" t="n">
        <v>13364378</v>
      </c>
      <c r="D164" s="16" t="inlineStr">
        <is>
          <t>0.009050</t>
        </is>
      </c>
      <c r="E164" s="16" t="inlineStr">
        <is>
          <t>1.351 SOL</t>
        </is>
      </c>
      <c r="F164" s="16" t="inlineStr">
        <is>
          <t>2.936 SOL</t>
        </is>
      </c>
      <c r="G164" s="23" t="inlineStr">
        <is>
          <t>1.576 SOL</t>
        </is>
      </c>
      <c r="H164" s="23" t="inlineStr">
        <is>
          <t>115.80%</t>
        </is>
      </c>
      <c r="I164" s="16" t="inlineStr">
        <is>
          <t>N/A</t>
        </is>
      </c>
      <c r="J164" s="16" t="n">
        <v>3</v>
      </c>
      <c r="K164" s="16" t="n">
        <v>3</v>
      </c>
      <c r="L164" s="16" t="inlineStr">
        <is>
          <t>19.10.2024 09:54:01</t>
        </is>
      </c>
      <c r="M164" s="16" t="inlineStr">
        <is>
          <t>57 min</t>
        </is>
      </c>
      <c r="N164" s="16" t="inlineStr">
        <is>
          <t xml:space="preserve">         25K            38K             3K</t>
        </is>
      </c>
      <c r="O164" s="16" t="inlineStr">
        <is>
          <t>5f2yCN8k3fTUBgerAK79LQRRqqWKZdCanASmNcPUpump</t>
        </is>
      </c>
      <c r="P164" s="16">
        <f>HYPERLINK("https://photon-sol.tinyastro.io/en/lp/5f2yCN8k3fTUBgerAK79LQRRqqWKZdCanASmNcPUpump?handle=676050794bc1b1657a56b", "View")</f>
        <v/>
      </c>
    </row>
    <row r="165">
      <c r="A165" s="19" t="inlineStr">
        <is>
          <t>Aurora</t>
        </is>
      </c>
      <c r="B165" s="20" t="n">
        <v>2709200</v>
      </c>
      <c r="C165" s="20" t="n">
        <v>2709200</v>
      </c>
      <c r="D165" s="20" t="inlineStr">
        <is>
          <t>0.000020</t>
        </is>
      </c>
      <c r="E165" s="20" t="inlineStr">
        <is>
          <t>0.525 SOL</t>
        </is>
      </c>
      <c r="F165" s="20" t="inlineStr">
        <is>
          <t>0.517 SOL</t>
        </is>
      </c>
      <c r="G165" s="21" t="inlineStr">
        <is>
          <t>-0.008 SOL</t>
        </is>
      </c>
      <c r="H165" s="21" t="inlineStr">
        <is>
          <t>-1.61%</t>
        </is>
      </c>
      <c r="I165" s="20" t="inlineStr">
        <is>
          <t>N/A</t>
        </is>
      </c>
      <c r="J165" s="20" t="n">
        <v>1</v>
      </c>
      <c r="K165" s="20" t="n">
        <v>1</v>
      </c>
      <c r="L165" s="20" t="inlineStr">
        <is>
          <t>19.10.2024 09:17:59</t>
        </is>
      </c>
      <c r="M165" s="20" t="inlineStr">
        <is>
          <t>1 min</t>
        </is>
      </c>
      <c r="N165" s="20" t="inlineStr">
        <is>
          <t xml:space="preserve">         33K            33K             5K</t>
        </is>
      </c>
      <c r="O165" s="20" t="inlineStr">
        <is>
          <t>7RgHM6hudb8Cjd8boaZJs47BpZbX7ZupG88VbmuczENr</t>
        </is>
      </c>
      <c r="P165" s="20">
        <f>HYPERLINK("https://photon-sol.tinyastro.io/en/lp/7RgHM6hudb8Cjd8boaZJs47BpZbX7ZupG88VbmuczENr?handle=676050794bc1b1657a56b", "View")</f>
        <v/>
      </c>
    </row>
    <row r="166">
      <c r="A166" s="15" t="inlineStr">
        <is>
          <t>chizz</t>
        </is>
      </c>
      <c r="B166" s="16" t="n">
        <v>2898315</v>
      </c>
      <c r="C166" s="16" t="n">
        <v>2898315</v>
      </c>
      <c r="D166" s="16" t="inlineStr">
        <is>
          <t>0.000020</t>
        </is>
      </c>
      <c r="E166" s="16" t="inlineStr">
        <is>
          <t>0.512 SOL</t>
        </is>
      </c>
      <c r="F166" s="16" t="inlineStr">
        <is>
          <t>0.487 SOL</t>
        </is>
      </c>
      <c r="G166" s="21" t="inlineStr">
        <is>
          <t>-0.025 SOL</t>
        </is>
      </c>
      <c r="H166" s="21" t="inlineStr">
        <is>
          <t>-4.81%</t>
        </is>
      </c>
      <c r="I166" s="16" t="inlineStr">
        <is>
          <t>N/A</t>
        </is>
      </c>
      <c r="J166" s="16" t="n">
        <v>1</v>
      </c>
      <c r="K166" s="16" t="n">
        <v>1</v>
      </c>
      <c r="L166" s="16" t="inlineStr">
        <is>
          <t>19.10.2024 06:41:39</t>
        </is>
      </c>
      <c r="M166" s="16" t="inlineStr">
        <is>
          <t>3 min</t>
        </is>
      </c>
      <c r="N166" s="16" t="inlineStr">
        <is>
          <t xml:space="preserve">         32K            30K             6K</t>
        </is>
      </c>
      <c r="O166" s="16" t="inlineStr">
        <is>
          <t>B4KtrpPmjvyY2v1XjSoo5ZLWgHq9MCZjPbtHxqoKpump</t>
        </is>
      </c>
      <c r="P166" s="16">
        <f>HYPERLINK("https://photon-sol.tinyastro.io/en/lp/B4KtrpPmjvyY2v1XjSoo5ZLWgHq9MCZjPbtHxqoKpump?handle=676050794bc1b1657a56b", "View")</f>
        <v/>
      </c>
    </row>
    <row r="167">
      <c r="A167" s="19" t="inlineStr">
        <is>
          <t>Sonnet</t>
        </is>
      </c>
      <c r="B167" s="20" t="n">
        <v>14575684</v>
      </c>
      <c r="C167" s="20" t="n">
        <v>14575684</v>
      </c>
      <c r="D167" s="20" t="inlineStr">
        <is>
          <t>0.000030</t>
        </is>
      </c>
      <c r="E167" s="20" t="inlineStr">
        <is>
          <t>0.844 SOL</t>
        </is>
      </c>
      <c r="F167" s="20" t="inlineStr">
        <is>
          <t>0.791 SOL</t>
        </is>
      </c>
      <c r="G167" s="21" t="inlineStr">
        <is>
          <t>-0.053 SOL</t>
        </is>
      </c>
      <c r="H167" s="21" t="inlineStr">
        <is>
          <t>-6.33%</t>
        </is>
      </c>
      <c r="I167" s="20" t="inlineStr">
        <is>
          <t>N/A</t>
        </is>
      </c>
      <c r="J167" s="20" t="n">
        <v>2</v>
      </c>
      <c r="K167" s="20" t="n">
        <v>1</v>
      </c>
      <c r="L167" s="20" t="inlineStr">
        <is>
          <t>19.10.2024 05:32:02</t>
        </is>
      </c>
      <c r="M167" s="20" t="inlineStr">
        <is>
          <t>2 min</t>
        </is>
      </c>
      <c r="N167" s="20" t="inlineStr">
        <is>
          <t xml:space="preserve">         18K             9K             5K</t>
        </is>
      </c>
      <c r="O167" s="20" t="inlineStr">
        <is>
          <t>EDnQDFixcf2T2fCUjKivp4EA9orZXBa75tKxUAHzpump</t>
        </is>
      </c>
      <c r="P167" s="20">
        <f>HYPERLINK("https://photon-sol.tinyastro.io/en/lp/EDnQDFixcf2T2fCUjKivp4EA9orZXBa75tKxUAHzpump?handle=676050794bc1b1657a56b", "View")</f>
        <v/>
      </c>
    </row>
    <row r="168">
      <c r="A168" s="15" t="inlineStr">
        <is>
          <t>MYCELIAL</t>
        </is>
      </c>
      <c r="B168" s="16" t="n">
        <v>8189613</v>
      </c>
      <c r="C168" s="16" t="n">
        <v>8189613</v>
      </c>
      <c r="D168" s="16" t="inlineStr">
        <is>
          <t>0.007550</t>
        </is>
      </c>
      <c r="E168" s="16" t="inlineStr">
        <is>
          <t>0.577 SOL</t>
        </is>
      </c>
      <c r="F168" s="16" t="inlineStr">
        <is>
          <t>2.861 SOL</t>
        </is>
      </c>
      <c r="G168" s="23" t="inlineStr">
        <is>
          <t>2.276 SOL</t>
        </is>
      </c>
      <c r="H168" s="23" t="inlineStr">
        <is>
          <t>389.19%</t>
        </is>
      </c>
      <c r="I168" s="16" t="inlineStr">
        <is>
          <t>N/A</t>
        </is>
      </c>
      <c r="J168" s="16" t="n">
        <v>1</v>
      </c>
      <c r="K168" s="16" t="n">
        <v>4</v>
      </c>
      <c r="L168" s="16" t="inlineStr">
        <is>
          <t>19.10.2024 05:12:46</t>
        </is>
      </c>
      <c r="M168" s="16" t="inlineStr">
        <is>
          <t>29 min</t>
        </is>
      </c>
      <c r="N168" s="16" t="inlineStr">
        <is>
          <t xml:space="preserve">         12K            11K             5K</t>
        </is>
      </c>
      <c r="O168" s="16" t="inlineStr">
        <is>
          <t>3Lgxa2f3QAaJoyCzBgEctR4c2tsGrfbxmLBtEQKqpump</t>
        </is>
      </c>
      <c r="P168" s="16">
        <f>HYPERLINK("https://photon-sol.tinyastro.io/en/lp/3Lgxa2f3QAaJoyCzBgEctR4c2tsGrfbxmLBtEQKqpump?handle=676050794bc1b1657a56b", "View")</f>
        <v/>
      </c>
    </row>
    <row r="169">
      <c r="A169" s="19" t="inlineStr">
        <is>
          <t>JOHN</t>
        </is>
      </c>
      <c r="B169" s="20" t="n">
        <v>3881346</v>
      </c>
      <c r="C169" s="20" t="n">
        <v>3881346</v>
      </c>
      <c r="D169" s="20" t="inlineStr">
        <is>
          <t>0.000030</t>
        </is>
      </c>
      <c r="E169" s="20" t="inlineStr">
        <is>
          <t>0.489 SOL</t>
        </is>
      </c>
      <c r="F169" s="20" t="inlineStr">
        <is>
          <t>1.672 SOL</t>
        </is>
      </c>
      <c r="G169" s="23" t="inlineStr">
        <is>
          <t>1.183 SOL</t>
        </is>
      </c>
      <c r="H169" s="23" t="inlineStr">
        <is>
          <t>241.84%</t>
        </is>
      </c>
      <c r="I169" s="20" t="inlineStr">
        <is>
          <t>N/A</t>
        </is>
      </c>
      <c r="J169" s="20" t="n">
        <v>1</v>
      </c>
      <c r="K169" s="20" t="n">
        <v>2</v>
      </c>
      <c r="L169" s="20" t="inlineStr">
        <is>
          <t>19.10.2024 05:10:20</t>
        </is>
      </c>
      <c r="M169" s="20" t="inlineStr">
        <is>
          <t>7 min</t>
        </is>
      </c>
      <c r="N169" s="20" t="inlineStr">
        <is>
          <t xml:space="preserve">         23K            61K             5K</t>
        </is>
      </c>
      <c r="O169" s="20" t="inlineStr">
        <is>
          <t>H9SvgwsBJxK9yHVcgMuvhauvRntkaEvuLsCb9yNvpump</t>
        </is>
      </c>
      <c r="P169" s="20">
        <f>HYPERLINK("https://photon-sol.tinyastro.io/en/lp/H9SvgwsBJxK9yHVcgMuvhauvRntkaEvuLsCb9yNvpump?handle=676050794bc1b1657a56b", "View")</f>
        <v/>
      </c>
    </row>
    <row r="170">
      <c r="A170" s="15" t="inlineStr">
        <is>
          <t>🍒</t>
        </is>
      </c>
      <c r="B170" s="16" t="n">
        <v>22384150</v>
      </c>
      <c r="C170" s="16" t="n">
        <v>22384150</v>
      </c>
      <c r="D170" s="16" t="inlineStr">
        <is>
          <t>0.000020</t>
        </is>
      </c>
      <c r="E170" s="16" t="inlineStr">
        <is>
          <t>1.021 SOL</t>
        </is>
      </c>
      <c r="F170" s="16" t="inlineStr">
        <is>
          <t>1.225 SOL</t>
        </is>
      </c>
      <c r="G170" s="22" t="inlineStr">
        <is>
          <t>0.203 SOL</t>
        </is>
      </c>
      <c r="H170" s="22" t="inlineStr">
        <is>
          <t>19.93%</t>
        </is>
      </c>
      <c r="I170" s="16" t="inlineStr">
        <is>
          <t>N/A</t>
        </is>
      </c>
      <c r="J170" s="16" t="n">
        <v>1</v>
      </c>
      <c r="K170" s="16" t="n">
        <v>1</v>
      </c>
      <c r="L170" s="16" t="inlineStr">
        <is>
          <t>19.10.2024 04:19:14</t>
        </is>
      </c>
      <c r="M170" s="16" t="inlineStr">
        <is>
          <t>7 min</t>
        </is>
      </c>
      <c r="N170" s="16" t="inlineStr">
        <is>
          <t xml:space="preserve">        N/A           N/A           N/A</t>
        </is>
      </c>
      <c r="O170" s="16" t="inlineStr">
        <is>
          <t>DHURJHZPNJa29JEfJxiiFVCGcqniW334WusKmTTvpump</t>
        </is>
      </c>
      <c r="P170" s="16">
        <f>HYPERLINK("https://photon-sol.tinyastro.io/en/lp/DHURJHZPNJa29JEfJxiiFVCGcqniW334WusKmTTvpump?handle=676050794bc1b1657a56b", "View")</f>
        <v/>
      </c>
    </row>
    <row r="171">
      <c r="A171" s="19" t="inlineStr">
        <is>
          <t>Cyborgism</t>
        </is>
      </c>
      <c r="B171" s="20" t="n">
        <v>3610059</v>
      </c>
      <c r="C171" s="20" t="n">
        <v>3610059</v>
      </c>
      <c r="D171" s="20" t="inlineStr">
        <is>
          <t>0.000020</t>
        </is>
      </c>
      <c r="E171" s="20" t="inlineStr">
        <is>
          <t>1.172 SOL</t>
        </is>
      </c>
      <c r="F171" s="20" t="inlineStr">
        <is>
          <t>1.143 SOL</t>
        </is>
      </c>
      <c r="G171" s="21" t="inlineStr">
        <is>
          <t>-0.029 SOL</t>
        </is>
      </c>
      <c r="H171" s="21" t="inlineStr">
        <is>
          <t>-2.51%</t>
        </is>
      </c>
      <c r="I171" s="20" t="inlineStr">
        <is>
          <t>N/A</t>
        </is>
      </c>
      <c r="J171" s="20" t="n">
        <v>1</v>
      </c>
      <c r="K171" s="20" t="n">
        <v>1</v>
      </c>
      <c r="L171" s="20" t="inlineStr">
        <is>
          <t>19.10.2024 04:09:51</t>
        </is>
      </c>
      <c r="M171" s="18" t="inlineStr">
        <is>
          <t>11 sec</t>
        </is>
      </c>
      <c r="N171" s="20" t="inlineStr">
        <is>
          <t xml:space="preserve">         56K            56K            20K</t>
        </is>
      </c>
      <c r="O171" s="20" t="inlineStr">
        <is>
          <t>8X7emJy8CV5pK7UjyBKCywdfc4MTKShpUddqrqyepump</t>
        </is>
      </c>
      <c r="P171" s="20">
        <f>HYPERLINK("https://photon-sol.tinyastro.io/en/lp/8X7emJy8CV5pK7UjyBKCywdfc4MTKShpUddqrqyepump?handle=676050794bc1b1657a56b", "View")</f>
        <v/>
      </c>
    </row>
    <row r="172">
      <c r="A172" s="15" t="inlineStr">
        <is>
          <t xml:space="preserve">Kiri </t>
        </is>
      </c>
      <c r="B172" s="16" t="n">
        <v>594909</v>
      </c>
      <c r="C172" s="16" t="n">
        <v>594909</v>
      </c>
      <c r="D172" s="16" t="inlineStr">
        <is>
          <t>0.000020</t>
        </is>
      </c>
      <c r="E172" s="16" t="inlineStr">
        <is>
          <t>0.500 SOL</t>
        </is>
      </c>
      <c r="F172" s="16" t="inlineStr">
        <is>
          <t>0.569 SOL</t>
        </is>
      </c>
      <c r="G172" s="22" t="inlineStr">
        <is>
          <t>0.069 SOL</t>
        </is>
      </c>
      <c r="H172" s="22" t="inlineStr">
        <is>
          <t>13.86%</t>
        </is>
      </c>
      <c r="I172" s="16" t="inlineStr">
        <is>
          <t>N/A</t>
        </is>
      </c>
      <c r="J172" s="16" t="n">
        <v>1</v>
      </c>
      <c r="K172" s="16" t="n">
        <v>1</v>
      </c>
      <c r="L172" s="16" t="inlineStr">
        <is>
          <t>19.10.2024 03:26:10</t>
        </is>
      </c>
      <c r="M172" s="16" t="inlineStr">
        <is>
          <t>19 min</t>
        </is>
      </c>
      <c r="N172" s="16" t="inlineStr">
        <is>
          <t xml:space="preserve">        148K           169K           183K</t>
        </is>
      </c>
      <c r="O172" s="16" t="inlineStr">
        <is>
          <t>3Ei8SaoL4JWZv1XsWePqiAjVtb7QtpJbV2TSuURmpump</t>
        </is>
      </c>
      <c r="P172" s="16">
        <f>HYPERLINK("https://dexscreener.com/solana/3Ei8SaoL4JWZv1XsWePqiAjVtb7QtpJbV2TSuURmpump", "View")</f>
        <v/>
      </c>
    </row>
    <row r="173">
      <c r="A173" s="19" t="inlineStr">
        <is>
          <t>BUIDL</t>
        </is>
      </c>
      <c r="B173" s="20" t="n">
        <v>17087473</v>
      </c>
      <c r="C173" s="20" t="n">
        <v>17087473</v>
      </c>
      <c r="D173" s="20" t="inlineStr">
        <is>
          <t>0.000020</t>
        </is>
      </c>
      <c r="E173" s="20" t="inlineStr">
        <is>
          <t>0.512 SOL</t>
        </is>
      </c>
      <c r="F173" s="20" t="inlineStr">
        <is>
          <t>0.509 SOL</t>
        </is>
      </c>
      <c r="G173" s="21" t="inlineStr">
        <is>
          <t>-0.002 SOL</t>
        </is>
      </c>
      <c r="H173" s="21" t="inlineStr">
        <is>
          <t>-0.47%</t>
        </is>
      </c>
      <c r="I173" s="20" t="inlineStr">
        <is>
          <t>N/A</t>
        </is>
      </c>
      <c r="J173" s="20" t="n">
        <v>1</v>
      </c>
      <c r="K173" s="20" t="n">
        <v>1</v>
      </c>
      <c r="L173" s="20" t="inlineStr">
        <is>
          <t>18.10.2024 16:42:59</t>
        </is>
      </c>
      <c r="M173" s="20" t="inlineStr">
        <is>
          <t>8 min</t>
        </is>
      </c>
      <c r="N173" s="20" t="inlineStr">
        <is>
          <t xml:space="preserve">          5K             5K             5K</t>
        </is>
      </c>
      <c r="O173" s="20" t="inlineStr">
        <is>
          <t>CqF9Rb4r91kfmJmFFf8JyKgXmjZvRjgixc4GHQCpump</t>
        </is>
      </c>
      <c r="P173" s="20">
        <f>HYPERLINK("https://photon-sol.tinyastro.io/en/lp/CqF9Rb4r91kfmJmFFf8JyKgXmjZvRjgixc4GHQCpump?handle=676050794bc1b1657a56b", "View")</f>
        <v/>
      </c>
    </row>
    <row r="174">
      <c r="A174" s="15" t="inlineStr">
        <is>
          <t>kache cat</t>
        </is>
      </c>
      <c r="B174" s="16" t="n">
        <v>30482955</v>
      </c>
      <c r="C174" s="16" t="n">
        <v>30482954</v>
      </c>
      <c r="D174" s="16" t="inlineStr">
        <is>
          <t>0.000030</t>
        </is>
      </c>
      <c r="E174" s="16" t="inlineStr">
        <is>
          <t>1.021 SOL</t>
        </is>
      </c>
      <c r="F174" s="16" t="inlineStr">
        <is>
          <t>1.075 SOL</t>
        </is>
      </c>
      <c r="G174" s="22" t="inlineStr">
        <is>
          <t>0.054 SOL</t>
        </is>
      </c>
      <c r="H174" s="22" t="inlineStr">
        <is>
          <t>5.26%</t>
        </is>
      </c>
      <c r="I174" s="16" t="inlineStr">
        <is>
          <t>N/A</t>
        </is>
      </c>
      <c r="J174" s="16" t="n">
        <v>1</v>
      </c>
      <c r="K174" s="16" t="n">
        <v>1</v>
      </c>
      <c r="L174" s="16" t="inlineStr">
        <is>
          <t>18.10.2024 16:02:12</t>
        </is>
      </c>
      <c r="M174" s="16" t="inlineStr">
        <is>
          <t>24 min</t>
        </is>
      </c>
      <c r="N174" s="16" t="inlineStr">
        <is>
          <t xml:space="preserve">          5K             5K             5K</t>
        </is>
      </c>
      <c r="O174" s="16" t="inlineStr">
        <is>
          <t>41erc6apSnVqj166wKBQNh1PKVTFWK9FdKCsVmY8pump</t>
        </is>
      </c>
      <c r="P174" s="16">
        <f>HYPERLINK("https://photon-sol.tinyastro.io/en/lp/41erc6apSnVqj166wKBQNh1PKVTFWK9FdKCsVmY8pump?handle=676050794bc1b1657a56b", "View")</f>
        <v/>
      </c>
    </row>
    <row r="175">
      <c r="A175" s="19" t="inlineStr">
        <is>
          <t>Repligate</t>
        </is>
      </c>
      <c r="B175" s="20" t="n">
        <v>5238611</v>
      </c>
      <c r="C175" s="20" t="n">
        <v>5238611</v>
      </c>
      <c r="D175" s="20" t="inlineStr">
        <is>
          <t>0.000020</t>
        </is>
      </c>
      <c r="E175" s="20" t="inlineStr">
        <is>
          <t>0.512 SOL</t>
        </is>
      </c>
      <c r="F175" s="20" t="inlineStr">
        <is>
          <t>0.497 SOL</t>
        </is>
      </c>
      <c r="G175" s="21" t="inlineStr">
        <is>
          <t>-0.014 SOL</t>
        </is>
      </c>
      <c r="H175" s="21" t="inlineStr">
        <is>
          <t>-2.80%</t>
        </is>
      </c>
      <c r="I175" s="20" t="inlineStr">
        <is>
          <t>N/A</t>
        </is>
      </c>
      <c r="J175" s="20" t="n">
        <v>1</v>
      </c>
      <c r="K175" s="20" t="n">
        <v>1</v>
      </c>
      <c r="L175" s="20" t="inlineStr">
        <is>
          <t>18.10.2024 08:40:23</t>
        </is>
      </c>
      <c r="M175" s="20" t="inlineStr">
        <is>
          <t>13 min</t>
        </is>
      </c>
      <c r="N175" s="20" t="inlineStr">
        <is>
          <t xml:space="preserve">         18K            18K             4K</t>
        </is>
      </c>
      <c r="O175" s="20" t="inlineStr">
        <is>
          <t>7mujzfQoK1ci7TEvYwZZznEZ6EXwQX9a2AwtGDExpump</t>
        </is>
      </c>
      <c r="P175" s="20">
        <f>HYPERLINK("https://photon-sol.tinyastro.io/en/lp/7mujzfQoK1ci7TEvYwZZznEZ6EXwQX9a2AwtGDExpump?handle=676050794bc1b1657a56b", "View")</f>
        <v/>
      </c>
    </row>
    <row r="176">
      <c r="A176" s="15" t="inlineStr">
        <is>
          <t>decay</t>
        </is>
      </c>
      <c r="B176" s="16" t="n">
        <v>1979556</v>
      </c>
      <c r="C176" s="16" t="n">
        <v>1979556</v>
      </c>
      <c r="D176" s="16" t="inlineStr">
        <is>
          <t>0.000020</t>
        </is>
      </c>
      <c r="E176" s="16" t="inlineStr">
        <is>
          <t>0.512 SOL</t>
        </is>
      </c>
      <c r="F176" s="16" t="inlineStr">
        <is>
          <t>0.112 SOL</t>
        </is>
      </c>
      <c r="G176" s="24" t="inlineStr">
        <is>
          <t>-0.399 SOL</t>
        </is>
      </c>
      <c r="H176" s="24" t="inlineStr">
        <is>
          <t>-78.06%</t>
        </is>
      </c>
      <c r="I176" s="16" t="inlineStr">
        <is>
          <t>N/A</t>
        </is>
      </c>
      <c r="J176" s="16" t="n">
        <v>1</v>
      </c>
      <c r="K176" s="16" t="n">
        <v>1</v>
      </c>
      <c r="L176" s="16" t="inlineStr">
        <is>
          <t>18.10.2024 07:59:09</t>
        </is>
      </c>
      <c r="M176" s="16" t="inlineStr">
        <is>
          <t>5 min</t>
        </is>
      </c>
      <c r="N176" s="16" t="inlineStr">
        <is>
          <t xml:space="preserve">         46K            11K             5K</t>
        </is>
      </c>
      <c r="O176" s="16" t="inlineStr">
        <is>
          <t>4REcjUgWdNVczzZb7Dbq7Kq8ZUJokp6QEnWAK8fdpump</t>
        </is>
      </c>
      <c r="P176" s="16">
        <f>HYPERLINK("https://photon-sol.tinyastro.io/en/lp/4REcjUgWdNVczzZb7Dbq7Kq8ZUJokp6QEnWAK8fdpump?handle=676050794bc1b1657a56b", "View")</f>
        <v/>
      </c>
    </row>
    <row r="177">
      <c r="A177" s="19" t="inlineStr">
        <is>
          <t>JANUS</t>
        </is>
      </c>
      <c r="B177" s="20" t="n">
        <v>732843</v>
      </c>
      <c r="C177" s="20" t="n">
        <v>732843</v>
      </c>
      <c r="D177" s="20" t="inlineStr">
        <is>
          <t>0.000020</t>
        </is>
      </c>
      <c r="E177" s="20" t="inlineStr">
        <is>
          <t>0.500 SOL</t>
        </is>
      </c>
      <c r="F177" s="20" t="inlineStr">
        <is>
          <t>0.805 SOL</t>
        </is>
      </c>
      <c r="G177" s="23" t="inlineStr">
        <is>
          <t>0.305 SOL</t>
        </is>
      </c>
      <c r="H177" s="23" t="inlineStr">
        <is>
          <t>61.03%</t>
        </is>
      </c>
      <c r="I177" s="20" t="inlineStr">
        <is>
          <t>N/A</t>
        </is>
      </c>
      <c r="J177" s="20" t="n">
        <v>1</v>
      </c>
      <c r="K177" s="20" t="n">
        <v>1</v>
      </c>
      <c r="L177" s="20" t="inlineStr">
        <is>
          <t>18.10.2024 07:54:02</t>
        </is>
      </c>
      <c r="M177" s="20" t="inlineStr">
        <is>
          <t>4 min</t>
        </is>
      </c>
      <c r="N177" s="20" t="inlineStr">
        <is>
          <t xml:space="preserve">        119K           193K            41K</t>
        </is>
      </c>
      <c r="O177" s="20" t="inlineStr">
        <is>
          <t>75dh1aVyE88DiDDqN396Lkbcf4Kxj2KNGJRCTkcUpump</t>
        </is>
      </c>
      <c r="P177" s="20">
        <f>HYPERLINK("https://dexscreener.com/solana/75dh1aVyE88DiDDqN396Lkbcf4Kxj2KNGJRCTkcUpump", "View")</f>
        <v/>
      </c>
    </row>
    <row r="178">
      <c r="A178" s="15" t="inlineStr">
        <is>
          <t>xcog</t>
        </is>
      </c>
      <c r="B178" s="16" t="n">
        <v>510581</v>
      </c>
      <c r="C178" s="16" t="n">
        <v>510581</v>
      </c>
      <c r="D178" s="16" t="inlineStr">
        <is>
          <t>0.000020</t>
        </is>
      </c>
      <c r="E178" s="16" t="inlineStr">
        <is>
          <t>0.500 SOL</t>
        </is>
      </c>
      <c r="F178" s="16" t="inlineStr">
        <is>
          <t>0.306 SOL</t>
        </is>
      </c>
      <c r="G178" s="21" t="inlineStr">
        <is>
          <t>-0.194 SOL</t>
        </is>
      </c>
      <c r="H178" s="21" t="inlineStr">
        <is>
          <t>-38.86%</t>
        </is>
      </c>
      <c r="I178" s="16" t="inlineStr">
        <is>
          <t>N/A</t>
        </is>
      </c>
      <c r="J178" s="16" t="n">
        <v>1</v>
      </c>
      <c r="K178" s="16" t="n">
        <v>1</v>
      </c>
      <c r="L178" s="16" t="inlineStr">
        <is>
          <t>18.10.2024 06:35:21</t>
        </is>
      </c>
      <c r="M178" s="16" t="inlineStr">
        <is>
          <t>2 min</t>
        </is>
      </c>
      <c r="N178" s="16" t="inlineStr">
        <is>
          <t xml:space="preserve">        172K           105K            27K</t>
        </is>
      </c>
      <c r="O178" s="16" t="inlineStr">
        <is>
          <t>ETZDTrZp1tWSTPHf22cyUXiv5xGzXuBFEwJAsE8ypump</t>
        </is>
      </c>
      <c r="P178" s="16">
        <f>HYPERLINK("https://dexscreener.com/solana/ETZDTrZp1tWSTPHf22cyUXiv5xGzXuBFEwJAsE8ypump", "View")</f>
        <v/>
      </c>
    </row>
    <row r="179">
      <c r="A179" s="19" t="inlineStr">
        <is>
          <t>Narwhal</t>
        </is>
      </c>
      <c r="B179" s="20" t="n">
        <v>91184</v>
      </c>
      <c r="C179" s="20" t="n">
        <v>91184</v>
      </c>
      <c r="D179" s="20" t="inlineStr">
        <is>
          <t>0.000020</t>
        </is>
      </c>
      <c r="E179" s="20" t="inlineStr">
        <is>
          <t>0.500 SOL</t>
        </is>
      </c>
      <c r="F179" s="20" t="inlineStr">
        <is>
          <t>0.222 SOL</t>
        </is>
      </c>
      <c r="G179" s="24" t="inlineStr">
        <is>
          <t>-0.278 SOL</t>
        </is>
      </c>
      <c r="H179" s="24" t="inlineStr">
        <is>
          <t>-55.56%</t>
        </is>
      </c>
      <c r="I179" s="20" t="inlineStr">
        <is>
          <t>N/A</t>
        </is>
      </c>
      <c r="J179" s="20" t="n">
        <v>1</v>
      </c>
      <c r="K179" s="20" t="n">
        <v>1</v>
      </c>
      <c r="L179" s="20" t="inlineStr">
        <is>
          <t>18.10.2024 06:25:14</t>
        </is>
      </c>
      <c r="M179" s="20" t="inlineStr">
        <is>
          <t>4 hours</t>
        </is>
      </c>
      <c r="N179" s="20" t="inlineStr">
        <is>
          <t xml:space="preserve">        962K           962K            19K</t>
        </is>
      </c>
      <c r="O179" s="20" t="inlineStr">
        <is>
          <t>4t8cP8su2yVDb7LhYvANMJoDTTXCFTxrFTqSyBRapump</t>
        </is>
      </c>
      <c r="P179" s="20">
        <f>HYPERLINK("https://dexscreener.com/solana/4t8cP8su2yVDb7LhYvANMJoDTTXCFTxrFTqSyBRapump", "View")</f>
        <v/>
      </c>
    </row>
    <row r="180">
      <c r="A180" s="15" t="inlineStr">
        <is>
          <t>TAILS</t>
        </is>
      </c>
      <c r="B180" s="16" t="n">
        <v>5885212</v>
      </c>
      <c r="C180" s="16" t="n">
        <v>5885212</v>
      </c>
      <c r="D180" s="16" t="inlineStr">
        <is>
          <t>0.000030</t>
        </is>
      </c>
      <c r="E180" s="16" t="inlineStr">
        <is>
          <t>1.049 SOL</t>
        </is>
      </c>
      <c r="F180" s="16" t="inlineStr">
        <is>
          <t>1.271 SOL</t>
        </is>
      </c>
      <c r="G180" s="22" t="inlineStr">
        <is>
          <t>0.223 SOL</t>
        </is>
      </c>
      <c r="H180" s="22" t="inlineStr">
        <is>
          <t>21.23%</t>
        </is>
      </c>
      <c r="I180" s="16" t="inlineStr">
        <is>
          <t>N/A</t>
        </is>
      </c>
      <c r="J180" s="16" t="n">
        <v>1</v>
      </c>
      <c r="K180" s="16" t="n">
        <v>2</v>
      </c>
      <c r="L180" s="16" t="inlineStr">
        <is>
          <t>18.10.2024 06:04:34</t>
        </is>
      </c>
      <c r="M180" s="16" t="inlineStr">
        <is>
          <t>4 hours</t>
        </is>
      </c>
      <c r="N180" s="16" t="inlineStr">
        <is>
          <t xml:space="preserve">        N/A           N/A           N/A</t>
        </is>
      </c>
      <c r="O180" s="16" t="inlineStr">
        <is>
          <t>Av69brF5FzdWDu3dKD5Y7DiTXbFdNi5csrCVu7N8pump</t>
        </is>
      </c>
      <c r="P180" s="16">
        <f>HYPERLINK("https://photon-sol.tinyastro.io/en/lp/Av69brF5FzdWDu3dKD5Y7DiTXbFdNi5csrCVu7N8pump?handle=676050794bc1b1657a56b", "View")</f>
        <v/>
      </c>
    </row>
    <row r="181">
      <c r="A181" s="19" t="inlineStr">
        <is>
          <t>Kibshi</t>
        </is>
      </c>
      <c r="B181" s="20" t="n">
        <v>3369202</v>
      </c>
      <c r="C181" s="20" t="n">
        <v>3369202</v>
      </c>
      <c r="D181" s="20" t="inlineStr">
        <is>
          <t>0.000030</t>
        </is>
      </c>
      <c r="E181" s="20" t="inlineStr">
        <is>
          <t>0.499 SOL</t>
        </is>
      </c>
      <c r="F181" s="20" t="inlineStr">
        <is>
          <t>0.123 SOL</t>
        </is>
      </c>
      <c r="G181" s="24" t="inlineStr">
        <is>
          <t>-0.376 SOL</t>
        </is>
      </c>
      <c r="H181" s="24" t="inlineStr">
        <is>
          <t>-75.29%</t>
        </is>
      </c>
      <c r="I181" s="20" t="inlineStr">
        <is>
          <t>N/A</t>
        </is>
      </c>
      <c r="J181" s="20" t="n">
        <v>2</v>
      </c>
      <c r="K181" s="20" t="n">
        <v>1</v>
      </c>
      <c r="L181" s="20" t="inlineStr">
        <is>
          <t>18.10.2024 04:54:47</t>
        </is>
      </c>
      <c r="M181" s="20" t="inlineStr">
        <is>
          <t>26 min</t>
        </is>
      </c>
      <c r="N181" s="20" t="inlineStr">
        <is>
          <t xml:space="preserve">         30K             7K             4K</t>
        </is>
      </c>
      <c r="O181" s="20" t="inlineStr">
        <is>
          <t>A8DQupirUoNsa84kHskxJZ8vy8nqfYitbQUoA8EUpump</t>
        </is>
      </c>
      <c r="P181" s="20">
        <f>HYPERLINK("https://photon-sol.tinyastro.io/en/lp/A8DQupirUoNsa84kHskxJZ8vy8nqfYitbQUoA8EUpump?handle=676050794bc1b1657a56b", "View")</f>
        <v/>
      </c>
    </row>
    <row r="182">
      <c r="A182" s="15" t="inlineStr">
        <is>
          <t>Belle</t>
        </is>
      </c>
      <c r="B182" s="16" t="n">
        <v>2908016</v>
      </c>
      <c r="C182" s="16" t="n">
        <v>2908016</v>
      </c>
      <c r="D182" s="16" t="inlineStr">
        <is>
          <t>0.007560</t>
        </is>
      </c>
      <c r="E182" s="16" t="inlineStr">
        <is>
          <t>0.500 SOL</t>
        </is>
      </c>
      <c r="F182" s="16" t="inlineStr">
        <is>
          <t>0.146 SOL</t>
        </is>
      </c>
      <c r="G182" s="24" t="inlineStr">
        <is>
          <t>-0.362 SOL</t>
        </is>
      </c>
      <c r="H182" s="24" t="inlineStr">
        <is>
          <t>-71.29%</t>
        </is>
      </c>
      <c r="I182" s="16" t="inlineStr">
        <is>
          <t>N/A</t>
        </is>
      </c>
      <c r="J182" s="16" t="n">
        <v>1</v>
      </c>
      <c r="K182" s="16" t="n">
        <v>1</v>
      </c>
      <c r="L182" s="16" t="inlineStr">
        <is>
          <t>17.10.2024 17:55:34</t>
        </is>
      </c>
      <c r="M182" s="16" t="inlineStr">
        <is>
          <t>1 min</t>
        </is>
      </c>
      <c r="N182" s="16" t="inlineStr">
        <is>
          <t xml:space="preserve">         30K             9K             3K</t>
        </is>
      </c>
      <c r="O182" s="16" t="inlineStr">
        <is>
          <t>4sGSMRmVhYBEgPeSs9HdSaBeoUrACmtXeUbkbwaqpump</t>
        </is>
      </c>
      <c r="P182" s="16">
        <f>HYPERLINK("https://dexscreener.com/solana/4sGSMRmVhYBEgPeSs9HdSaBeoUrACmtXeUbkbwaqpump", "View")</f>
        <v/>
      </c>
    </row>
    <row r="183">
      <c r="A183" s="19" t="inlineStr">
        <is>
          <t>DERP</t>
        </is>
      </c>
      <c r="B183" s="20" t="n">
        <v>6500</v>
      </c>
      <c r="C183" s="20" t="n">
        <v>6500</v>
      </c>
      <c r="D183" s="20" t="inlineStr">
        <is>
          <t>0.000020</t>
        </is>
      </c>
      <c r="E183" s="20" t="inlineStr">
        <is>
          <t>0.485 SOL</t>
        </is>
      </c>
      <c r="F183" s="20" t="inlineStr">
        <is>
          <t>0.144 SOL</t>
        </is>
      </c>
      <c r="G183" s="24" t="inlineStr">
        <is>
          <t>-0.341 SOL</t>
        </is>
      </c>
      <c r="H183" s="24" t="inlineStr">
        <is>
          <t>-70.36%</t>
        </is>
      </c>
      <c r="I183" s="20" t="inlineStr">
        <is>
          <t>N/A</t>
        </is>
      </c>
      <c r="J183" s="20" t="n">
        <v>1</v>
      </c>
      <c r="K183" s="20" t="n">
        <v>1</v>
      </c>
      <c r="L183" s="20" t="inlineStr">
        <is>
          <t>17.10.2024 17:49:10</t>
        </is>
      </c>
      <c r="M183" s="20" t="inlineStr">
        <is>
          <t>22 min</t>
        </is>
      </c>
      <c r="N183" s="20" t="inlineStr">
        <is>
          <t xml:space="preserve">         13M            13M             2M</t>
        </is>
      </c>
      <c r="O183" s="20" t="inlineStr">
        <is>
          <t>eFsXxtVPnSabtem8ALE5f1xdvoDsacmZphyvExWhNej</t>
        </is>
      </c>
      <c r="P183" s="20">
        <f>HYPERLINK("https://dexscreener.com/solana/eFsXxtVPnSabtem8ALE5f1xdvoDsacmZphyvExWhNej", "View")</f>
        <v/>
      </c>
    </row>
    <row r="184">
      <c r="A184" s="15" t="inlineStr">
        <is>
          <t>Mentor</t>
        </is>
      </c>
      <c r="B184" s="16" t="n">
        <v>12552271</v>
      </c>
      <c r="C184" s="16" t="n">
        <v>12552271</v>
      </c>
      <c r="D184" s="16" t="inlineStr">
        <is>
          <t>0.007570</t>
        </is>
      </c>
      <c r="E184" s="16" t="inlineStr">
        <is>
          <t>0.812 SOL</t>
        </is>
      </c>
      <c r="F184" s="16" t="inlineStr">
        <is>
          <t>6.775 SOL</t>
        </is>
      </c>
      <c r="G184" s="23" t="inlineStr">
        <is>
          <t>5.956 SOL</t>
        </is>
      </c>
      <c r="H184" s="23" t="inlineStr">
        <is>
          <t>727.17%</t>
        </is>
      </c>
      <c r="I184" s="16" t="inlineStr">
        <is>
          <t>N/A</t>
        </is>
      </c>
      <c r="J184" s="16" t="n">
        <v>2</v>
      </c>
      <c r="K184" s="16" t="n">
        <v>5</v>
      </c>
      <c r="L184" s="16" t="inlineStr">
        <is>
          <t>17.10.2024 17:36:49</t>
        </is>
      </c>
      <c r="M184" s="16" t="inlineStr">
        <is>
          <t>3 hours</t>
        </is>
      </c>
      <c r="N184" s="16" t="inlineStr">
        <is>
          <t xml:space="preserve">         60K           212K             7K</t>
        </is>
      </c>
      <c r="O184" s="16" t="inlineStr">
        <is>
          <t>3aSnAfNmqL4WM8esAjRw61q7X998VqhFb5k97EY2pump</t>
        </is>
      </c>
      <c r="P184" s="16">
        <f>HYPERLINK("https://photon-sol.tinyastro.io/en/lp/3aSnAfNmqL4WM8esAjRw61q7X998VqhFb5k97EY2pump?handle=676050794bc1b1657a56b", "View")</f>
        <v/>
      </c>
    </row>
    <row r="185">
      <c r="A185" s="19" t="inlineStr">
        <is>
          <t>MW</t>
        </is>
      </c>
      <c r="B185" s="20" t="n">
        <v>5240346</v>
      </c>
      <c r="C185" s="20" t="n">
        <v>5240346</v>
      </c>
      <c r="D185" s="20" t="inlineStr">
        <is>
          <t>0.007520</t>
        </is>
      </c>
      <c r="E185" s="20" t="inlineStr">
        <is>
          <t>0.513 SOL</t>
        </is>
      </c>
      <c r="F185" s="20" t="inlineStr">
        <is>
          <t>1.035 SOL</t>
        </is>
      </c>
      <c r="G185" s="23" t="inlineStr">
        <is>
          <t>0.514 SOL</t>
        </is>
      </c>
      <c r="H185" s="23" t="inlineStr">
        <is>
          <t>98.77%</t>
        </is>
      </c>
      <c r="I185" s="20" t="inlineStr">
        <is>
          <t>N/A</t>
        </is>
      </c>
      <c r="J185" s="20" t="n">
        <v>1</v>
      </c>
      <c r="K185" s="20" t="n">
        <v>1</v>
      </c>
      <c r="L185" s="20" t="inlineStr">
        <is>
          <t>17.10.2024 17:26:58</t>
        </is>
      </c>
      <c r="M185" s="20" t="inlineStr">
        <is>
          <t>8 min</t>
        </is>
      </c>
      <c r="N185" s="20" t="inlineStr">
        <is>
          <t xml:space="preserve">         18K            35K             5K</t>
        </is>
      </c>
      <c r="O185" s="20" t="inlineStr">
        <is>
          <t>29jFUFnPTMrXw4cqzzzysYi2x11B8qkQ6jD5PkP6pump</t>
        </is>
      </c>
      <c r="P185" s="20">
        <f>HYPERLINK("https://photon-sol.tinyastro.io/en/lp/29jFUFnPTMrXw4cqzzzysYi2x11B8qkQ6jD5PkP6pump?handle=676050794bc1b1657a56b", "View")</f>
        <v/>
      </c>
    </row>
    <row r="186">
      <c r="A186" s="15" t="inlineStr">
        <is>
          <t>xx</t>
        </is>
      </c>
      <c r="B186" s="16" t="n">
        <v>4027540</v>
      </c>
      <c r="C186" s="16" t="n">
        <v>4027540</v>
      </c>
      <c r="D186" s="16" t="inlineStr">
        <is>
          <t>0.000020</t>
        </is>
      </c>
      <c r="E186" s="16" t="inlineStr">
        <is>
          <t>0.500 SOL</t>
        </is>
      </c>
      <c r="F186" s="16" t="inlineStr">
        <is>
          <t>0.172 SOL</t>
        </is>
      </c>
      <c r="G186" s="24" t="inlineStr">
        <is>
          <t>-0.328 SOL</t>
        </is>
      </c>
      <c r="H186" s="24" t="inlineStr">
        <is>
          <t>-65.58%</t>
        </is>
      </c>
      <c r="I186" s="16" t="inlineStr">
        <is>
          <t>N/A</t>
        </is>
      </c>
      <c r="J186" s="16" t="n">
        <v>1</v>
      </c>
      <c r="K186" s="16" t="n">
        <v>1</v>
      </c>
      <c r="L186" s="16" t="inlineStr">
        <is>
          <t>17.10.2024 13:21:10</t>
        </is>
      </c>
      <c r="M186" s="16" t="inlineStr">
        <is>
          <t>10 min</t>
        </is>
      </c>
      <c r="N186" s="16" t="inlineStr">
        <is>
          <t xml:space="preserve">         21K             7K             4K</t>
        </is>
      </c>
      <c r="O186" s="16" t="inlineStr">
        <is>
          <t>BbA69NPAfzgAYMoFqaTkgbaB43xPiHRykQhn4iVtpump</t>
        </is>
      </c>
      <c r="P186" s="16">
        <f>HYPERLINK("https://dexscreener.com/solana/BbA69NPAfzgAYMoFqaTkgbaB43xPiHRykQhn4iVtpump", "View")</f>
        <v/>
      </c>
    </row>
    <row r="187">
      <c r="A187" s="19" t="inlineStr">
        <is>
          <t>BAKSOWIF</t>
        </is>
      </c>
      <c r="B187" s="20" t="n">
        <v>424470</v>
      </c>
      <c r="C187" s="20" t="n">
        <v>424470</v>
      </c>
      <c r="D187" s="20" t="inlineStr">
        <is>
          <t>0.001520</t>
        </is>
      </c>
      <c r="E187" s="20" t="inlineStr">
        <is>
          <t>0.500 SOL</t>
        </is>
      </c>
      <c r="F187" s="20" t="inlineStr">
        <is>
          <t>0.360 SOL</t>
        </is>
      </c>
      <c r="G187" s="21" t="inlineStr">
        <is>
          <t>-0.141 SOL</t>
        </is>
      </c>
      <c r="H187" s="21" t="inlineStr">
        <is>
          <t>-28.13%</t>
        </is>
      </c>
      <c r="I187" s="20" t="inlineStr">
        <is>
          <t>N/A</t>
        </is>
      </c>
      <c r="J187" s="20" t="n">
        <v>1</v>
      </c>
      <c r="K187" s="20" t="n">
        <v>1</v>
      </c>
      <c r="L187" s="20" t="inlineStr">
        <is>
          <t>17.10.2024 13:07:06</t>
        </is>
      </c>
      <c r="M187" s="20" t="inlineStr">
        <is>
          <t>1 min</t>
        </is>
      </c>
      <c r="N187" s="20" t="inlineStr">
        <is>
          <t xml:space="preserve">        207K           149K             5K</t>
        </is>
      </c>
      <c r="O187" s="20" t="inlineStr">
        <is>
          <t>BZBqPGsMuC395X6a1LRfo9nqiijiH4BpFtD2KDwLpump</t>
        </is>
      </c>
      <c r="P187" s="20">
        <f>HYPERLINK("https://dexscreener.com/solana/BZBqPGsMuC395X6a1LRfo9nqiijiH4BpFtD2KDwLpump", "View")</f>
        <v/>
      </c>
    </row>
    <row r="188">
      <c r="A188" s="15" t="inlineStr">
        <is>
          <t>🦄</t>
        </is>
      </c>
      <c r="B188" s="16" t="n">
        <v>2653382</v>
      </c>
      <c r="C188" s="16" t="n">
        <v>2653382</v>
      </c>
      <c r="D188" s="16" t="inlineStr">
        <is>
          <t>0.006010</t>
        </is>
      </c>
      <c r="E188" s="16" t="inlineStr">
        <is>
          <t>0.500 SOL</t>
        </is>
      </c>
      <c r="F188" s="16" t="inlineStr">
        <is>
          <t>0.642 SOL</t>
        </is>
      </c>
      <c r="G188" s="22" t="inlineStr">
        <is>
          <t>0.136 SOL</t>
        </is>
      </c>
      <c r="H188" s="22" t="inlineStr">
        <is>
          <t>26.94%</t>
        </is>
      </c>
      <c r="I188" s="16" t="inlineStr">
        <is>
          <t>N/A</t>
        </is>
      </c>
      <c r="J188" s="16" t="n">
        <v>1</v>
      </c>
      <c r="K188" s="16" t="n">
        <v>1</v>
      </c>
      <c r="L188" s="16" t="inlineStr">
        <is>
          <t>17.10.2024 11:22:34</t>
        </is>
      </c>
      <c r="M188" s="16" t="inlineStr">
        <is>
          <t>4 min</t>
        </is>
      </c>
      <c r="N188" s="16" t="inlineStr">
        <is>
          <t xml:space="preserve">         33K            42K           170K</t>
        </is>
      </c>
      <c r="O188" s="16" t="inlineStr">
        <is>
          <t>Gg7Rc5qog3RXSNFoR9aBUmDZcEpL2iNkwjvTo4LDENWt</t>
        </is>
      </c>
      <c r="P188" s="16">
        <f>HYPERLINK("https://dexscreener.com/solana/Gg7Rc5qog3RXSNFoR9aBUmDZcEpL2iNkwjvTo4LDENWt", "View")</f>
        <v/>
      </c>
    </row>
    <row r="189">
      <c r="A189" s="19" t="inlineStr">
        <is>
          <t>squirrel</t>
        </is>
      </c>
      <c r="B189" s="20" t="n">
        <v>1382260</v>
      </c>
      <c r="C189" s="20" t="n">
        <v>1382260</v>
      </c>
      <c r="D189" s="20" t="inlineStr">
        <is>
          <t>0.001520</t>
        </is>
      </c>
      <c r="E189" s="20" t="inlineStr">
        <is>
          <t>0.500 SOL</t>
        </is>
      </c>
      <c r="F189" s="20" t="inlineStr">
        <is>
          <t>0.218 SOL</t>
        </is>
      </c>
      <c r="G189" s="24" t="inlineStr">
        <is>
          <t>-0.283 SOL</t>
        </is>
      </c>
      <c r="H189" s="24" t="inlineStr">
        <is>
          <t>-56.51%</t>
        </is>
      </c>
      <c r="I189" s="20" t="inlineStr">
        <is>
          <t>N/A</t>
        </is>
      </c>
      <c r="J189" s="20" t="n">
        <v>1</v>
      </c>
      <c r="K189" s="20" t="n">
        <v>1</v>
      </c>
      <c r="L189" s="20" t="inlineStr">
        <is>
          <t>17.10.2024 10:25:57</t>
        </is>
      </c>
      <c r="M189" s="20" t="inlineStr">
        <is>
          <t>1 min</t>
        </is>
      </c>
      <c r="N189" s="20" t="inlineStr">
        <is>
          <t xml:space="preserve">         63K            28K             4K</t>
        </is>
      </c>
      <c r="O189" s="20" t="inlineStr">
        <is>
          <t>V1UXPcvgaXKiDtSiqmGuuwuZvd2ucynTfBi3wyNpump</t>
        </is>
      </c>
      <c r="P189" s="20">
        <f>HYPERLINK("https://dexscreener.com/solana/V1UXPcvgaXKiDtSiqmGuuwuZvd2ucynTfBi3wyNpump", "View")</f>
        <v/>
      </c>
    </row>
    <row r="190">
      <c r="A190" s="15" t="inlineStr">
        <is>
          <t>Furaha</t>
        </is>
      </c>
      <c r="B190" s="16" t="n">
        <v>6640994</v>
      </c>
      <c r="C190" s="16" t="n">
        <v>6640994</v>
      </c>
      <c r="D190" s="16" t="inlineStr">
        <is>
          <t>0.000020</t>
        </is>
      </c>
      <c r="E190" s="16" t="inlineStr">
        <is>
          <t>0.566 SOL</t>
        </is>
      </c>
      <c r="F190" s="16" t="inlineStr">
        <is>
          <t>0.302 SOL</t>
        </is>
      </c>
      <c r="G190" s="21" t="inlineStr">
        <is>
          <t>-0.264 SOL</t>
        </is>
      </c>
      <c r="H190" s="21" t="inlineStr">
        <is>
          <t>-46.66%</t>
        </is>
      </c>
      <c r="I190" s="16" t="inlineStr">
        <is>
          <t>N/A</t>
        </is>
      </c>
      <c r="J190" s="16" t="n">
        <v>1</v>
      </c>
      <c r="K190" s="16" t="n">
        <v>1</v>
      </c>
      <c r="L190" s="16" t="inlineStr">
        <is>
          <t>17.10.2024 10:06:05</t>
        </is>
      </c>
      <c r="M190" s="16" t="inlineStr">
        <is>
          <t>1 hours</t>
        </is>
      </c>
      <c r="N190" s="16" t="inlineStr">
        <is>
          <t xml:space="preserve">         16K             9K             6K</t>
        </is>
      </c>
      <c r="O190" s="16" t="inlineStr">
        <is>
          <t>GfVurfQm6uyK76xzSqDGkKtEjDQVhWUtfCUhEGvdpump</t>
        </is>
      </c>
      <c r="P190" s="16">
        <f>HYPERLINK("https://photon-sol.tinyastro.io/en/lp/GfVurfQm6uyK76xzSqDGkKtEjDQVhWUtfCUhEGvdpump?handle=676050794bc1b1657a56b", "View")</f>
        <v/>
      </c>
    </row>
    <row r="191">
      <c r="A191" s="19" t="inlineStr">
        <is>
          <t>NERO</t>
        </is>
      </c>
      <c r="B191" s="20" t="n">
        <v>1103800</v>
      </c>
      <c r="C191" s="20" t="n">
        <v>1103800</v>
      </c>
      <c r="D191" s="20" t="inlineStr">
        <is>
          <t>0.000020</t>
        </is>
      </c>
      <c r="E191" s="20" t="inlineStr">
        <is>
          <t>0.312 SOL</t>
        </is>
      </c>
      <c r="F191" s="20" t="inlineStr">
        <is>
          <t>0.093 SOL</t>
        </is>
      </c>
      <c r="G191" s="24" t="inlineStr">
        <is>
          <t>-0.219 SOL</t>
        </is>
      </c>
      <c r="H191" s="24" t="inlineStr">
        <is>
          <t>-70.17%</t>
        </is>
      </c>
      <c r="I191" s="20" t="inlineStr">
        <is>
          <t>N/A</t>
        </is>
      </c>
      <c r="J191" s="20" t="n">
        <v>1</v>
      </c>
      <c r="K191" s="20" t="n">
        <v>1</v>
      </c>
      <c r="L191" s="20" t="inlineStr">
        <is>
          <t>17.10.2024 08:33:44</t>
        </is>
      </c>
      <c r="M191" s="20" t="inlineStr">
        <is>
          <t>11 min</t>
        </is>
      </c>
      <c r="N191" s="20" t="inlineStr">
        <is>
          <t xml:space="preserve">         49K            14K             5K</t>
        </is>
      </c>
      <c r="O191" s="20" t="inlineStr">
        <is>
          <t>GaJHDtjrU4ME1XXYd2UGg6qMn3TNbcnz1Sbq1VdTpump</t>
        </is>
      </c>
      <c r="P191" s="20">
        <f>HYPERLINK("https://photon-sol.tinyastro.io/en/lp/GaJHDtjrU4ME1XXYd2UGg6qMn3TNbcnz1Sbq1VdTpump?handle=676050794bc1b1657a56b", "View")</f>
        <v/>
      </c>
    </row>
    <row r="192">
      <c r="A192" s="15" t="inlineStr">
        <is>
          <t>AICRYNODE</t>
        </is>
      </c>
      <c r="B192" s="16" t="n">
        <v>277789</v>
      </c>
      <c r="C192" s="16" t="n">
        <v>277789</v>
      </c>
      <c r="D192" s="16" t="inlineStr">
        <is>
          <t>0.007580</t>
        </is>
      </c>
      <c r="E192" s="16" t="inlineStr">
        <is>
          <t>0.300 SOL</t>
        </is>
      </c>
      <c r="F192" s="16" t="inlineStr">
        <is>
          <t>0.537 SOL</t>
        </is>
      </c>
      <c r="G192" s="23" t="inlineStr">
        <is>
          <t>0.230 SOL</t>
        </is>
      </c>
      <c r="H192" s="23" t="inlineStr">
        <is>
          <t>74.69%</t>
        </is>
      </c>
      <c r="I192" s="16" t="inlineStr">
        <is>
          <t>N/A</t>
        </is>
      </c>
      <c r="J192" s="16" t="n">
        <v>1</v>
      </c>
      <c r="K192" s="16" t="n">
        <v>3</v>
      </c>
      <c r="L192" s="16" t="inlineStr">
        <is>
          <t>17.10.2024 07:57:24</t>
        </is>
      </c>
      <c r="M192" s="16" t="inlineStr">
        <is>
          <t>18 min</t>
        </is>
      </c>
      <c r="N192" s="16" t="inlineStr">
        <is>
          <t xml:space="preserve">        190K           555K             3M</t>
        </is>
      </c>
      <c r="O192" s="16" t="inlineStr">
        <is>
          <t>PD11M8MB8qQUAiWzyEK4JwfS8rt7Set6av6a5JYpump</t>
        </is>
      </c>
      <c r="P192" s="16">
        <f>HYPERLINK("https://dexscreener.com/solana/PD11M8MB8qQUAiWzyEK4JwfS8rt7Set6av6a5JYpump", "View")</f>
        <v/>
      </c>
    </row>
    <row r="193">
      <c r="A193" s="19" t="inlineStr">
        <is>
          <t>🍖</t>
        </is>
      </c>
      <c r="B193" s="20" t="n">
        <v>1251403</v>
      </c>
      <c r="C193" s="20" t="n">
        <v>1251403</v>
      </c>
      <c r="D193" s="20" t="inlineStr">
        <is>
          <t>0.009090</t>
        </is>
      </c>
      <c r="E193" s="20" t="inlineStr">
        <is>
          <t>1.000 SOL</t>
        </is>
      </c>
      <c r="F193" s="20" t="inlineStr">
        <is>
          <t>4.730 SOL</t>
        </is>
      </c>
      <c r="G193" s="23" t="inlineStr">
        <is>
          <t>3.721 SOL</t>
        </is>
      </c>
      <c r="H193" s="23" t="inlineStr">
        <is>
          <t>368.70%</t>
        </is>
      </c>
      <c r="I193" s="20" t="inlineStr">
        <is>
          <t>N/A</t>
        </is>
      </c>
      <c r="J193" s="20" t="n">
        <v>2</v>
      </c>
      <c r="K193" s="20" t="n">
        <v>4</v>
      </c>
      <c r="L193" s="20" t="inlineStr">
        <is>
          <t>17.10.2024 07:15:32</t>
        </is>
      </c>
      <c r="M193" s="20" t="inlineStr">
        <is>
          <t>1 hours</t>
        </is>
      </c>
      <c r="N193" s="20" t="inlineStr">
        <is>
          <t xml:space="preserve">         54K           406K           120K</t>
        </is>
      </c>
      <c r="O193" s="20" t="inlineStr">
        <is>
          <t>AsmKCysufJvzLiMu5BXPn2ENsLx6DKsRSxstDk4Epump</t>
        </is>
      </c>
      <c r="P193" s="20">
        <f>HYPERLINK("https://dexscreener.com/solana/AsmKCysufJvzLiMu5BXPn2ENsLx6DKsRSxstDk4Epump", "View")</f>
        <v/>
      </c>
    </row>
    <row r="194">
      <c r="A194" s="15" t="inlineStr">
        <is>
          <t>Bambu</t>
        </is>
      </c>
      <c r="B194" s="16" t="n">
        <v>326141</v>
      </c>
      <c r="C194" s="16" t="n">
        <v>326141</v>
      </c>
      <c r="D194" s="16" t="inlineStr">
        <is>
          <t>0.007520</t>
        </is>
      </c>
      <c r="E194" s="16" t="inlineStr">
        <is>
          <t>0.500 SOL</t>
        </is>
      </c>
      <c r="F194" s="16" t="inlineStr">
        <is>
          <t>0.572 SOL</t>
        </is>
      </c>
      <c r="G194" s="22" t="inlineStr">
        <is>
          <t>0.065 SOL</t>
        </is>
      </c>
      <c r="H194" s="22" t="inlineStr">
        <is>
          <t>12.72%</t>
        </is>
      </c>
      <c r="I194" s="16" t="inlineStr">
        <is>
          <t>N/A</t>
        </is>
      </c>
      <c r="J194" s="16" t="n">
        <v>1</v>
      </c>
      <c r="K194" s="16" t="n">
        <v>1</v>
      </c>
      <c r="L194" s="16" t="inlineStr">
        <is>
          <t>17.10.2024 07:07:20</t>
        </is>
      </c>
      <c r="M194" s="16" t="inlineStr">
        <is>
          <t>2 min</t>
        </is>
      </c>
      <c r="N194" s="16" t="inlineStr">
        <is>
          <t xml:space="preserve">        269K           307K             6K</t>
        </is>
      </c>
      <c r="O194" s="16" t="inlineStr">
        <is>
          <t>6N1Uz7QB9d7SpFbETtsHjx3TJaN2ZwdVodXmUYrtpump</t>
        </is>
      </c>
      <c r="P194" s="16">
        <f>HYPERLINK("https://dexscreener.com/solana/6N1Uz7QB9d7SpFbETtsHjx3TJaN2ZwdVodXmUYrtpump", "View")</f>
        <v/>
      </c>
    </row>
    <row r="195">
      <c r="A195" s="19" t="inlineStr">
        <is>
          <t>CATANA</t>
        </is>
      </c>
      <c r="B195" s="20" t="n">
        <v>93711</v>
      </c>
      <c r="C195" s="20" t="n">
        <v>93711</v>
      </c>
      <c r="D195" s="20" t="inlineStr">
        <is>
          <t>0.000020</t>
        </is>
      </c>
      <c r="E195" s="20" t="inlineStr">
        <is>
          <t>1.000 SOL</t>
        </is>
      </c>
      <c r="F195" s="20" t="inlineStr">
        <is>
          <t>1.035 SOL</t>
        </is>
      </c>
      <c r="G195" s="22" t="inlineStr">
        <is>
          <t>0.035 SOL</t>
        </is>
      </c>
      <c r="H195" s="22" t="inlineStr">
        <is>
          <t>3.54%</t>
        </is>
      </c>
      <c r="I195" s="20" t="inlineStr">
        <is>
          <t>N/A</t>
        </is>
      </c>
      <c r="J195" s="20" t="n">
        <v>1</v>
      </c>
      <c r="K195" s="20" t="n">
        <v>1</v>
      </c>
      <c r="L195" s="20" t="inlineStr">
        <is>
          <t>17.10.2024 05:59:06</t>
        </is>
      </c>
      <c r="M195" s="20" t="inlineStr">
        <is>
          <t>3 min</t>
        </is>
      </c>
      <c r="N195" s="20" t="inlineStr">
        <is>
          <t xml:space="preserve">          2M             2M            19M</t>
        </is>
      </c>
      <c r="O195" s="20" t="inlineStr">
        <is>
          <t>GmbC2HgWpHpq9SHnmEXZNT5e1zgcU9oASDqbAkGTpump</t>
        </is>
      </c>
      <c r="P195" s="20">
        <f>HYPERLINK("https://dexscreener.com/solana/GmbC2HgWpHpq9SHnmEXZNT5e1zgcU9oASDqbAkGTpump", "View")</f>
        <v/>
      </c>
    </row>
    <row r="196">
      <c r="A196" s="15" t="inlineStr">
        <is>
          <t>AZARAFA</t>
        </is>
      </c>
      <c r="B196" s="16" t="n">
        <v>13790993</v>
      </c>
      <c r="C196" s="16" t="n">
        <v>13790993</v>
      </c>
      <c r="D196" s="16" t="inlineStr">
        <is>
          <t>0.006010</t>
        </is>
      </c>
      <c r="E196" s="16" t="inlineStr">
        <is>
          <t>0.513 SOL</t>
        </is>
      </c>
      <c r="F196" s="16" t="inlineStr">
        <is>
          <t>0.506 SOL</t>
        </is>
      </c>
      <c r="G196" s="21" t="inlineStr">
        <is>
          <t>-0.013 SOL</t>
        </is>
      </c>
      <c r="H196" s="21" t="inlineStr">
        <is>
          <t>-2.49%</t>
        </is>
      </c>
      <c r="I196" s="16" t="inlineStr">
        <is>
          <t>N/A</t>
        </is>
      </c>
      <c r="J196" s="16" t="n">
        <v>1</v>
      </c>
      <c r="K196" s="16" t="n">
        <v>1</v>
      </c>
      <c r="L196" s="16" t="inlineStr">
        <is>
          <t>17.10.2024 05:49:22</t>
        </is>
      </c>
      <c r="M196" s="16" t="inlineStr">
        <is>
          <t>2 min</t>
        </is>
      </c>
      <c r="N196" s="16" t="inlineStr">
        <is>
          <t xml:space="preserve">          7K             7K             5K</t>
        </is>
      </c>
      <c r="O196" s="16" t="inlineStr">
        <is>
          <t>HndihxGvzHvdH7MkcLTP5hmQ2L6kKwVN7uHts29Epump</t>
        </is>
      </c>
      <c r="P196" s="16">
        <f>HYPERLINK("https://photon-sol.tinyastro.io/en/lp/HndihxGvzHvdH7MkcLTP5hmQ2L6kKwVN7uHts29Epump?handle=676050794bc1b1657a56b", "View")</f>
        <v/>
      </c>
    </row>
    <row r="197">
      <c r="A197" s="19" t="inlineStr">
        <is>
          <t>Leaf</t>
        </is>
      </c>
      <c r="B197" s="20" t="n">
        <v>866207</v>
      </c>
      <c r="C197" s="20" t="n">
        <v>866207</v>
      </c>
      <c r="D197" s="20" t="inlineStr">
        <is>
          <t>0.006010</t>
        </is>
      </c>
      <c r="E197" s="20" t="inlineStr">
        <is>
          <t>0.110 SOL</t>
        </is>
      </c>
      <c r="F197" s="20" t="inlineStr">
        <is>
          <t>0.138 SOL</t>
        </is>
      </c>
      <c r="G197" s="22" t="inlineStr">
        <is>
          <t>0.022 SOL</t>
        </is>
      </c>
      <c r="H197" s="22" t="inlineStr">
        <is>
          <t>18.59%</t>
        </is>
      </c>
      <c r="I197" s="20" t="inlineStr">
        <is>
          <t>N/A</t>
        </is>
      </c>
      <c r="J197" s="20" t="n">
        <v>1</v>
      </c>
      <c r="K197" s="20" t="n">
        <v>1</v>
      </c>
      <c r="L197" s="20" t="inlineStr">
        <is>
          <t>17.10.2024 05:37:44</t>
        </is>
      </c>
      <c r="M197" s="18" t="inlineStr">
        <is>
          <t>50 sec</t>
        </is>
      </c>
      <c r="N197" s="20" t="inlineStr">
        <is>
          <t xml:space="preserve">         23K            28K             5K</t>
        </is>
      </c>
      <c r="O197" s="20" t="inlineStr">
        <is>
          <t>13Hp7FXJD38tVRKKd83R4D33W266hf6GviQ2FCFMpump</t>
        </is>
      </c>
      <c r="P197" s="20">
        <f>HYPERLINK("https://photon-sol.tinyastro.io/en/lp/13Hp7FXJD38tVRKKd83R4D33W266hf6GviQ2FCFMpump?handle=676050794bc1b1657a56b", "View")</f>
        <v/>
      </c>
    </row>
    <row r="198">
      <c r="A198" s="15" t="inlineStr">
        <is>
          <t>built</t>
        </is>
      </c>
      <c r="B198" s="16" t="n">
        <v>5745607</v>
      </c>
      <c r="C198" s="16" t="n">
        <v>5745607</v>
      </c>
      <c r="D198" s="16" t="inlineStr">
        <is>
          <t>0.012040</t>
        </is>
      </c>
      <c r="E198" s="16" t="inlineStr">
        <is>
          <t>1.263 SOL</t>
        </is>
      </c>
      <c r="F198" s="16" t="inlineStr">
        <is>
          <t>1.867 SOL</t>
        </is>
      </c>
      <c r="G198" s="22" t="inlineStr">
        <is>
          <t>0.592 SOL</t>
        </is>
      </c>
      <c r="H198" s="22" t="inlineStr">
        <is>
          <t>46.40%</t>
        </is>
      </c>
      <c r="I198" s="16" t="inlineStr">
        <is>
          <t>N/A</t>
        </is>
      </c>
      <c r="J198" s="16" t="n">
        <v>3</v>
      </c>
      <c r="K198" s="16" t="n">
        <v>3</v>
      </c>
      <c r="L198" s="16" t="inlineStr">
        <is>
          <t>17.10.2024 04:59:23</t>
        </is>
      </c>
      <c r="M198" s="16" t="inlineStr">
        <is>
          <t>18 min</t>
        </is>
      </c>
      <c r="N198" s="16" t="inlineStr">
        <is>
          <t xml:space="preserve">         39K            35K             4K</t>
        </is>
      </c>
      <c r="O198" s="16" t="inlineStr">
        <is>
          <t>AV2FGQwm6edpX1istNtJ6Nt2Nfgvr5tjrKM2SSVjpump</t>
        </is>
      </c>
      <c r="P198" s="16">
        <f>HYPERLINK("https://photon-sol.tinyastro.io/en/lp/AV2FGQwm6edpX1istNtJ6Nt2Nfgvr5tjrKM2SSVjpump?handle=676050794bc1b1657a56b", "View")</f>
        <v/>
      </c>
    </row>
    <row r="199">
      <c r="A199" s="19" t="inlineStr">
        <is>
          <t>Aira</t>
        </is>
      </c>
      <c r="B199" s="20" t="n">
        <v>9836782</v>
      </c>
      <c r="C199" s="20" t="n">
        <v>9836782</v>
      </c>
      <c r="D199" s="20" t="inlineStr">
        <is>
          <t>0.000020</t>
        </is>
      </c>
      <c r="E199" s="20" t="inlineStr">
        <is>
          <t>0.512 SOL</t>
        </is>
      </c>
      <c r="F199" s="20" t="inlineStr">
        <is>
          <t>0.511 SOL</t>
        </is>
      </c>
      <c r="G199" s="21" t="inlineStr">
        <is>
          <t>-0.001 SOL</t>
        </is>
      </c>
      <c r="H199" s="21" t="inlineStr">
        <is>
          <t>-0.16%</t>
        </is>
      </c>
      <c r="I199" s="20" t="inlineStr">
        <is>
          <t>N/A</t>
        </is>
      </c>
      <c r="J199" s="20" t="n">
        <v>1</v>
      </c>
      <c r="K199" s="20" t="n">
        <v>1</v>
      </c>
      <c r="L199" s="20" t="inlineStr">
        <is>
          <t>17.10.2024 03:30:42</t>
        </is>
      </c>
      <c r="M199" s="20" t="inlineStr">
        <is>
          <t>6 min</t>
        </is>
      </c>
      <c r="N199" s="20" t="inlineStr">
        <is>
          <t xml:space="preserve">        N/A           N/A           N/A</t>
        </is>
      </c>
      <c r="O199" s="20" t="inlineStr">
        <is>
          <t>2FtE57Bw9rd4zoVhLDpY92VJnQBg6xkYCEXrJySKpump</t>
        </is>
      </c>
      <c r="P199" s="20">
        <f>HYPERLINK("https://photon-sol.tinyastro.io/en/lp/2FtE57Bw9rd4zoVhLDpY92VJnQBg6xkYCEXrJySKpump?handle=676050794bc1b1657a56b", "View")</f>
        <v/>
      </c>
    </row>
    <row r="200">
      <c r="A200" s="15" t="inlineStr">
        <is>
          <t>FNCP</t>
        </is>
      </c>
      <c r="B200" s="16" t="n">
        <v>812707</v>
      </c>
      <c r="C200" s="16" t="n">
        <v>812707</v>
      </c>
      <c r="D200" s="16" t="inlineStr">
        <is>
          <t>0.000020</t>
        </is>
      </c>
      <c r="E200" s="16" t="inlineStr">
        <is>
          <t>0.500 SOL</t>
        </is>
      </c>
      <c r="F200" s="16" t="inlineStr">
        <is>
          <t>0.494 SOL</t>
        </is>
      </c>
      <c r="G200" s="21" t="inlineStr">
        <is>
          <t>-0.006 SOL</t>
        </is>
      </c>
      <c r="H200" s="21" t="inlineStr">
        <is>
          <t>-1.19%</t>
        </is>
      </c>
      <c r="I200" s="16" t="inlineStr">
        <is>
          <t>N/A</t>
        </is>
      </c>
      <c r="J200" s="16" t="n">
        <v>1</v>
      </c>
      <c r="K200" s="16" t="n">
        <v>1</v>
      </c>
      <c r="L200" s="16" t="inlineStr">
        <is>
          <t>17.10.2024 03:01:22</t>
        </is>
      </c>
      <c r="M200" s="16" t="inlineStr">
        <is>
          <t>1 min</t>
        </is>
      </c>
      <c r="N200" s="16" t="inlineStr">
        <is>
          <t xml:space="preserve">        109K           107K           420K</t>
        </is>
      </c>
      <c r="O200" s="16" t="inlineStr">
        <is>
          <t>A6bCsh37hM4FybN4MXstnup6WEcichSQNK8AGvXDpump</t>
        </is>
      </c>
      <c r="P200" s="16">
        <f>HYPERLINK("https://dexscreener.com/solana/A6bCsh37hM4FybN4MXstnup6WEcichSQNK8AGvXDpump", "View")</f>
        <v/>
      </c>
    </row>
    <row r="201">
      <c r="A201" s="19" t="inlineStr">
        <is>
          <t>Mossie</t>
        </is>
      </c>
      <c r="B201" s="20" t="n">
        <v>16482335</v>
      </c>
      <c r="C201" s="20" t="n">
        <v>16482335</v>
      </c>
      <c r="D201" s="20" t="inlineStr">
        <is>
          <t>0.000020</t>
        </is>
      </c>
      <c r="E201" s="20" t="inlineStr">
        <is>
          <t>0.512 SOL</t>
        </is>
      </c>
      <c r="F201" s="20" t="inlineStr">
        <is>
          <t>0.489 SOL</t>
        </is>
      </c>
      <c r="G201" s="21" t="inlineStr">
        <is>
          <t>-0.023 SOL</t>
        </is>
      </c>
      <c r="H201" s="21" t="inlineStr">
        <is>
          <t>-4.50%</t>
        </is>
      </c>
      <c r="I201" s="20" t="inlineStr">
        <is>
          <t>N/A</t>
        </is>
      </c>
      <c r="J201" s="20" t="n">
        <v>1</v>
      </c>
      <c r="K201" s="20" t="n">
        <v>1</v>
      </c>
      <c r="L201" s="20" t="inlineStr">
        <is>
          <t>16.10.2024 17:20:34</t>
        </is>
      </c>
      <c r="M201" s="20" t="inlineStr">
        <is>
          <t>1 hours</t>
        </is>
      </c>
      <c r="N201" s="20" t="inlineStr">
        <is>
          <t xml:space="preserve">        N/A           N/A           N/A</t>
        </is>
      </c>
      <c r="O201" s="20" t="inlineStr">
        <is>
          <t>5Si1bSQWnoEcSfj2qxy3QEKXHxTgTRrsivtCszHQpump</t>
        </is>
      </c>
      <c r="P201" s="20">
        <f>HYPERLINK("https://photon-sol.tinyastro.io/en/lp/5Si1bSQWnoEcSfj2qxy3QEKXHxTgTRrsivtCszHQpump?handle=676050794bc1b1657a56b", "View")</f>
        <v/>
      </c>
    </row>
    <row r="202">
      <c r="A202" s="15" t="inlineStr">
        <is>
          <t>STACY</t>
        </is>
      </c>
      <c r="B202" s="16" t="n">
        <v>239537</v>
      </c>
      <c r="C202" s="16" t="n">
        <v>239537</v>
      </c>
      <c r="D202" s="16" t="inlineStr">
        <is>
          <t>0.000020</t>
        </is>
      </c>
      <c r="E202" s="16" t="inlineStr">
        <is>
          <t>0.500 SOL</t>
        </is>
      </c>
      <c r="F202" s="16" t="inlineStr">
        <is>
          <t>0.533 SOL</t>
        </is>
      </c>
      <c r="G202" s="22" t="inlineStr">
        <is>
          <t>0.033 SOL</t>
        </is>
      </c>
      <c r="H202" s="22" t="inlineStr">
        <is>
          <t>6.57%</t>
        </is>
      </c>
      <c r="I202" s="16" t="inlineStr">
        <is>
          <t>N/A</t>
        </is>
      </c>
      <c r="J202" s="16" t="n">
        <v>1</v>
      </c>
      <c r="K202" s="16" t="n">
        <v>1</v>
      </c>
      <c r="L202" s="16" t="inlineStr">
        <is>
          <t>16.10.2024 16:27:54</t>
        </is>
      </c>
      <c r="M202" s="16" t="inlineStr">
        <is>
          <t>47 min</t>
        </is>
      </c>
      <c r="N202" s="16" t="inlineStr">
        <is>
          <t xml:space="preserve">        367K           390K           905K</t>
        </is>
      </c>
      <c r="O202" s="16" t="inlineStr">
        <is>
          <t>6q387cQFB2bobtdJGAMVVW5NoVL94KKmHXmEPgwUpump</t>
        </is>
      </c>
      <c r="P202" s="16">
        <f>HYPERLINK("https://dexscreener.com/solana/6q387cQFB2bobtdJGAMVVW5NoVL94KKmHXmEPgwUpump", "View")</f>
        <v/>
      </c>
    </row>
    <row r="203">
      <c r="A203" s="19" t="inlineStr">
        <is>
          <t>FDLZ</t>
        </is>
      </c>
      <c r="B203" s="20" t="n">
        <v>1821544</v>
      </c>
      <c r="C203" s="20" t="n">
        <v>1821544</v>
      </c>
      <c r="D203" s="20" t="inlineStr">
        <is>
          <t>0.000020</t>
        </is>
      </c>
      <c r="E203" s="20" t="inlineStr">
        <is>
          <t>0.500 SOL</t>
        </is>
      </c>
      <c r="F203" s="20" t="inlineStr">
        <is>
          <t>0.306 SOL</t>
        </is>
      </c>
      <c r="G203" s="21" t="inlineStr">
        <is>
          <t>-0.194 SOL</t>
        </is>
      </c>
      <c r="H203" s="21" t="inlineStr">
        <is>
          <t>-38.72%</t>
        </is>
      </c>
      <c r="I203" s="20" t="inlineStr">
        <is>
          <t>N/A</t>
        </is>
      </c>
      <c r="J203" s="20" t="n">
        <v>1</v>
      </c>
      <c r="K203" s="20" t="n">
        <v>1</v>
      </c>
      <c r="L203" s="20" t="inlineStr">
        <is>
          <t>16.10.2024 16:09:41</t>
        </is>
      </c>
      <c r="M203" s="20" t="inlineStr">
        <is>
          <t>31 min</t>
        </is>
      </c>
      <c r="N203" s="20" t="inlineStr">
        <is>
          <t xml:space="preserve">         47K            30K            49K</t>
        </is>
      </c>
      <c r="O203" s="20" t="inlineStr">
        <is>
          <t>FGSheu4NuiGqf8zjP9Na5BtdQTmd1SzfcdYZAHHNpump</t>
        </is>
      </c>
      <c r="P203" s="20">
        <f>HYPERLINK("https://dexscreener.com/solana/FGSheu4NuiGqf8zjP9Na5BtdQTmd1SzfcdYZAHHNpump", "View")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HYPERLINK("https://gmgn.ai/sol/address/HmfBnpiF6CKYWFRLjAvUjZrLxjYyNN998UXtk3up7HXi", "GMGN")</f>
        <v/>
      </c>
    </row>
    <row r="2">
      <c r="A2" s="3" t="inlineStr">
        <is>
          <t>HmfBnpiF6CKYWFRLjAvUjZrLxjYyNN998UXtk3up7HXi</t>
        </is>
      </c>
      <c r="B2" s="3" t="inlineStr">
        <is>
          <t>24.13 SOL</t>
        </is>
      </c>
      <c r="C2" s="3" t="inlineStr">
        <is>
          <t>41%</t>
        </is>
      </c>
      <c r="D2" s="3" t="inlineStr">
        <is>
          <t>59%</t>
        </is>
      </c>
      <c r="E2" s="3" t="inlineStr">
        <is>
          <t>14.17 SOL</t>
        </is>
      </c>
      <c r="F2" s="3" t="inlineStr">
        <is>
          <t>2 (9%)</t>
        </is>
      </c>
      <c r="G2" s="3" t="inlineStr">
        <is>
          <t>0 (0%)</t>
        </is>
      </c>
      <c r="H2" s="3" t="n">
        <v>22</v>
      </c>
      <c r="I2" s="3" t="n">
        <v>0</v>
      </c>
      <c r="J2" s="3" t="inlineStr">
        <is>
          <t>1 days</t>
        </is>
      </c>
      <c r="K2" s="3" t="inlineStr">
        <is>
          <t>19 min</t>
        </is>
      </c>
      <c r="L2" s="3" t="n">
        <v>22</v>
      </c>
      <c r="M2" s="3" t="n">
        <v>12</v>
      </c>
      <c r="N2" s="3">
        <f>HYPERLINK("https://solscan.io/account/HmfBnpiF6CKYWFRLjAvUjZrLxjYyNN998UXtk3up7HXi", "Solscan")</f>
        <v/>
      </c>
    </row>
    <row r="3">
      <c r="A3" s="6" t="inlineStr">
        <is>
          <t>Median ROI</t>
        </is>
      </c>
      <c r="B3" s="5" t="inlineStr">
        <is>
          <t>-1.64%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HYPERLINK("https://birdeye.so/profile/HmfBnpiF6CKYWFRLjAvUjZrLxjYyNN998UXtk3up7HXi", "Birdeye")</f>
        <v/>
      </c>
    </row>
    <row r="4">
      <c r="A4" s="6" t="inlineStr">
        <is>
          <t>Rockets percent</t>
        </is>
      </c>
      <c r="B4" s="3" t="inlineStr">
        <is>
          <t>5%</t>
        </is>
      </c>
      <c r="C4" s="3" t="inlineStr"/>
      <c r="D4" s="3" t="inlineStr">
        <is>
          <t>12%</t>
        </is>
      </c>
      <c r="E4" s="3" t="inlineStr">
        <is>
          <t>2.98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2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0</v>
      </c>
      <c r="D10" s="6" t="n">
        <v>2</v>
      </c>
      <c r="E10" s="6" t="n">
        <v>6</v>
      </c>
      <c r="F10" s="6" t="n">
        <v>10</v>
      </c>
      <c r="G10" s="6" t="n">
        <v>3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4.5%</t>
        </is>
      </c>
      <c r="C11" s="6" t="inlineStr">
        <is>
          <t>0.0%</t>
        </is>
      </c>
      <c r="D11" s="6" t="inlineStr">
        <is>
          <t>9.1%</t>
        </is>
      </c>
      <c r="E11" s="6" t="inlineStr">
        <is>
          <t>27.3%</t>
        </is>
      </c>
      <c r="F11" s="6" t="inlineStr">
        <is>
          <t>45.5%</t>
        </is>
      </c>
      <c r="G11" s="6" t="inlineStr">
        <is>
          <t>13.6%</t>
        </is>
      </c>
      <c r="H11" s="3" t="n"/>
      <c r="I11" s="3" t="inlineStr">
        <is>
          <t>5k-30k</t>
        </is>
      </c>
      <c r="J11" s="3" t="inlineStr">
        <is>
          <t>13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16.1 SOL</t>
        </is>
      </c>
      <c r="C12" s="6" t="inlineStr">
        <is>
          <t>0.0 SOL</t>
        </is>
      </c>
      <c r="D12" s="6" t="inlineStr">
        <is>
          <t>1.0 SOL</t>
        </is>
      </c>
      <c r="E12" s="6" t="inlineStr">
        <is>
          <t>1.1 SOL</t>
        </is>
      </c>
      <c r="F12" s="6" t="inlineStr">
        <is>
          <t>-0.9 SOL</t>
        </is>
      </c>
      <c r="G12" s="6" t="inlineStr">
        <is>
          <t>-3.2 SOL</t>
        </is>
      </c>
      <c r="H12" s="3" t="n"/>
      <c r="I12" s="3" t="inlineStr">
        <is>
          <t>30k-100k</t>
        </is>
      </c>
      <c r="J12" s="3" t="inlineStr">
        <is>
          <t>0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5.0K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kobito</t>
        </is>
      </c>
      <c r="B20" s="16" t="n">
        <v>33421963</v>
      </c>
      <c r="C20" s="16" t="n">
        <v>0</v>
      </c>
      <c r="D20" s="16" t="inlineStr">
        <is>
          <t>0.000060</t>
        </is>
      </c>
      <c r="E20" s="16" t="inlineStr">
        <is>
          <t>1.048 SOL</t>
        </is>
      </c>
      <c r="F20" s="16" t="inlineStr">
        <is>
          <t>0.000 SOL</t>
        </is>
      </c>
      <c r="G20" s="17" t="inlineStr">
        <is>
          <t>-1.048 SOL</t>
        </is>
      </c>
      <c r="H20" s="17" t="inlineStr">
        <is>
          <t>0.00%</t>
        </is>
      </c>
      <c r="I20" s="16" t="inlineStr">
        <is>
          <t>33,421,963</t>
        </is>
      </c>
      <c r="J20" s="16" t="n">
        <v>1</v>
      </c>
      <c r="K20" s="16" t="n">
        <v>0</v>
      </c>
      <c r="L20" s="16" t="inlineStr">
        <is>
          <t>30.10.2024 16:13:57</t>
        </is>
      </c>
      <c r="M20" s="18" t="inlineStr">
        <is>
          <t>0 sec</t>
        </is>
      </c>
      <c r="N20" s="16" t="inlineStr">
        <is>
          <t xml:space="preserve">          5K             5K             6K</t>
        </is>
      </c>
      <c r="O20" s="16" t="inlineStr">
        <is>
          <t>FHAidVv1yH1APA2kKNrsMfHYyeSzTtZRi5mjq1iepump</t>
        </is>
      </c>
      <c r="P20" s="16">
        <f>HYPERLINK("https://photon-sol.tinyastro.io/en/lp/FHAidVv1yH1APA2kKNrsMfHYyeSzTtZRi5mjq1iepump?handle=676050794bc1b1657a56b", "View")</f>
        <v/>
      </c>
    </row>
    <row r="21">
      <c r="A21" s="19" t="inlineStr">
        <is>
          <t>55,601.93</t>
        </is>
      </c>
      <c r="B21" s="20" t="n">
        <v>66091239</v>
      </c>
      <c r="C21" s="20" t="n">
        <v>66091239</v>
      </c>
      <c r="D21" s="20" t="inlineStr">
        <is>
          <t>0.000220</t>
        </is>
      </c>
      <c r="E21" s="20" t="inlineStr">
        <is>
          <t>2.092 SOL</t>
        </is>
      </c>
      <c r="F21" s="20" t="inlineStr">
        <is>
          <t>2.004 SOL</t>
        </is>
      </c>
      <c r="G21" s="21" t="inlineStr">
        <is>
          <t>-0.088 SOL</t>
        </is>
      </c>
      <c r="H21" s="21" t="inlineStr">
        <is>
          <t>-4.19%</t>
        </is>
      </c>
      <c r="I21" s="20" t="inlineStr">
        <is>
          <t>N/A</t>
        </is>
      </c>
      <c r="J21" s="20" t="n">
        <v>2</v>
      </c>
      <c r="K21" s="20" t="n">
        <v>2</v>
      </c>
      <c r="L21" s="20" t="inlineStr">
        <is>
          <t>30.10.2024 15:43:59</t>
        </is>
      </c>
      <c r="M21" s="20" t="inlineStr">
        <is>
          <t>6 hours</t>
        </is>
      </c>
      <c r="N21" s="20" t="inlineStr">
        <is>
          <t xml:space="preserve">          5K             5K             5K</t>
        </is>
      </c>
      <c r="O21" s="20" t="inlineStr">
        <is>
          <t>3YeATpNVPAJ7RLek7GKZLvTrQYBmS1iwMaimkeX6pump</t>
        </is>
      </c>
      <c r="P21" s="20">
        <f>HYPERLINK("https://photon-sol.tinyastro.io/en/lp/3YeATpNVPAJ7RLek7GKZLvTrQYBmS1iwMaimkeX6pump?handle=676050794bc1b1657a56b", "View")</f>
        <v/>
      </c>
    </row>
    <row r="22">
      <c r="A22" s="15" t="inlineStr">
        <is>
          <t>samhain</t>
        </is>
      </c>
      <c r="B22" s="16" t="n">
        <v>13260254</v>
      </c>
      <c r="C22" s="16" t="n">
        <v>0</v>
      </c>
      <c r="D22" s="16" t="inlineStr">
        <is>
          <t>0.000060</t>
        </is>
      </c>
      <c r="E22" s="16" t="inlineStr">
        <is>
          <t>1.035 SOL</t>
        </is>
      </c>
      <c r="F22" s="16" t="inlineStr">
        <is>
          <t>0.000 SOL</t>
        </is>
      </c>
      <c r="G22" s="17" t="inlineStr">
        <is>
          <t>-1.035 SOL</t>
        </is>
      </c>
      <c r="H22" s="17" t="inlineStr">
        <is>
          <t>0.00%</t>
        </is>
      </c>
      <c r="I22" s="16" t="inlineStr">
        <is>
          <t>13,260,254</t>
        </is>
      </c>
      <c r="J22" s="16" t="n">
        <v>1</v>
      </c>
      <c r="K22" s="16" t="n">
        <v>0</v>
      </c>
      <c r="L22" s="16" t="inlineStr">
        <is>
          <t>30.10.2024 12:11:37</t>
        </is>
      </c>
      <c r="M22" s="18" t="inlineStr">
        <is>
          <t>0 sec</t>
        </is>
      </c>
      <c r="N22" s="16" t="inlineStr">
        <is>
          <t xml:space="preserve">         14K            14K             9K</t>
        </is>
      </c>
      <c r="O22" s="16" t="inlineStr">
        <is>
          <t>B94fYkjwSm1XP25iz9sUGQ2Teyr7iZt8hxcaRn78pump</t>
        </is>
      </c>
      <c r="P22" s="16">
        <f>HYPERLINK("https://photon-sol.tinyastro.io/en/lp/B94fYkjwSm1XP25iz9sUGQ2Teyr7iZt8hxcaRn78pump?handle=676050794bc1b1657a56b", "View")</f>
        <v/>
      </c>
    </row>
    <row r="23">
      <c r="A23" s="19" t="inlineStr">
        <is>
          <t>pumpkin</t>
        </is>
      </c>
      <c r="B23" s="20" t="n">
        <v>32646911</v>
      </c>
      <c r="C23" s="20" t="n">
        <v>32646911</v>
      </c>
      <c r="D23" s="20" t="inlineStr">
        <is>
          <t>0.000110</t>
        </is>
      </c>
      <c r="E23" s="20" t="inlineStr">
        <is>
          <t>1.046 SOL</t>
        </is>
      </c>
      <c r="F23" s="20" t="inlineStr">
        <is>
          <t>1.252 SOL</t>
        </is>
      </c>
      <c r="G23" s="22" t="inlineStr">
        <is>
          <t>0.206 SOL</t>
        </is>
      </c>
      <c r="H23" s="22" t="inlineStr">
        <is>
          <t>19.65%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08:05:01</t>
        </is>
      </c>
      <c r="M23" s="20" t="inlineStr">
        <is>
          <t>11 min</t>
        </is>
      </c>
      <c r="N23" s="20" t="inlineStr">
        <is>
          <t xml:space="preserve">          5K             7K             5K</t>
        </is>
      </c>
      <c r="O23" s="20" t="inlineStr">
        <is>
          <t>7KHGjkhsNpPafCSevy3djmah5czy4qdcDXjX5bv1pump</t>
        </is>
      </c>
      <c r="P23" s="20">
        <f>HYPERLINK("https://photon-sol.tinyastro.io/en/lp/7KHGjkhsNpPafCSevy3djmah5czy4qdcDXjX5bv1pump?handle=676050794bc1b1657a56b", "View")</f>
        <v/>
      </c>
    </row>
    <row r="24">
      <c r="A24" s="15" t="inlineStr">
        <is>
          <t>FAT CZ</t>
        </is>
      </c>
      <c r="B24" s="16" t="n">
        <v>33269419</v>
      </c>
      <c r="C24" s="16" t="n">
        <v>33269419</v>
      </c>
      <c r="D24" s="16" t="inlineStr">
        <is>
          <t>0.000110</t>
        </is>
      </c>
      <c r="E24" s="16" t="inlineStr">
        <is>
          <t>1.047 SOL</t>
        </is>
      </c>
      <c r="F24" s="16" t="inlineStr">
        <is>
          <t>1.716 SOL</t>
        </is>
      </c>
      <c r="G24" s="23" t="inlineStr">
        <is>
          <t>0.668 SOL</t>
        </is>
      </c>
      <c r="H24" s="23" t="inlineStr">
        <is>
          <t>63.83%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06:14:43</t>
        </is>
      </c>
      <c r="M24" s="16" t="inlineStr">
        <is>
          <t>5 min</t>
        </is>
      </c>
      <c r="N24" s="16" t="inlineStr">
        <is>
          <t xml:space="preserve">        N/A           N/A           N/A</t>
        </is>
      </c>
      <c r="O24" s="16" t="inlineStr">
        <is>
          <t>9c2rQ7osCEkHEnc5BexALR9Kwyr3ntDg7uRJ6nLJzHvm</t>
        </is>
      </c>
      <c r="P24" s="16">
        <f>HYPERLINK("https://photon-sol.tinyastro.io/en/lp/9c2rQ7osCEkHEnc5BexALR9Kwyr3ntDg7uRJ6nLJzHvm?handle=676050794bc1b1657a56b", "View")</f>
        <v/>
      </c>
    </row>
    <row r="25">
      <c r="A25" s="19" t="inlineStr">
        <is>
          <t>Félicette</t>
        </is>
      </c>
      <c r="B25" s="20" t="n">
        <v>30482397</v>
      </c>
      <c r="C25" s="20" t="n">
        <v>30482397</v>
      </c>
      <c r="D25" s="20" t="inlineStr">
        <is>
          <t>0.000110</t>
        </is>
      </c>
      <c r="E25" s="20" t="inlineStr">
        <is>
          <t>1.046 SOL</t>
        </is>
      </c>
      <c r="F25" s="20" t="inlineStr">
        <is>
          <t>1.038 SOL</t>
        </is>
      </c>
      <c r="G25" s="21" t="inlineStr">
        <is>
          <t>-0.008 SOL</t>
        </is>
      </c>
      <c r="H25" s="21" t="inlineStr">
        <is>
          <t>-0.73%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30.10.2024 05:04:33</t>
        </is>
      </c>
      <c r="M25" s="20" t="inlineStr">
        <is>
          <t>2 hours</t>
        </is>
      </c>
      <c r="N25" s="20" t="inlineStr">
        <is>
          <t xml:space="preserve">        N/A           N/A           N/A</t>
        </is>
      </c>
      <c r="O25" s="20" t="inlineStr">
        <is>
          <t>F8hVFDi84PbZe3ygztWMyKqqJmTb954Yf686VRTwh53D</t>
        </is>
      </c>
      <c r="P25" s="20">
        <f>HYPERLINK("https://photon-sol.tinyastro.io/en/lp/F8hVFDi84PbZe3ygztWMyKqqJmTb954Yf686VRTwh53D?handle=676050794bc1b1657a56b", "View")</f>
        <v/>
      </c>
    </row>
    <row r="26">
      <c r="A26" s="15" t="inlineStr">
        <is>
          <t>Félicette</t>
        </is>
      </c>
      <c r="B26" s="16" t="n">
        <v>35766667</v>
      </c>
      <c r="C26" s="16" t="n">
        <v>35766667</v>
      </c>
      <c r="D26" s="16" t="inlineStr">
        <is>
          <t>0.000160</t>
        </is>
      </c>
      <c r="E26" s="16" t="inlineStr">
        <is>
          <t>1.123 SOL</t>
        </is>
      </c>
      <c r="F26" s="16" t="inlineStr">
        <is>
          <t>17.232 SOL</t>
        </is>
      </c>
      <c r="G26" s="23" t="inlineStr">
        <is>
          <t>16.109 SOL</t>
        </is>
      </c>
      <c r="H26" s="23" t="inlineStr">
        <is>
          <t>1434.49%</t>
        </is>
      </c>
      <c r="I26" s="16" t="inlineStr">
        <is>
          <t>N/A</t>
        </is>
      </c>
      <c r="J26" s="16" t="n">
        <v>1</v>
      </c>
      <c r="K26" s="16" t="n">
        <v>2</v>
      </c>
      <c r="L26" s="16" t="inlineStr">
        <is>
          <t>30.10.2024 04:43:19</t>
        </is>
      </c>
      <c r="M26" s="16" t="inlineStr">
        <is>
          <t>1 hours</t>
        </is>
      </c>
      <c r="N26" s="16" t="inlineStr">
        <is>
          <t xml:space="preserve">          5K            58K             5K</t>
        </is>
      </c>
      <c r="O26" s="16" t="inlineStr">
        <is>
          <t>omPwhhB8qZysrvP72VESvFwuqimcFSF6pkSNj94pump</t>
        </is>
      </c>
      <c r="P26" s="16">
        <f>HYPERLINK("https://photon-sol.tinyastro.io/en/lp/omPwhhB8qZysrvP72VESvFwuqimcFSF6pkSNj94pump?handle=676050794bc1b1657a56b", "View")</f>
        <v/>
      </c>
    </row>
    <row r="27">
      <c r="A27" s="19" t="inlineStr">
        <is>
          <t>niels</t>
        </is>
      </c>
      <c r="B27" s="20" t="n">
        <v>33421963</v>
      </c>
      <c r="C27" s="20" t="n">
        <v>33421963</v>
      </c>
      <c r="D27" s="20" t="inlineStr">
        <is>
          <t>0.000110</t>
        </is>
      </c>
      <c r="E27" s="20" t="inlineStr">
        <is>
          <t>1.047 SOL</t>
        </is>
      </c>
      <c r="F27" s="20" t="inlineStr">
        <is>
          <t>1.021 SOL</t>
        </is>
      </c>
      <c r="G27" s="21" t="inlineStr">
        <is>
          <t>-0.026 SOL</t>
        </is>
      </c>
      <c r="H27" s="21" t="inlineStr">
        <is>
          <t>-2.47%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30.10.2024 04:01:48</t>
        </is>
      </c>
      <c r="M27" s="20" t="inlineStr">
        <is>
          <t>1 hours</t>
        </is>
      </c>
      <c r="N27" s="20" t="inlineStr">
        <is>
          <t xml:space="preserve">          5K             5K             5K</t>
        </is>
      </c>
      <c r="O27" s="20" t="inlineStr">
        <is>
          <t>A5zAzUdAATSzMyufnEMhZ8KzGzKSyPWc4EZ9s94jpump</t>
        </is>
      </c>
      <c r="P27" s="20">
        <f>HYPERLINK("https://photon-sol.tinyastro.io/en/lp/A5zAzUdAATSzMyufnEMhZ8KzGzKSyPWc4EZ9s94jpump?handle=676050794bc1b1657a56b", "View")</f>
        <v/>
      </c>
    </row>
    <row r="28">
      <c r="A28" s="15" t="inlineStr">
        <is>
          <t>SOCC</t>
        </is>
      </c>
      <c r="B28" s="16" t="n">
        <v>35118344</v>
      </c>
      <c r="C28" s="16" t="n">
        <v>35118344</v>
      </c>
      <c r="D28" s="16" t="inlineStr">
        <is>
          <t>0.000110</t>
        </is>
      </c>
      <c r="E28" s="16" t="inlineStr">
        <is>
          <t>1.122 SOL</t>
        </is>
      </c>
      <c r="F28" s="16" t="inlineStr">
        <is>
          <t>1.112 SOL</t>
        </is>
      </c>
      <c r="G28" s="21" t="inlineStr">
        <is>
          <t>-0.010 SOL</t>
        </is>
      </c>
      <c r="H28" s="21" t="inlineStr">
        <is>
          <t>-0.88%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30.10.2024 01:42:45</t>
        </is>
      </c>
      <c r="M28" s="16" t="inlineStr">
        <is>
          <t>21 min</t>
        </is>
      </c>
      <c r="N28" s="16" t="inlineStr">
        <is>
          <t xml:space="preserve">        N/A           N/A           N/A</t>
        </is>
      </c>
      <c r="O28" s="16" t="inlineStr">
        <is>
          <t>F9D1UywLK9RwEGDYkWfWCzSEEVqJE55qifvmyxuapump</t>
        </is>
      </c>
      <c r="P28" s="16">
        <f>HYPERLINK("https://photon-sol.tinyastro.io/en/lp/F9D1UywLK9RwEGDYkWfWCzSEEVqJE55qifvmyxuapump?handle=676050794bc1b1657a56b", "View")</f>
        <v/>
      </c>
    </row>
    <row r="29">
      <c r="A29" s="19" t="inlineStr">
        <is>
          <t>BCAT</t>
        </is>
      </c>
      <c r="B29" s="20" t="n">
        <v>33496358</v>
      </c>
      <c r="C29" s="20" t="n">
        <v>33496358</v>
      </c>
      <c r="D29" s="20" t="inlineStr">
        <is>
          <t>0.000110</t>
        </is>
      </c>
      <c r="E29" s="20" t="inlineStr">
        <is>
          <t>1.047 SOL</t>
        </is>
      </c>
      <c r="F29" s="20" t="inlineStr">
        <is>
          <t>1.022 SOL</t>
        </is>
      </c>
      <c r="G29" s="21" t="inlineStr">
        <is>
          <t>-0.026 SOL</t>
        </is>
      </c>
      <c r="H29" s="21" t="inlineStr">
        <is>
          <t>-2.44%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30.10.2024 01:13:02</t>
        </is>
      </c>
      <c r="M29" s="20" t="inlineStr">
        <is>
          <t>6 min</t>
        </is>
      </c>
      <c r="N29" s="20" t="inlineStr">
        <is>
          <t xml:space="preserve">        N/A           N/A           N/A</t>
        </is>
      </c>
      <c r="O29" s="20" t="inlineStr">
        <is>
          <t>CamoYAsB1fN3Uc23v1jKSVTLkC2YYVF2wwifgE6qo26Q</t>
        </is>
      </c>
      <c r="P29" s="20">
        <f>HYPERLINK("https://photon-sol.tinyastro.io/en/lp/CamoYAsB1fN3Uc23v1jKSVTLkC2YYVF2wwifgE6qo26Q?handle=676050794bc1b1657a56b", "View")</f>
        <v/>
      </c>
    </row>
    <row r="30">
      <c r="A30" s="15" t="inlineStr">
        <is>
          <t>Holy Women</t>
        </is>
      </c>
      <c r="B30" s="16" t="n">
        <v>30608387</v>
      </c>
      <c r="C30" s="16" t="n">
        <v>0</v>
      </c>
      <c r="D30" s="16" t="inlineStr">
        <is>
          <t>0.000060</t>
        </is>
      </c>
      <c r="E30" s="16" t="inlineStr">
        <is>
          <t>1.124 SOL</t>
        </is>
      </c>
      <c r="F30" s="16" t="inlineStr">
        <is>
          <t>0.000 SOL</t>
        </is>
      </c>
      <c r="G30" s="17" t="inlineStr">
        <is>
          <t>-1.124 SOL</t>
        </is>
      </c>
      <c r="H30" s="17" t="inlineStr">
        <is>
          <t>0.00%</t>
        </is>
      </c>
      <c r="I30" s="16" t="inlineStr">
        <is>
          <t>30,608,387</t>
        </is>
      </c>
      <c r="J30" s="16" t="n">
        <v>1</v>
      </c>
      <c r="K30" s="16" t="n">
        <v>0</v>
      </c>
      <c r="L30" s="16" t="inlineStr">
        <is>
          <t>29.10.2024 16:34:36</t>
        </is>
      </c>
      <c r="M30" s="18" t="inlineStr">
        <is>
          <t>0 sec</t>
        </is>
      </c>
      <c r="N30" s="16" t="inlineStr">
        <is>
          <t xml:space="preserve">          7K             7K             6K</t>
        </is>
      </c>
      <c r="O30" s="16" t="inlineStr">
        <is>
          <t>HuXYPvJoRcchHPyU7pMZLE9nTuV3YW9wvp5A6jPMpump</t>
        </is>
      </c>
      <c r="P30" s="16">
        <f>HYPERLINK("https://photon-sol.tinyastro.io/en/lp/HuXYPvJoRcchHPyU7pMZLE9nTuV3YW9wvp5A6jPMpump?handle=676050794bc1b1657a56b", "View")</f>
        <v/>
      </c>
    </row>
    <row r="31">
      <c r="A31" s="19" t="inlineStr">
        <is>
          <t>DOMINIC</t>
        </is>
      </c>
      <c r="B31" s="20" t="n">
        <v>16459578</v>
      </c>
      <c r="C31" s="20" t="n">
        <v>16459578</v>
      </c>
      <c r="D31" s="20" t="inlineStr">
        <is>
          <t>0.000110</t>
        </is>
      </c>
      <c r="E31" s="20" t="inlineStr">
        <is>
          <t>1.336 SOL</t>
        </is>
      </c>
      <c r="F31" s="20" t="inlineStr">
        <is>
          <t>0.707 SOL</t>
        </is>
      </c>
      <c r="G31" s="21" t="inlineStr">
        <is>
          <t>-0.629 SOL</t>
        </is>
      </c>
      <c r="H31" s="21" t="inlineStr">
        <is>
          <t>-47.07%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29.10.2024 16:04:56</t>
        </is>
      </c>
      <c r="M31" s="20" t="inlineStr">
        <is>
          <t>5 min</t>
        </is>
      </c>
      <c r="N31" s="20" t="inlineStr">
        <is>
          <t xml:space="preserve">         14K             7K             5K</t>
        </is>
      </c>
      <c r="O31" s="20" t="inlineStr">
        <is>
          <t>HtzpDN4k3irY9r1uutoerveANuba8N7cpmkvKcy1pump</t>
        </is>
      </c>
      <c r="P31" s="20">
        <f>HYPERLINK("https://photon-sol.tinyastro.io/en/lp/HtzpDN4k3irY9r1uutoerveANuba8N7cpmkvKcy1pump?handle=676050794bc1b1657a56b", "View")</f>
        <v/>
      </c>
    </row>
    <row r="32">
      <c r="A32" s="15" t="inlineStr">
        <is>
          <t>hananot</t>
        </is>
      </c>
      <c r="B32" s="16" t="n">
        <v>32979364</v>
      </c>
      <c r="C32" s="16" t="n">
        <v>32979364</v>
      </c>
      <c r="D32" s="16" t="inlineStr">
        <is>
          <t>0.000110</t>
        </is>
      </c>
      <c r="E32" s="16" t="inlineStr">
        <is>
          <t>1.047 SOL</t>
        </is>
      </c>
      <c r="F32" s="16" t="inlineStr">
        <is>
          <t>1.021 SOL</t>
        </is>
      </c>
      <c r="G32" s="21" t="inlineStr">
        <is>
          <t>-0.027 SOL</t>
        </is>
      </c>
      <c r="H32" s="21" t="inlineStr">
        <is>
          <t>-2.54%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29.10.2024 15:36:20</t>
        </is>
      </c>
      <c r="M32" s="16" t="inlineStr">
        <is>
          <t>19 min</t>
        </is>
      </c>
      <c r="N32" s="16" t="inlineStr">
        <is>
          <t xml:space="preserve">          5K             5K             5K</t>
        </is>
      </c>
      <c r="O32" s="16" t="inlineStr">
        <is>
          <t>DxRhMJbosapyZhu6f2VTi1UTvzGJ4so67mecMiXXpump</t>
        </is>
      </c>
      <c r="P32" s="16">
        <f>HYPERLINK("https://photon-sol.tinyastro.io/en/lp/DxRhMJbosapyZhu6f2VTi1UTvzGJ4so67mecMiXXpump?handle=676050794bc1b1657a56b", "View")</f>
        <v/>
      </c>
    </row>
    <row r="33">
      <c r="A33" s="19" t="inlineStr">
        <is>
          <t>🐕</t>
        </is>
      </c>
      <c r="B33" s="20" t="n">
        <v>34042007</v>
      </c>
      <c r="C33" s="20" t="n">
        <v>34042007</v>
      </c>
      <c r="D33" s="20" t="inlineStr">
        <is>
          <t>0.000110</t>
        </is>
      </c>
      <c r="E33" s="20" t="inlineStr">
        <is>
          <t>1.120 SOL</t>
        </is>
      </c>
      <c r="F33" s="20" t="inlineStr">
        <is>
          <t>1.093 SOL</t>
        </is>
      </c>
      <c r="G33" s="21" t="inlineStr">
        <is>
          <t>-0.028 SOL</t>
        </is>
      </c>
      <c r="H33" s="21" t="inlineStr">
        <is>
          <t>-2.47%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29.10.2024 13:43:53</t>
        </is>
      </c>
      <c r="M33" s="20" t="inlineStr">
        <is>
          <t>3 min</t>
        </is>
      </c>
      <c r="N33" s="20" t="inlineStr">
        <is>
          <t xml:space="preserve">        N/A           N/A           N/A</t>
        </is>
      </c>
      <c r="O33" s="20" t="inlineStr">
        <is>
          <t>Gv3H4hseqjHeLUxRduvANA5Zd7kdApDw66uc9Enzpump</t>
        </is>
      </c>
      <c r="P33" s="20">
        <f>HYPERLINK("https://photon-sol.tinyastro.io/en/lp/Gv3H4hseqjHeLUxRduvANA5Zd7kdApDw66uc9Enzpump?handle=676050794bc1b1657a56b", "View")</f>
        <v/>
      </c>
    </row>
    <row r="34">
      <c r="A34" s="15" t="inlineStr">
        <is>
          <t>Genshin</t>
        </is>
      </c>
      <c r="B34" s="16" t="n">
        <v>31816752</v>
      </c>
      <c r="C34" s="16" t="n">
        <v>31816752</v>
      </c>
      <c r="D34" s="16" t="inlineStr">
        <is>
          <t>0.000110</t>
        </is>
      </c>
      <c r="E34" s="16" t="inlineStr">
        <is>
          <t>1.046 SOL</t>
        </is>
      </c>
      <c r="F34" s="16" t="inlineStr">
        <is>
          <t>1.367 SOL</t>
        </is>
      </c>
      <c r="G34" s="22" t="inlineStr">
        <is>
          <t>0.321 SOL</t>
        </is>
      </c>
      <c r="H34" s="22" t="inlineStr">
        <is>
          <t>30.67%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29.10.2024 12:00:17</t>
        </is>
      </c>
      <c r="M34" s="16" t="inlineStr">
        <is>
          <t>25 min</t>
        </is>
      </c>
      <c r="N34" s="16" t="inlineStr">
        <is>
          <t xml:space="preserve">        N/A           N/A           N/A</t>
        </is>
      </c>
      <c r="O34" s="16" t="inlineStr">
        <is>
          <t>G2cKme7bGry5DKjwkTcq52EmvptaNnD7HSZat89ZZDVo</t>
        </is>
      </c>
      <c r="P34" s="16">
        <f>HYPERLINK("https://photon-sol.tinyastro.io/en/lp/G2cKme7bGry5DKjwkTcq52EmvptaNnD7HSZat89ZZDVo?handle=676050794bc1b1657a56b", "View")</f>
        <v/>
      </c>
    </row>
    <row r="35">
      <c r="A35" s="19" t="inlineStr">
        <is>
          <t>$DMW</t>
        </is>
      </c>
      <c r="B35" s="20" t="n">
        <v>33386991</v>
      </c>
      <c r="C35" s="20" t="n">
        <v>33386991</v>
      </c>
      <c r="D35" s="20" t="inlineStr">
        <is>
          <t>0.000110</t>
        </is>
      </c>
      <c r="E35" s="20" t="inlineStr">
        <is>
          <t>1.047 SOL</t>
        </is>
      </c>
      <c r="F35" s="20" t="inlineStr">
        <is>
          <t>1.022 SOL</t>
        </is>
      </c>
      <c r="G35" s="21" t="inlineStr">
        <is>
          <t>-0.025 SOL</t>
        </is>
      </c>
      <c r="H35" s="21" t="inlineStr">
        <is>
          <t>-2.43%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29.10.2024 10:48:21</t>
        </is>
      </c>
      <c r="M35" s="18" t="inlineStr">
        <is>
          <t>22 sec</t>
        </is>
      </c>
      <c r="N35" s="20" t="inlineStr">
        <is>
          <t xml:space="preserve">          5K             5K             5K</t>
        </is>
      </c>
      <c r="O35" s="20" t="inlineStr">
        <is>
          <t>5cJqTcDL29C4QXLM5kc9shXHkGojbLpBbDAqjNAcpump</t>
        </is>
      </c>
      <c r="P35" s="20">
        <f>HYPERLINK("https://photon-sol.tinyastro.io/en/lp/5cJqTcDL29C4QXLM5kc9shXHkGojbLpBbDAqjNAcpump?handle=676050794bc1b1657a56b", "View")</f>
        <v/>
      </c>
    </row>
    <row r="36">
      <c r="A36" s="15" t="inlineStr">
        <is>
          <t>$STARLINK</t>
        </is>
      </c>
      <c r="B36" s="16" t="n">
        <v>33421963</v>
      </c>
      <c r="C36" s="16" t="n">
        <v>33421963</v>
      </c>
      <c r="D36" s="16" t="inlineStr">
        <is>
          <t>0.000110</t>
        </is>
      </c>
      <c r="E36" s="16" t="inlineStr">
        <is>
          <t>1.047 SOL</t>
        </is>
      </c>
      <c r="F36" s="16" t="inlineStr">
        <is>
          <t>1.500 SOL</t>
        </is>
      </c>
      <c r="G36" s="22" t="inlineStr">
        <is>
          <t>0.453 SOL</t>
        </is>
      </c>
      <c r="H36" s="22" t="inlineStr">
        <is>
          <t>43.30%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29.10.2024 10:45:30</t>
        </is>
      </c>
      <c r="M36" s="18" t="inlineStr">
        <is>
          <t>47 sec</t>
        </is>
      </c>
      <c r="N36" s="16" t="inlineStr">
        <is>
          <t xml:space="preserve">        N/A           N/A           N/A</t>
        </is>
      </c>
      <c r="O36" s="16" t="inlineStr">
        <is>
          <t>Afx78xXfRofqN3at9PeFt3v46k1DNTk4DerPC5K7pump</t>
        </is>
      </c>
      <c r="P36" s="16">
        <f>HYPERLINK("https://photon-sol.tinyastro.io/en/lp/Afx78xXfRofqN3at9PeFt3v46k1DNTk4DerPC5K7pump?handle=676050794bc1b1657a56b", "View")</f>
        <v/>
      </c>
    </row>
    <row r="37">
      <c r="A37" s="19" t="inlineStr">
        <is>
          <t>SB</t>
        </is>
      </c>
      <c r="B37" s="20" t="n">
        <v>35764453</v>
      </c>
      <c r="C37" s="20" t="n">
        <v>35764453</v>
      </c>
      <c r="D37" s="20" t="inlineStr">
        <is>
          <t>0.000110</t>
        </is>
      </c>
      <c r="E37" s="20" t="inlineStr">
        <is>
          <t>1.123 SOL</t>
        </is>
      </c>
      <c r="F37" s="20" t="inlineStr">
        <is>
          <t>1.224 SOL</t>
        </is>
      </c>
      <c r="G37" s="22" t="inlineStr">
        <is>
          <t>0.101 SOL</t>
        </is>
      </c>
      <c r="H37" s="22" t="inlineStr">
        <is>
          <t>9.00%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29.10.2024 09:08:56</t>
        </is>
      </c>
      <c r="M37" s="20" t="inlineStr">
        <is>
          <t>9 min</t>
        </is>
      </c>
      <c r="N37" s="20" t="inlineStr">
        <is>
          <t xml:space="preserve">          5K             5K             5K</t>
        </is>
      </c>
      <c r="O37" s="20" t="inlineStr">
        <is>
          <t>5SjfEwyuBXnX9Jcz8xMCvRqu2hc9GFuKHB58ppmKpump</t>
        </is>
      </c>
      <c r="P37" s="20">
        <f>HYPERLINK("https://photon-sol.tinyastro.io/en/lp/5SjfEwyuBXnX9Jcz8xMCvRqu2hc9GFuKHB58ppmKpump?handle=676050794bc1b1657a56b", "View")</f>
        <v/>
      </c>
    </row>
    <row r="38">
      <c r="A38" s="15" t="inlineStr">
        <is>
          <t>HumbleZach</t>
        </is>
      </c>
      <c r="B38" s="16" t="n">
        <v>33421963</v>
      </c>
      <c r="C38" s="16" t="n">
        <v>33421963</v>
      </c>
      <c r="D38" s="16" t="inlineStr">
        <is>
          <t>0.000110</t>
        </is>
      </c>
      <c r="E38" s="16" t="inlineStr">
        <is>
          <t>1.047 SOL</t>
        </is>
      </c>
      <c r="F38" s="16" t="inlineStr">
        <is>
          <t>1.022 SOL</t>
        </is>
      </c>
      <c r="G38" s="21" t="inlineStr">
        <is>
          <t>-0.025 SOL</t>
        </is>
      </c>
      <c r="H38" s="21" t="inlineStr">
        <is>
          <t>-2.39%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29.10.2024 07:01:30</t>
        </is>
      </c>
      <c r="M38" s="16" t="inlineStr">
        <is>
          <t>13 min</t>
        </is>
      </c>
      <c r="N38" s="16" t="inlineStr">
        <is>
          <t xml:space="preserve">        N/A           N/A           N/A</t>
        </is>
      </c>
      <c r="O38" s="16" t="inlineStr">
        <is>
          <t>67P4XaJbN4Z5YjRHpVSyNGCTKeY5rhX1Jmq1zHUkamxK</t>
        </is>
      </c>
      <c r="P38" s="16">
        <f>HYPERLINK("https://photon-sol.tinyastro.io/en/lp/67P4XaJbN4Z5YjRHpVSyNGCTKeY5rhX1Jmq1zHUkamxK?handle=676050794bc1b1657a56b", "View")</f>
        <v/>
      </c>
    </row>
    <row r="39">
      <c r="A39" s="19" t="inlineStr">
        <is>
          <t>MOFA</t>
        </is>
      </c>
      <c r="B39" s="20" t="n">
        <v>3338549</v>
      </c>
      <c r="C39" s="20" t="n">
        <v>3338549</v>
      </c>
      <c r="D39" s="20" t="inlineStr">
        <is>
          <t>0.000110</t>
        </is>
      </c>
      <c r="E39" s="20" t="inlineStr">
        <is>
          <t>0.512 SOL</t>
        </is>
      </c>
      <c r="F39" s="20" t="inlineStr">
        <is>
          <t>0.893 SOL</t>
        </is>
      </c>
      <c r="G39" s="23" t="inlineStr">
        <is>
          <t>0.381 SOL</t>
        </is>
      </c>
      <c r="H39" s="23" t="inlineStr">
        <is>
          <t>74.31%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29.10.2024 06:13:09</t>
        </is>
      </c>
      <c r="M39" s="20" t="inlineStr">
        <is>
          <t>21 min</t>
        </is>
      </c>
      <c r="N39" s="20" t="inlineStr">
        <is>
          <t xml:space="preserve">        N/A           N/A           N/A</t>
        </is>
      </c>
      <c r="O39" s="20" t="inlineStr">
        <is>
          <t>5HdP98Awxbf6fSt4VuKG3P2FHSeNCceiMZXUCs57LHfb</t>
        </is>
      </c>
      <c r="P39" s="20">
        <f>HYPERLINK("https://photon-sol.tinyastro.io/en/lp/5HdP98Awxbf6fSt4VuKG3P2FHSeNCceiMZXUCs57LHfb?handle=676050794bc1b1657a56b", "View")</f>
        <v/>
      </c>
    </row>
    <row r="40">
      <c r="A40" s="15" t="inlineStr">
        <is>
          <t>Neochibi</t>
        </is>
      </c>
      <c r="B40" s="16" t="n">
        <v>33029786</v>
      </c>
      <c r="C40" s="16" t="n">
        <v>33029786</v>
      </c>
      <c r="D40" s="16" t="inlineStr">
        <is>
          <t>0.000110</t>
        </is>
      </c>
      <c r="E40" s="16" t="inlineStr">
        <is>
          <t>1.047 SOL</t>
        </is>
      </c>
      <c r="F40" s="16" t="inlineStr">
        <is>
          <t>1.071 SOL</t>
        </is>
      </c>
      <c r="G40" s="22" t="inlineStr">
        <is>
          <t>0.024 SOL</t>
        </is>
      </c>
      <c r="H40" s="22" t="inlineStr">
        <is>
          <t>2.29%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29.10.2024 05:44:41</t>
        </is>
      </c>
      <c r="M40" s="16" t="inlineStr">
        <is>
          <t>1 hours</t>
        </is>
      </c>
      <c r="N40" s="16" t="inlineStr">
        <is>
          <t xml:space="preserve">          5K             5K             5K</t>
        </is>
      </c>
      <c r="O40" s="16" t="inlineStr">
        <is>
          <t>48LFbVMZYxcTH8GCqQ1TP6G7LyWtJRVP2TQpfY2Xpump</t>
        </is>
      </c>
      <c r="P40" s="16">
        <f>HYPERLINK("https://photon-sol.tinyastro.io/en/lp/48LFbVMZYxcTH8GCqQ1TP6G7LyWtJRVP2TQpfY2Xpump?handle=676050794bc1b1657a56b", "View")</f>
        <v/>
      </c>
    </row>
    <row r="41">
      <c r="A41" s="19" t="inlineStr">
        <is>
          <t>CATHOLICTV</t>
        </is>
      </c>
      <c r="B41" s="20" t="n">
        <v>22800298</v>
      </c>
      <c r="C41" s="20" t="n">
        <v>22800298</v>
      </c>
      <c r="D41" s="20" t="inlineStr">
        <is>
          <t>0.000110</t>
        </is>
      </c>
      <c r="E41" s="20" t="inlineStr">
        <is>
          <t>1.041 SOL</t>
        </is>
      </c>
      <c r="F41" s="20" t="inlineStr">
        <is>
          <t>1.044 SOL</t>
        </is>
      </c>
      <c r="G41" s="22" t="inlineStr">
        <is>
          <t>0.002 SOL</t>
        </is>
      </c>
      <c r="H41" s="22" t="inlineStr">
        <is>
          <t>0.22%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29.10.2024 01:17:17</t>
        </is>
      </c>
      <c r="M41" s="20" t="inlineStr">
        <is>
          <t>1 hours</t>
        </is>
      </c>
      <c r="N41" s="20" t="inlineStr">
        <is>
          <t xml:space="preserve">          9K             9K             5K</t>
        </is>
      </c>
      <c r="O41" s="20" t="inlineStr">
        <is>
          <t>29qKdXKsZds3go2FAXtNgsm7rPZZuzpRNApRfco1pump</t>
        </is>
      </c>
      <c r="P41" s="20">
        <f>HYPERLINK("https://photon-sol.tinyastro.io/en/lp/29qKdXKsZds3go2FAXtNgsm7rPZZuzpRNApRfco1pump?handle=676050794bc1b1657a56b", "View")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30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HYPERLINK("https://gmgn.ai/sol/address/H9AcEk9znmS8ZHejkZyR8CZre3ca74PdAF34yNYPVFuy", "GMGN")</f>
        <v/>
      </c>
    </row>
    <row r="2">
      <c r="A2" s="3" t="inlineStr">
        <is>
          <t>H9AcEk9znmS8ZHejkZyR8CZre3ca74PdAF34yNYPVFuy</t>
        </is>
      </c>
      <c r="B2" s="3" t="inlineStr">
        <is>
          <t>5.15 SOL</t>
        </is>
      </c>
      <c r="C2" s="3" t="inlineStr">
        <is>
          <t>16%</t>
        </is>
      </c>
      <c r="D2" s="3" t="inlineStr">
        <is>
          <t>-26%</t>
        </is>
      </c>
      <c r="E2" s="3" t="inlineStr">
        <is>
          <t>-75.55 SOL</t>
        </is>
      </c>
      <c r="F2" s="3" t="inlineStr">
        <is>
          <t>0 (0%)</t>
        </is>
      </c>
      <c r="G2" s="3" t="inlineStr">
        <is>
          <t>0 (0%)</t>
        </is>
      </c>
      <c r="H2" s="3" t="n">
        <v>289</v>
      </c>
      <c r="I2" s="3" t="n">
        <v>84</v>
      </c>
      <c r="J2" s="3" t="inlineStr">
        <is>
          <t>23 days</t>
        </is>
      </c>
      <c r="K2" s="3" t="inlineStr">
        <is>
          <t>10 h</t>
        </is>
      </c>
      <c r="L2" s="3" t="n">
        <v>0</v>
      </c>
      <c r="M2" s="3" t="n">
        <v>140</v>
      </c>
      <c r="N2" s="3">
        <f>HYPERLINK("https://solscan.io/account/H9AcEk9znmS8ZHejkZyR8CZre3ca74PdAF34yNYPVFuy", "Solscan")</f>
        <v/>
      </c>
    </row>
    <row r="3">
      <c r="A3" s="6" t="inlineStr">
        <is>
          <t>Median ROI</t>
        </is>
      </c>
      <c r="B3" s="5" t="inlineStr">
        <is>
          <t>-100.00%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HYPERLINK("https://birdeye.so/profile/H9AcEk9znmS8ZHejkZyR8CZre3ca74PdAF34yNYPVFuy", "Birdeye")</f>
        <v/>
      </c>
    </row>
    <row r="4">
      <c r="A4" s="6" t="inlineStr">
        <is>
          <t>Rockets percent</t>
        </is>
      </c>
      <c r="B4" s="3" t="inlineStr">
        <is>
          <t>11%</t>
        </is>
      </c>
      <c r="C4" s="3" t="inlineStr"/>
      <c r="D4" s="3" t="inlineStr">
        <is>
          <t>13%</t>
        </is>
      </c>
      <c r="E4" s="3" t="inlineStr">
        <is>
          <t>38.35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122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10</v>
      </c>
      <c r="C10" s="6" t="n">
        <v>21</v>
      </c>
      <c r="D10" s="6" t="n">
        <v>6</v>
      </c>
      <c r="E10" s="6" t="n">
        <v>9</v>
      </c>
      <c r="F10" s="6" t="n">
        <v>15</v>
      </c>
      <c r="G10" s="6" t="n">
        <v>228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3.5%</t>
        </is>
      </c>
      <c r="C11" s="6" t="inlineStr">
        <is>
          <t>7.3%</t>
        </is>
      </c>
      <c r="D11" s="6" t="inlineStr">
        <is>
          <t>2.1%</t>
        </is>
      </c>
      <c r="E11" s="6" t="inlineStr">
        <is>
          <t>3.1%</t>
        </is>
      </c>
      <c r="F11" s="6" t="inlineStr">
        <is>
          <t>5.2%</t>
        </is>
      </c>
      <c r="G11" s="6" t="inlineStr">
        <is>
          <t>78.9%</t>
        </is>
      </c>
      <c r="H11" s="3" t="n"/>
      <c r="I11" s="3" t="inlineStr">
        <is>
          <t>5k-30k</t>
        </is>
      </c>
      <c r="J11" s="3" t="inlineStr">
        <is>
          <t>11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81.4 SOL</t>
        </is>
      </c>
      <c r="C12" s="6" t="inlineStr">
        <is>
          <t>58.3 SOL</t>
        </is>
      </c>
      <c r="D12" s="6" t="inlineStr">
        <is>
          <t>4.3 SOL</t>
        </is>
      </c>
      <c r="E12" s="6" t="inlineStr">
        <is>
          <t>1.7 SOL</t>
        </is>
      </c>
      <c r="F12" s="6" t="inlineStr">
        <is>
          <t>-3.2 SOL</t>
        </is>
      </c>
      <c r="G12" s="6" t="inlineStr">
        <is>
          <t>-218.0 SOL</t>
        </is>
      </c>
      <c r="H12" s="3" t="n"/>
      <c r="I12" s="3" t="inlineStr">
        <is>
          <t>30k-100k</t>
        </is>
      </c>
      <c r="J12" s="3" t="inlineStr">
        <is>
          <t>93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113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61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135.0K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BUIO</t>
        </is>
      </c>
      <c r="B20" s="16" t="n">
        <v>578521</v>
      </c>
      <c r="C20" s="16" t="n">
        <v>553481</v>
      </c>
      <c r="D20" s="16" t="inlineStr">
        <is>
          <t>0.000030</t>
        </is>
      </c>
      <c r="E20" s="16" t="inlineStr">
        <is>
          <t>0.980 SOL</t>
        </is>
      </c>
      <c r="F20" s="16" t="inlineStr">
        <is>
          <t>4.624 SOL</t>
        </is>
      </c>
      <c r="G20" s="23" t="inlineStr">
        <is>
          <t>3.644 SOL</t>
        </is>
      </c>
      <c r="H20" s="23" t="inlineStr">
        <is>
          <t>371.81%</t>
        </is>
      </c>
      <c r="I20" s="16" t="inlineStr">
        <is>
          <t>N/A</t>
        </is>
      </c>
      <c r="J20" s="16" t="n">
        <v>1</v>
      </c>
      <c r="K20" s="16" t="n">
        <v>4</v>
      </c>
      <c r="L20" s="16" t="inlineStr">
        <is>
          <t>30.10.2024 21:32:09</t>
        </is>
      </c>
      <c r="M20" s="16" t="inlineStr">
        <is>
          <t>22 hours</t>
        </is>
      </c>
      <c r="N20" s="16" t="inlineStr">
        <is>
          <t xml:space="preserve">        297K           994K           175K</t>
        </is>
      </c>
      <c r="O20" s="16" t="inlineStr">
        <is>
          <t>CaPS8EpC78RsnDdjNfZGd7Wjdg9156ijvC1aFcA1pump</t>
        </is>
      </c>
      <c r="P20" s="16">
        <f>HYPERLINK("https://dexscreener.com/solana/CaPS8EpC78RsnDdjNfZGd7Wjdg9156ijvC1aFcA1pump", "View")</f>
        <v/>
      </c>
    </row>
    <row r="21">
      <c r="A21" s="19" t="inlineStr">
        <is>
          <t>duck</t>
        </is>
      </c>
      <c r="B21" s="20" t="n">
        <v>2259955</v>
      </c>
      <c r="C21" s="20" t="n">
        <v>2033959</v>
      </c>
      <c r="D21" s="20" t="inlineStr">
        <is>
          <t>0.000010</t>
        </is>
      </c>
      <c r="E21" s="20" t="inlineStr">
        <is>
          <t>0.980 SOL</t>
        </is>
      </c>
      <c r="F21" s="20" t="inlineStr">
        <is>
          <t>0.073 SOL</t>
        </is>
      </c>
      <c r="G21" s="24" t="inlineStr">
        <is>
          <t>-0.907 SOL</t>
        </is>
      </c>
      <c r="H21" s="24" t="inlineStr">
        <is>
          <t>-92.57%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21:09:08</t>
        </is>
      </c>
      <c r="M21" s="20" t="inlineStr">
        <is>
          <t>47 min</t>
        </is>
      </c>
      <c r="N21" s="20" t="inlineStr">
        <is>
          <t xml:space="preserve">         76K            76K             5K</t>
        </is>
      </c>
      <c r="O21" s="20" t="inlineStr">
        <is>
          <t>DLhsuLGQMpfq4mZ6R5ng1Y8dmgZjTZLLUErwkKChdjBw</t>
        </is>
      </c>
      <c r="P21" s="20">
        <f>HYPERLINK("https://dexscreener.com/solana/DLhsuLGQMpfq4mZ6R5ng1Y8dmgZjTZLLUErwkKChdjBw", "View")</f>
        <v/>
      </c>
    </row>
    <row r="22">
      <c r="A22" s="15" t="inlineStr">
        <is>
          <t>POPGHOST</t>
        </is>
      </c>
      <c r="B22" s="16" t="n">
        <v>2367066</v>
      </c>
      <c r="C22" s="16" t="n">
        <v>2130359</v>
      </c>
      <c r="D22" s="16" t="inlineStr">
        <is>
          <t>0.000010</t>
        </is>
      </c>
      <c r="E22" s="16" t="inlineStr">
        <is>
          <t>0.980 SOL</t>
        </is>
      </c>
      <c r="F22" s="16" t="inlineStr">
        <is>
          <t>0.073 SOL</t>
        </is>
      </c>
      <c r="G22" s="24" t="inlineStr">
        <is>
          <t>-0.907 SOL</t>
        </is>
      </c>
      <c r="H22" s="24" t="inlineStr">
        <is>
          <t>-92.51%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20:48:11</t>
        </is>
      </c>
      <c r="M22" s="16" t="inlineStr">
        <is>
          <t>1 days</t>
        </is>
      </c>
      <c r="N22" s="16" t="inlineStr">
        <is>
          <t xml:space="preserve">         72K            72K             6K</t>
        </is>
      </c>
      <c r="O22" s="16" t="inlineStr">
        <is>
          <t>F5SJSDyYbCdHPrnzGnQwzTeUkVMBgV4mp1WnifJ4pump</t>
        </is>
      </c>
      <c r="P22" s="16">
        <f>HYPERLINK("https://dexscreener.com/solana/F5SJSDyYbCdHPrnzGnQwzTeUkVMBgV4mp1WnifJ4pump", "View")</f>
        <v/>
      </c>
    </row>
    <row r="23">
      <c r="A23" s="19" t="inlineStr">
        <is>
          <t>BBC</t>
        </is>
      </c>
      <c r="B23" s="20" t="n">
        <v>941651</v>
      </c>
      <c r="C23" s="20" t="n">
        <v>141247</v>
      </c>
      <c r="D23" s="20" t="inlineStr">
        <is>
          <t>0.000010</t>
        </is>
      </c>
      <c r="E23" s="20" t="inlineStr">
        <is>
          <t>0.980 SOL</t>
        </is>
      </c>
      <c r="F23" s="20" t="inlineStr">
        <is>
          <t>0.606 SOL</t>
        </is>
      </c>
      <c r="G23" s="21" t="inlineStr">
        <is>
          <t>-0.374 SOL</t>
        </is>
      </c>
      <c r="H23" s="21" t="inlineStr">
        <is>
          <t>-38.13%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20:27:19</t>
        </is>
      </c>
      <c r="M23" s="20" t="inlineStr">
        <is>
          <t>41 min</t>
        </is>
      </c>
      <c r="N23" s="20" t="inlineStr">
        <is>
          <t xml:space="preserve">        183K           183K           229K</t>
        </is>
      </c>
      <c r="O23" s="20" t="inlineStr">
        <is>
          <t>2HQNZnHC5uz9duy3YMWAp75KXQ3nSCymeJR7Yh3Mpump</t>
        </is>
      </c>
      <c r="P23" s="20">
        <f>HYPERLINK("https://dexscreener.com/solana/2HQNZnHC5uz9duy3YMWAp75KXQ3nSCymeJR7Yh3Mpump", "View")</f>
        <v/>
      </c>
    </row>
    <row r="24">
      <c r="A24" s="15" t="inlineStr">
        <is>
          <t>POPBAT</t>
        </is>
      </c>
      <c r="B24" s="16" t="n">
        <v>1956234</v>
      </c>
      <c r="C24" s="16" t="n">
        <v>0</v>
      </c>
      <c r="D24" s="16" t="inlineStr">
        <is>
          <t>0.000010</t>
        </is>
      </c>
      <c r="E24" s="16" t="inlineStr">
        <is>
          <t>0.980 SOL</t>
        </is>
      </c>
      <c r="F24" s="16" t="inlineStr">
        <is>
          <t>0.000 SOL</t>
        </is>
      </c>
      <c r="G24" s="17" t="inlineStr">
        <is>
          <t>-0.980 SOL</t>
        </is>
      </c>
      <c r="H24" s="17" t="inlineStr">
        <is>
          <t>0.00%</t>
        </is>
      </c>
      <c r="I24" s="16" t="inlineStr">
        <is>
          <t>1,956,234</t>
        </is>
      </c>
      <c r="J24" s="16" t="n">
        <v>1</v>
      </c>
      <c r="K24" s="16" t="n">
        <v>0</v>
      </c>
      <c r="L24" s="16" t="inlineStr">
        <is>
          <t>30.10.2024 20:15:33</t>
        </is>
      </c>
      <c r="M24" s="18" t="inlineStr">
        <is>
          <t>0 sec</t>
        </is>
      </c>
      <c r="N24" s="16" t="inlineStr">
        <is>
          <t xml:space="preserve">         88K            88K            30K</t>
        </is>
      </c>
      <c r="O24" s="16" t="inlineStr">
        <is>
          <t>J12B5NaWzCn57tr2UKdvVnYbiAN5iH6zxsxD2GnHmKcj</t>
        </is>
      </c>
      <c r="P24" s="16">
        <f>HYPERLINK("https://dexscreener.com/solana/J12B5NaWzCn57tr2UKdvVnYbiAN5iH6zxsxD2GnHmKcj", "View")</f>
        <v/>
      </c>
    </row>
    <row r="25">
      <c r="A25" s="19" t="inlineStr">
        <is>
          <t>HENRY</t>
        </is>
      </c>
      <c r="B25" s="20" t="n">
        <v>3646089</v>
      </c>
      <c r="C25" s="20" t="n">
        <v>0</v>
      </c>
      <c r="D25" s="20" t="inlineStr">
        <is>
          <t>0.000010</t>
        </is>
      </c>
      <c r="E25" s="20" t="inlineStr">
        <is>
          <t>0.980 SOL</t>
        </is>
      </c>
      <c r="F25" s="20" t="inlineStr">
        <is>
          <t>0.000 SOL</t>
        </is>
      </c>
      <c r="G25" s="17" t="inlineStr">
        <is>
          <t>-0.980 SOL</t>
        </is>
      </c>
      <c r="H25" s="17" t="inlineStr">
        <is>
          <t>0.00%</t>
        </is>
      </c>
      <c r="I25" s="20" t="inlineStr">
        <is>
          <t>3,646,089</t>
        </is>
      </c>
      <c r="J25" s="20" t="n">
        <v>1</v>
      </c>
      <c r="K25" s="20" t="n">
        <v>0</v>
      </c>
      <c r="L25" s="20" t="inlineStr">
        <is>
          <t>30.10.2024 20:15:19</t>
        </is>
      </c>
      <c r="M25" s="18" t="inlineStr">
        <is>
          <t>0 sec</t>
        </is>
      </c>
      <c r="N25" s="20" t="inlineStr">
        <is>
          <t xml:space="preserve">         47K            47K           126K</t>
        </is>
      </c>
      <c r="O25" s="20" t="inlineStr">
        <is>
          <t>4dLCbmG6LRrW4DUgDnpuctayzzQVp3urQqBnLQSApump</t>
        </is>
      </c>
      <c r="P25" s="20">
        <f>HYPERLINK("https://dexscreener.com/solana/4dLCbmG6LRrW4DUgDnpuctayzzQVp3urQqBnLQSApump", "View")</f>
        <v/>
      </c>
    </row>
    <row r="26">
      <c r="A26" s="15" t="inlineStr">
        <is>
          <t>GOP</t>
        </is>
      </c>
      <c r="B26" s="16" t="n">
        <v>1835620</v>
      </c>
      <c r="C26" s="16" t="n">
        <v>1652057</v>
      </c>
      <c r="D26" s="16" t="inlineStr">
        <is>
          <t>0.000010</t>
        </is>
      </c>
      <c r="E26" s="16" t="inlineStr">
        <is>
          <t>0.980 SOL</t>
        </is>
      </c>
      <c r="F26" s="16" t="inlineStr">
        <is>
          <t>0.046 SOL</t>
        </is>
      </c>
      <c r="G26" s="24" t="inlineStr">
        <is>
          <t>-0.934 SOL</t>
        </is>
      </c>
      <c r="H26" s="24" t="inlineStr">
        <is>
          <t>-95.28%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30.10.2024 19:34:11</t>
        </is>
      </c>
      <c r="M26" s="16" t="inlineStr">
        <is>
          <t>20 hours</t>
        </is>
      </c>
      <c r="N26" s="16" t="inlineStr">
        <is>
          <t xml:space="preserve">         93K            93K             5K</t>
        </is>
      </c>
      <c r="O26" s="16" t="inlineStr">
        <is>
          <t>m36WDe5v164ZSGz9s2bfBikiWGXzoT9ej8r9xrZpump</t>
        </is>
      </c>
      <c r="P26" s="16">
        <f>HYPERLINK("https://dexscreener.com/solana/m36WDe5v164ZSGz9s2bfBikiWGXzoT9ej8r9xrZpump", "View")</f>
        <v/>
      </c>
    </row>
    <row r="27">
      <c r="A27" s="19" t="inlineStr">
        <is>
          <t>BOOM</t>
        </is>
      </c>
      <c r="B27" s="20" t="n">
        <v>1093839</v>
      </c>
      <c r="C27" s="20" t="n">
        <v>0</v>
      </c>
      <c r="D27" s="20" t="inlineStr">
        <is>
          <t>0.000010</t>
        </is>
      </c>
      <c r="E27" s="20" t="inlineStr">
        <is>
          <t>0.980 SOL</t>
        </is>
      </c>
      <c r="F27" s="20" t="inlineStr">
        <is>
          <t>0.000 SOL</t>
        </is>
      </c>
      <c r="G27" s="17" t="inlineStr">
        <is>
          <t>-0.980 SOL</t>
        </is>
      </c>
      <c r="H27" s="17" t="inlineStr">
        <is>
          <t>0.00%</t>
        </is>
      </c>
      <c r="I27" s="20" t="inlineStr">
        <is>
          <t>1,093,839</t>
        </is>
      </c>
      <c r="J27" s="20" t="n">
        <v>1</v>
      </c>
      <c r="K27" s="20" t="n">
        <v>0</v>
      </c>
      <c r="L27" s="20" t="inlineStr">
        <is>
          <t>30.10.2024 19:24:16</t>
        </is>
      </c>
      <c r="M27" s="18" t="inlineStr">
        <is>
          <t>0 sec</t>
        </is>
      </c>
      <c r="N27" s="20" t="inlineStr">
        <is>
          <t xml:space="preserve">        158K           158K            17K</t>
        </is>
      </c>
      <c r="O27" s="20" t="inlineStr">
        <is>
          <t>FjqmRY2wjdBCJ4MdhtZctKGYWG5q9k9zNHa7kguQpump</t>
        </is>
      </c>
      <c r="P27" s="20">
        <f>HYPERLINK("https://dexscreener.com/solana/FjqmRY2wjdBCJ4MdhtZctKGYWG5q9k9zNHa7kguQpump", "View")</f>
        <v/>
      </c>
    </row>
    <row r="28">
      <c r="A28" s="15" t="inlineStr">
        <is>
          <t>TEE</t>
        </is>
      </c>
      <c r="B28" s="16" t="n">
        <v>418404</v>
      </c>
      <c r="C28" s="16" t="n">
        <v>376563</v>
      </c>
      <c r="D28" s="16" t="inlineStr">
        <is>
          <t>0.000010</t>
        </is>
      </c>
      <c r="E28" s="16" t="inlineStr">
        <is>
          <t>0.980 SOL</t>
        </is>
      </c>
      <c r="F28" s="16" t="inlineStr">
        <is>
          <t>0.120 SOL</t>
        </is>
      </c>
      <c r="G28" s="24" t="inlineStr">
        <is>
          <t>-0.860 SOL</t>
        </is>
      </c>
      <c r="H28" s="24" t="inlineStr">
        <is>
          <t>-87.75%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30.10.2024 19:04:12</t>
        </is>
      </c>
      <c r="M28" s="16" t="inlineStr">
        <is>
          <t>16 hours</t>
        </is>
      </c>
      <c r="N28" s="16" t="inlineStr">
        <is>
          <t xml:space="preserve">        411K           411K            53K</t>
        </is>
      </c>
      <c r="O28" s="16" t="inlineStr">
        <is>
          <t>4sAPg3M6bEHrNinqfvfdSTAzCvmaG5Ao799bAt3Bpump</t>
        </is>
      </c>
      <c r="P28" s="16">
        <f>HYPERLINK("https://dexscreener.com/solana/4sAPg3M6bEHrNinqfvfdSTAzCvmaG5Ao799bAt3Bpump", "View")</f>
        <v/>
      </c>
    </row>
    <row r="29">
      <c r="A29" s="19" t="inlineStr">
        <is>
          <t>EARL</t>
        </is>
      </c>
      <c r="B29" s="20" t="n">
        <v>296688</v>
      </c>
      <c r="C29" s="20" t="n">
        <v>0</v>
      </c>
      <c r="D29" s="20" t="inlineStr">
        <is>
          <t>0.000010</t>
        </is>
      </c>
      <c r="E29" s="20" t="inlineStr">
        <is>
          <t>0.980 SOL</t>
        </is>
      </c>
      <c r="F29" s="20" t="inlineStr">
        <is>
          <t>0.000 SOL</t>
        </is>
      </c>
      <c r="G29" s="17" t="inlineStr">
        <is>
          <t>-0.980 SOL</t>
        </is>
      </c>
      <c r="H29" s="17" t="inlineStr">
        <is>
          <t>0.00%</t>
        </is>
      </c>
      <c r="I29" s="20" t="inlineStr">
        <is>
          <t>296,688</t>
        </is>
      </c>
      <c r="J29" s="20" t="n">
        <v>1</v>
      </c>
      <c r="K29" s="20" t="n">
        <v>0</v>
      </c>
      <c r="L29" s="20" t="inlineStr">
        <is>
          <t>30.10.2024 19:03:17</t>
        </is>
      </c>
      <c r="M29" s="18" t="inlineStr">
        <is>
          <t>0 sec</t>
        </is>
      </c>
      <c r="N29" s="20" t="inlineStr">
        <is>
          <t xml:space="preserve">        580K           580K           732K</t>
        </is>
      </c>
      <c r="O29" s="20" t="inlineStr">
        <is>
          <t>BjjvKX5k7gQoGRmvQAA5WMr7EkQ2cirGTSGxAznDpump</t>
        </is>
      </c>
      <c r="P29" s="20">
        <f>HYPERLINK("https://dexscreener.com/solana/BjjvKX5k7gQoGRmvQAA5WMr7EkQ2cirGTSGxAznDpump", "View")</f>
        <v/>
      </c>
    </row>
    <row r="30">
      <c r="A30" s="15" t="inlineStr">
        <is>
          <t>MOMO</t>
        </is>
      </c>
      <c r="B30" s="16" t="n">
        <v>1533532</v>
      </c>
      <c r="C30" s="16" t="n">
        <v>1380179</v>
      </c>
      <c r="D30" s="16" t="inlineStr">
        <is>
          <t>0.000010</t>
        </is>
      </c>
      <c r="E30" s="16" t="inlineStr">
        <is>
          <t>0.980 SOL</t>
        </is>
      </c>
      <c r="F30" s="16" t="inlineStr">
        <is>
          <t>0.167 SOL</t>
        </is>
      </c>
      <c r="G30" s="24" t="inlineStr">
        <is>
          <t>-0.814 SOL</t>
        </is>
      </c>
      <c r="H30" s="24" t="inlineStr">
        <is>
          <t>-83.00%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30.10.2024 17:06:10</t>
        </is>
      </c>
      <c r="M30" s="16" t="inlineStr">
        <is>
          <t>38 min</t>
        </is>
      </c>
      <c r="N30" s="16" t="inlineStr">
        <is>
          <t xml:space="preserve">        112K           112K             9K</t>
        </is>
      </c>
      <c r="O30" s="16" t="inlineStr">
        <is>
          <t>4FieKJu1twj631v1NbDdpocqWS72Up36N3Lf3C1dpump</t>
        </is>
      </c>
      <c r="P30" s="16">
        <f>HYPERLINK("https://dexscreener.com/solana/4FieKJu1twj631v1NbDdpocqWS72Up36N3Lf3C1dpump", "View")</f>
        <v/>
      </c>
    </row>
    <row r="31">
      <c r="A31" s="19" t="inlineStr">
        <is>
          <t>BIBIYAN</t>
        </is>
      </c>
      <c r="B31" s="20" t="n">
        <v>2728850</v>
      </c>
      <c r="C31" s="20" t="n">
        <v>0</v>
      </c>
      <c r="D31" s="20" t="inlineStr">
        <is>
          <t>0.000010</t>
        </is>
      </c>
      <c r="E31" s="20" t="inlineStr">
        <is>
          <t>0.980 SOL</t>
        </is>
      </c>
      <c r="F31" s="20" t="inlineStr">
        <is>
          <t>0.000 SOL</t>
        </is>
      </c>
      <c r="G31" s="17" t="inlineStr">
        <is>
          <t>-0.980 SOL</t>
        </is>
      </c>
      <c r="H31" s="17" t="inlineStr">
        <is>
          <t>0.00%</t>
        </is>
      </c>
      <c r="I31" s="20" t="inlineStr">
        <is>
          <t>2,728,850</t>
        </is>
      </c>
      <c r="J31" s="20" t="n">
        <v>1</v>
      </c>
      <c r="K31" s="20" t="n">
        <v>0</v>
      </c>
      <c r="L31" s="20" t="inlineStr">
        <is>
          <t>30.10.2024 15:51:22</t>
        </is>
      </c>
      <c r="M31" s="18" t="inlineStr">
        <is>
          <t>0 sec</t>
        </is>
      </c>
      <c r="N31" s="20" t="inlineStr">
        <is>
          <t xml:space="preserve">         63K            63K            12K</t>
        </is>
      </c>
      <c r="O31" s="20" t="inlineStr">
        <is>
          <t>3sgPgFo9RfvMufVKXpM7KDNiQnF4XsNN8JzW6Efypump</t>
        </is>
      </c>
      <c r="P31" s="20">
        <f>HYPERLINK("https://dexscreener.com/solana/3sgPgFo9RfvMufVKXpM7KDNiQnF4XsNN8JzW6Efypump", "View")</f>
        <v/>
      </c>
    </row>
    <row r="32">
      <c r="A32" s="15" t="inlineStr">
        <is>
          <t>Done</t>
        </is>
      </c>
      <c r="B32" s="16" t="n">
        <v>971464</v>
      </c>
      <c r="C32" s="16" t="n">
        <v>874317</v>
      </c>
      <c r="D32" s="16" t="inlineStr">
        <is>
          <t>0.000010</t>
        </is>
      </c>
      <c r="E32" s="16" t="inlineStr">
        <is>
          <t>0.980 SOL</t>
        </is>
      </c>
      <c r="F32" s="16" t="inlineStr">
        <is>
          <t>0.044 SOL</t>
        </is>
      </c>
      <c r="G32" s="24" t="inlineStr">
        <is>
          <t>-0.936 SOL</t>
        </is>
      </c>
      <c r="H32" s="24" t="inlineStr">
        <is>
          <t>-95.55%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30.10.2024 15:47:12</t>
        </is>
      </c>
      <c r="M32" s="16" t="inlineStr">
        <is>
          <t>2 hours</t>
        </is>
      </c>
      <c r="N32" s="16" t="inlineStr">
        <is>
          <t xml:space="preserve">        177K           177K             8K</t>
        </is>
      </c>
      <c r="O32" s="16" t="inlineStr">
        <is>
          <t>S3K1pSwyavRze7uQksNHp4N9w9BqncvFq8SncQ5pump</t>
        </is>
      </c>
      <c r="P32" s="16">
        <f>HYPERLINK("https://dexscreener.com/solana/S3K1pSwyavRze7uQksNHp4N9w9BqncvFq8SncQ5pump", "View")</f>
        <v/>
      </c>
    </row>
    <row r="33">
      <c r="A33" s="19" t="inlineStr">
        <is>
          <t>bbydev</t>
        </is>
      </c>
      <c r="B33" s="20" t="n">
        <v>914786</v>
      </c>
      <c r="C33" s="20" t="n">
        <v>137217</v>
      </c>
      <c r="D33" s="20" t="inlineStr">
        <is>
          <t>0.000010</t>
        </is>
      </c>
      <c r="E33" s="20" t="inlineStr">
        <is>
          <t>0.980 SOL</t>
        </is>
      </c>
      <c r="F33" s="20" t="inlineStr">
        <is>
          <t>0.563 SOL</t>
        </is>
      </c>
      <c r="G33" s="21" t="inlineStr">
        <is>
          <t>-0.417 SOL</t>
        </is>
      </c>
      <c r="H33" s="21" t="inlineStr">
        <is>
          <t>-42.57%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30.10.2024 15:15:29</t>
        </is>
      </c>
      <c r="M33" s="20" t="inlineStr">
        <is>
          <t>17 hours</t>
        </is>
      </c>
      <c r="N33" s="20" t="inlineStr">
        <is>
          <t xml:space="preserve">        188K           188K           836K</t>
        </is>
      </c>
      <c r="O33" s="20" t="inlineStr">
        <is>
          <t>8YYrkf1hvL5aCacfLXDvhVfjWZ7ce5NdVt4iLPxYsmdh</t>
        </is>
      </c>
      <c r="P33" s="20">
        <f>HYPERLINK("https://dexscreener.com/solana/8YYrkf1hvL5aCacfLXDvhVfjWZ7ce5NdVt4iLPxYsmdh", "View")</f>
        <v/>
      </c>
    </row>
    <row r="34">
      <c r="A34" s="15" t="inlineStr">
        <is>
          <t>PIXEL</t>
        </is>
      </c>
      <c r="B34" s="16" t="n">
        <v>1465375</v>
      </c>
      <c r="C34" s="16" t="n">
        <v>1318837</v>
      </c>
      <c r="D34" s="16" t="inlineStr">
        <is>
          <t>0.000010</t>
        </is>
      </c>
      <c r="E34" s="16" t="inlineStr">
        <is>
          <t>0.980 SOL</t>
        </is>
      </c>
      <c r="F34" s="16" t="inlineStr">
        <is>
          <t>0.044 SOL</t>
        </is>
      </c>
      <c r="G34" s="24" t="inlineStr">
        <is>
          <t>-0.936 SOL</t>
        </is>
      </c>
      <c r="H34" s="24" t="inlineStr">
        <is>
          <t>-95.49%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30.10.2024 15:14:11</t>
        </is>
      </c>
      <c r="M34" s="16" t="inlineStr">
        <is>
          <t>16 hours</t>
        </is>
      </c>
      <c r="N34" s="16" t="inlineStr">
        <is>
          <t xml:space="preserve">        105K           105K             5K</t>
        </is>
      </c>
      <c r="O34" s="16" t="inlineStr">
        <is>
          <t>E83nfay8WhS9bKAQEdBbCi73XvSwmLeWGXUs5qHupump</t>
        </is>
      </c>
      <c r="P34" s="16">
        <f>HYPERLINK("https://dexscreener.com/solana/E83nfay8WhS9bKAQEdBbCi73XvSwmLeWGXUs5qHupump", "View")</f>
        <v/>
      </c>
    </row>
    <row r="35">
      <c r="A35" s="19" t="inlineStr">
        <is>
          <t>69.420%</t>
        </is>
      </c>
      <c r="B35" s="20" t="n">
        <v>941002</v>
      </c>
      <c r="C35" s="20" t="n">
        <v>0</v>
      </c>
      <c r="D35" s="20" t="inlineStr">
        <is>
          <t>0.000010</t>
        </is>
      </c>
      <c r="E35" s="20" t="inlineStr">
        <is>
          <t>0.980 SOL</t>
        </is>
      </c>
      <c r="F35" s="20" t="inlineStr">
        <is>
          <t>0.000 SOL</t>
        </is>
      </c>
      <c r="G35" s="17" t="inlineStr">
        <is>
          <t>-0.980 SOL</t>
        </is>
      </c>
      <c r="H35" s="17" t="inlineStr">
        <is>
          <t>0.00%</t>
        </is>
      </c>
      <c r="I35" s="20" t="inlineStr">
        <is>
          <t>941,002</t>
        </is>
      </c>
      <c r="J35" s="20" t="n">
        <v>1</v>
      </c>
      <c r="K35" s="20" t="n">
        <v>0</v>
      </c>
      <c r="L35" s="20" t="inlineStr">
        <is>
          <t>30.10.2024 14:06:17</t>
        </is>
      </c>
      <c r="M35" s="18" t="inlineStr">
        <is>
          <t>0 sec</t>
        </is>
      </c>
      <c r="N35" s="20" t="inlineStr">
        <is>
          <t xml:space="preserve">        183K           183K            35K</t>
        </is>
      </c>
      <c r="O35" s="20" t="inlineStr">
        <is>
          <t>Djv9h45qTD1Bf9KrePGDecHB9ynreMHssDTQkLrupump</t>
        </is>
      </c>
      <c r="P35" s="20">
        <f>HYPERLINK("https://dexscreener.com/solana/Djv9h45qTD1Bf9KrePGDecHB9ynreMHssDTQkLrupump", "View")</f>
        <v/>
      </c>
    </row>
    <row r="36">
      <c r="A36" s="15" t="inlineStr">
        <is>
          <t>Amen</t>
        </is>
      </c>
      <c r="B36" s="16" t="n">
        <v>11646746</v>
      </c>
      <c r="C36" s="16" t="n">
        <v>0</v>
      </c>
      <c r="D36" s="16" t="inlineStr">
        <is>
          <t>0.000010</t>
        </is>
      </c>
      <c r="E36" s="16" t="inlineStr">
        <is>
          <t>0.980 SOL</t>
        </is>
      </c>
      <c r="F36" s="16" t="inlineStr">
        <is>
          <t>0.000 SOL</t>
        </is>
      </c>
      <c r="G36" s="17" t="inlineStr">
        <is>
          <t>-0.980 SOL</t>
        </is>
      </c>
      <c r="H36" s="17" t="inlineStr">
        <is>
          <t>0.00%</t>
        </is>
      </c>
      <c r="I36" s="16" t="inlineStr">
        <is>
          <t>11,646,746</t>
        </is>
      </c>
      <c r="J36" s="16" t="n">
        <v>1</v>
      </c>
      <c r="K36" s="16" t="n">
        <v>0</v>
      </c>
      <c r="L36" s="16" t="inlineStr">
        <is>
          <t>30.10.2024 13:42:16</t>
        </is>
      </c>
      <c r="M36" s="18" t="inlineStr">
        <is>
          <t>0 sec</t>
        </is>
      </c>
      <c r="N36" s="16" t="inlineStr">
        <is>
          <t xml:space="preserve">         14K            14K             4K</t>
        </is>
      </c>
      <c r="O36" s="16" t="inlineStr">
        <is>
          <t>BhPUUAJKbEx4VaikuiPTvZcokZYnBKGoKuzTJrAJpump</t>
        </is>
      </c>
      <c r="P36" s="16">
        <f>HYPERLINK("https://dexscreener.com/solana/BhPUUAJKbEx4VaikuiPTvZcokZYnBKGoKuzTJrAJpump", "View")</f>
        <v/>
      </c>
    </row>
    <row r="37">
      <c r="A37" s="19" t="inlineStr">
        <is>
          <t>FINN</t>
        </is>
      </c>
      <c r="B37" s="20" t="n">
        <v>1374230</v>
      </c>
      <c r="C37" s="20" t="n">
        <v>1236807</v>
      </c>
      <c r="D37" s="20" t="inlineStr">
        <is>
          <t>0.000010</t>
        </is>
      </c>
      <c r="E37" s="20" t="inlineStr">
        <is>
          <t>0.980 SOL</t>
        </is>
      </c>
      <c r="F37" s="20" t="inlineStr">
        <is>
          <t>0.048 SOL</t>
        </is>
      </c>
      <c r="G37" s="24" t="inlineStr">
        <is>
          <t>-0.933 SOL</t>
        </is>
      </c>
      <c r="H37" s="24" t="inlineStr">
        <is>
          <t>-95.15%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30.10.2024 11:32:10</t>
        </is>
      </c>
      <c r="M37" s="20" t="inlineStr">
        <is>
          <t>6 hours</t>
        </is>
      </c>
      <c r="N37" s="20" t="inlineStr">
        <is>
          <t xml:space="preserve">        125K           125K             6K</t>
        </is>
      </c>
      <c r="O37" s="20" t="inlineStr">
        <is>
          <t>GTKYRw79jMCdnyHQjeFJHZChbRSKHwUZfYY8E5acpump</t>
        </is>
      </c>
      <c r="P37" s="20">
        <f>HYPERLINK("https://dexscreener.com/solana/GTKYRw79jMCdnyHQjeFJHZChbRSKHwUZfYY8E5acpump", "View")</f>
        <v/>
      </c>
    </row>
    <row r="38">
      <c r="A38" s="15" t="inlineStr">
        <is>
          <t>MORT</t>
        </is>
      </c>
      <c r="B38" s="16" t="n">
        <v>1303666</v>
      </c>
      <c r="C38" s="16" t="n">
        <v>0</v>
      </c>
      <c r="D38" s="16" t="inlineStr">
        <is>
          <t>0.000010</t>
        </is>
      </c>
      <c r="E38" s="16" t="inlineStr">
        <is>
          <t>0.980 SOL</t>
        </is>
      </c>
      <c r="F38" s="16" t="inlineStr">
        <is>
          <t>0.000 SOL</t>
        </is>
      </c>
      <c r="G38" s="17" t="inlineStr">
        <is>
          <t>-0.980 SOL</t>
        </is>
      </c>
      <c r="H38" s="17" t="inlineStr">
        <is>
          <t>0.00%</t>
        </is>
      </c>
      <c r="I38" s="16" t="inlineStr">
        <is>
          <t>1,303,666</t>
        </is>
      </c>
      <c r="J38" s="16" t="n">
        <v>1</v>
      </c>
      <c r="K38" s="16" t="n">
        <v>0</v>
      </c>
      <c r="L38" s="16" t="inlineStr">
        <is>
          <t>30.10.2024 09:57:21</t>
        </is>
      </c>
      <c r="M38" s="18" t="inlineStr">
        <is>
          <t>0 sec</t>
        </is>
      </c>
      <c r="N38" s="16" t="inlineStr">
        <is>
          <t xml:space="preserve">        128K           128K            38K</t>
        </is>
      </c>
      <c r="O38" s="16" t="inlineStr">
        <is>
          <t>BDF9vxbCbsRZS2DBCSgBQvb45uA2wjKmTHNXcfK7pump</t>
        </is>
      </c>
      <c r="P38" s="16">
        <f>HYPERLINK("https://dexscreener.com/solana/BDF9vxbCbsRZS2DBCSgBQvb45uA2wjKmTHNXcfK7pump", "View")</f>
        <v/>
      </c>
    </row>
    <row r="39">
      <c r="A39" s="19" t="inlineStr">
        <is>
          <t>GARBAGE</t>
        </is>
      </c>
      <c r="B39" s="20" t="n">
        <v>772600</v>
      </c>
      <c r="C39" s="20" t="n">
        <v>0</v>
      </c>
      <c r="D39" s="20" t="inlineStr">
        <is>
          <t>0.000010</t>
        </is>
      </c>
      <c r="E39" s="20" t="inlineStr">
        <is>
          <t>0.980 SOL</t>
        </is>
      </c>
      <c r="F39" s="20" t="inlineStr">
        <is>
          <t>0.000 SOL</t>
        </is>
      </c>
      <c r="G39" s="17" t="inlineStr">
        <is>
          <t>-0.980 SOL</t>
        </is>
      </c>
      <c r="H39" s="17" t="inlineStr">
        <is>
          <t>0.00%</t>
        </is>
      </c>
      <c r="I39" s="20" t="inlineStr">
        <is>
          <t>772,600</t>
        </is>
      </c>
      <c r="J39" s="20" t="n">
        <v>1</v>
      </c>
      <c r="K39" s="20" t="n">
        <v>0</v>
      </c>
      <c r="L39" s="20" t="inlineStr">
        <is>
          <t>30.10.2024 08:53:57</t>
        </is>
      </c>
      <c r="M39" s="18" t="inlineStr">
        <is>
          <t>0 sec</t>
        </is>
      </c>
      <c r="N39" s="20" t="inlineStr">
        <is>
          <t xml:space="preserve">        223K           223K            96K</t>
        </is>
      </c>
      <c r="O39" s="20" t="inlineStr">
        <is>
          <t>4bj1v8h1AdRiLvpUBTzPk1pKDCB6eSTFyZ9G1c8g8ayE</t>
        </is>
      </c>
      <c r="P39" s="20">
        <f>HYPERLINK("https://dexscreener.com/solana/4bj1v8h1AdRiLvpUBTzPk1pKDCB6eSTFyZ9G1c8g8ayE", "View")</f>
        <v/>
      </c>
    </row>
    <row r="40">
      <c r="A40" s="15" t="inlineStr">
        <is>
          <t>EAGLE</t>
        </is>
      </c>
      <c r="B40" s="16" t="n">
        <v>301992</v>
      </c>
      <c r="C40" s="16" t="n">
        <v>271792</v>
      </c>
      <c r="D40" s="16" t="inlineStr">
        <is>
          <t>0.000010</t>
        </is>
      </c>
      <c r="E40" s="16" t="inlineStr">
        <is>
          <t>0.980 SOL</t>
        </is>
      </c>
      <c r="F40" s="16" t="inlineStr">
        <is>
          <t>0.055 SOL</t>
        </is>
      </c>
      <c r="G40" s="24" t="inlineStr">
        <is>
          <t>-0.925 SOL</t>
        </is>
      </c>
      <c r="H40" s="24" t="inlineStr">
        <is>
          <t>-94.37%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30.10.2024 08:24:10</t>
        </is>
      </c>
      <c r="M40" s="16" t="inlineStr">
        <is>
          <t>6 hours</t>
        </is>
      </c>
      <c r="N40" s="16" t="inlineStr">
        <is>
          <t xml:space="preserve">        571K           571K            11K</t>
        </is>
      </c>
      <c r="O40" s="16" t="inlineStr">
        <is>
          <t>FLayaUPfFxmC1Vz3i4ebKT9uwEVv4ribyCqENnQ9pump</t>
        </is>
      </c>
      <c r="P40" s="16">
        <f>HYPERLINK("https://dexscreener.com/solana/FLayaUPfFxmC1Vz3i4ebKT9uwEVv4ribyCqENnQ9pump", "View")</f>
        <v/>
      </c>
    </row>
    <row r="41">
      <c r="A41" s="19" t="inlineStr">
        <is>
          <t>WYR</t>
        </is>
      </c>
      <c r="B41" s="20" t="n">
        <v>4221201</v>
      </c>
      <c r="C41" s="20" t="n">
        <v>0</v>
      </c>
      <c r="D41" s="20" t="inlineStr">
        <is>
          <t>0.000010</t>
        </is>
      </c>
      <c r="E41" s="20" t="inlineStr">
        <is>
          <t>0.980 SOL</t>
        </is>
      </c>
      <c r="F41" s="20" t="inlineStr">
        <is>
          <t>0.000 SOL</t>
        </is>
      </c>
      <c r="G41" s="17" t="inlineStr">
        <is>
          <t>-0.980 SOL</t>
        </is>
      </c>
      <c r="H41" s="17" t="inlineStr">
        <is>
          <t>0.00%</t>
        </is>
      </c>
      <c r="I41" s="20" t="inlineStr">
        <is>
          <t>4,221,201</t>
        </is>
      </c>
      <c r="J41" s="20" t="n">
        <v>1</v>
      </c>
      <c r="K41" s="20" t="n">
        <v>0</v>
      </c>
      <c r="L41" s="20" t="inlineStr">
        <is>
          <t>30.10.2024 08:15:27</t>
        </is>
      </c>
      <c r="M41" s="18" t="inlineStr">
        <is>
          <t>0 sec</t>
        </is>
      </c>
      <c r="N41" s="20" t="inlineStr">
        <is>
          <t xml:space="preserve">         40K            40K             5K</t>
        </is>
      </c>
      <c r="O41" s="20" t="inlineStr">
        <is>
          <t>2CtwtX2A3jXgxG8WFJThQiNZpHzvqiCVwNU4za9fWH23</t>
        </is>
      </c>
      <c r="P41" s="20">
        <f>HYPERLINK("https://dexscreener.com/solana/2CtwtX2A3jXgxG8WFJThQiNZpHzvqiCVwNU4za9fWH23", "View")</f>
        <v/>
      </c>
    </row>
    <row r="42">
      <c r="A42" s="15" t="inlineStr">
        <is>
          <t>WYR</t>
        </is>
      </c>
      <c r="B42" s="16" t="n">
        <v>3332238</v>
      </c>
      <c r="C42" s="16" t="n">
        <v>0</v>
      </c>
      <c r="D42" s="16" t="inlineStr">
        <is>
          <t>0.000010</t>
        </is>
      </c>
      <c r="E42" s="16" t="inlineStr">
        <is>
          <t>0.980 SOL</t>
        </is>
      </c>
      <c r="F42" s="16" t="inlineStr">
        <is>
          <t>0.000 SOL</t>
        </is>
      </c>
      <c r="G42" s="17" t="inlineStr">
        <is>
          <t>-0.980 SOL</t>
        </is>
      </c>
      <c r="H42" s="17" t="inlineStr">
        <is>
          <t>0.00%</t>
        </is>
      </c>
      <c r="I42" s="16" t="inlineStr">
        <is>
          <t>3,332,238</t>
        </is>
      </c>
      <c r="J42" s="16" t="n">
        <v>1</v>
      </c>
      <c r="K42" s="16" t="n">
        <v>0</v>
      </c>
      <c r="L42" s="16" t="inlineStr">
        <is>
          <t>30.10.2024 08:03:18</t>
        </is>
      </c>
      <c r="M42" s="18" t="inlineStr">
        <is>
          <t>0 sec</t>
        </is>
      </c>
      <c r="N42" s="16" t="inlineStr">
        <is>
          <t xml:space="preserve">         51K            51K            11K</t>
        </is>
      </c>
      <c r="O42" s="16" t="inlineStr">
        <is>
          <t>7595tbPqDXijgZ3q2raR9aS311agcokwAJ21aczVpump</t>
        </is>
      </c>
      <c r="P42" s="16">
        <f>HYPERLINK("https://dexscreener.com/solana/7595tbPqDXijgZ3q2raR9aS311agcokwAJ21aczVpump", "View")</f>
        <v/>
      </c>
    </row>
    <row r="43">
      <c r="A43" s="19" t="inlineStr">
        <is>
          <t>EAGLE</t>
        </is>
      </c>
      <c r="B43" s="20" t="n">
        <v>876805</v>
      </c>
      <c r="C43" s="20" t="n">
        <v>789124</v>
      </c>
      <c r="D43" s="20" t="inlineStr">
        <is>
          <t>0.000010</t>
        </is>
      </c>
      <c r="E43" s="20" t="inlineStr">
        <is>
          <t>0.980 SOL</t>
        </is>
      </c>
      <c r="F43" s="20" t="inlineStr">
        <is>
          <t>0.054 SOL</t>
        </is>
      </c>
      <c r="G43" s="24" t="inlineStr">
        <is>
          <t>-0.927 SOL</t>
        </is>
      </c>
      <c r="H43" s="24" t="inlineStr">
        <is>
          <t>-94.53%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30.10.2024 07:48:10</t>
        </is>
      </c>
      <c r="M43" s="20" t="inlineStr">
        <is>
          <t>3 hours</t>
        </is>
      </c>
      <c r="N43" s="20" t="inlineStr">
        <is>
          <t xml:space="preserve">        197K           197K             6K</t>
        </is>
      </c>
      <c r="O43" s="20" t="inlineStr">
        <is>
          <t>AvtvsN1637RbMeRvZ2oagd5R5GVNfhj6jQubHcxjpump</t>
        </is>
      </c>
      <c r="P43" s="20">
        <f>HYPERLINK("https://dexscreener.com/solana/AvtvsN1637RbMeRvZ2oagd5R5GVNfhj6jQubHcxjpump", "View")</f>
        <v/>
      </c>
    </row>
    <row r="44">
      <c r="A44" s="15" t="inlineStr">
        <is>
          <t>ACE</t>
        </is>
      </c>
      <c r="B44" s="16" t="n">
        <v>1498121</v>
      </c>
      <c r="C44" s="16" t="n">
        <v>0</v>
      </c>
      <c r="D44" s="16" t="inlineStr">
        <is>
          <t>0.000010</t>
        </is>
      </c>
      <c r="E44" s="16" t="inlineStr">
        <is>
          <t>0.980 SOL</t>
        </is>
      </c>
      <c r="F44" s="16" t="inlineStr">
        <is>
          <t>0.000 SOL</t>
        </is>
      </c>
      <c r="G44" s="17" t="inlineStr">
        <is>
          <t>-0.980 SOL</t>
        </is>
      </c>
      <c r="H44" s="17" t="inlineStr">
        <is>
          <t>0.00%</t>
        </is>
      </c>
      <c r="I44" s="16" t="inlineStr">
        <is>
          <t>1,498,121</t>
        </is>
      </c>
      <c r="J44" s="16" t="n">
        <v>1</v>
      </c>
      <c r="K44" s="16" t="n">
        <v>0</v>
      </c>
      <c r="L44" s="16" t="inlineStr">
        <is>
          <t>30.10.2024 04:45:22</t>
        </is>
      </c>
      <c r="M44" s="18" t="inlineStr">
        <is>
          <t>0 sec</t>
        </is>
      </c>
      <c r="N44" s="16" t="inlineStr">
        <is>
          <t xml:space="preserve">        114K           114K            40K</t>
        </is>
      </c>
      <c r="O44" s="16" t="inlineStr">
        <is>
          <t>FofgVUkAzbffK3mw8ZEwMof8Lbpx59KkXRV4exhkpump</t>
        </is>
      </c>
      <c r="P44" s="16">
        <f>HYPERLINK("https://dexscreener.com/solana/FofgVUkAzbffK3mw8ZEwMof8Lbpx59KkXRV4exhkpump", "View")</f>
        <v/>
      </c>
    </row>
    <row r="45">
      <c r="A45" s="19" t="inlineStr">
        <is>
          <t>tee_hee_he</t>
        </is>
      </c>
      <c r="B45" s="20" t="n">
        <v>2264618</v>
      </c>
      <c r="C45" s="20" t="n">
        <v>2072125</v>
      </c>
      <c r="D45" s="20" t="inlineStr">
        <is>
          <t>0.000020</t>
        </is>
      </c>
      <c r="E45" s="20" t="inlineStr">
        <is>
          <t>0.980 SOL</t>
        </is>
      </c>
      <c r="F45" s="20" t="inlineStr">
        <is>
          <t>0.783 SOL</t>
        </is>
      </c>
      <c r="G45" s="21" t="inlineStr">
        <is>
          <t>-0.197 SOL</t>
        </is>
      </c>
      <c r="H45" s="21" t="inlineStr">
        <is>
          <t>-20.06%</t>
        </is>
      </c>
      <c r="I45" s="20" t="inlineStr">
        <is>
          <t>N/A</t>
        </is>
      </c>
      <c r="J45" s="20" t="n">
        <v>1</v>
      </c>
      <c r="K45" s="20" t="n">
        <v>2</v>
      </c>
      <c r="L45" s="20" t="inlineStr">
        <is>
          <t>30.10.2024 03:19:10</t>
        </is>
      </c>
      <c r="M45" s="20" t="inlineStr">
        <is>
          <t>1 hours</t>
        </is>
      </c>
      <c r="N45" s="20" t="inlineStr">
        <is>
          <t xml:space="preserve">         76K            76K            14K</t>
        </is>
      </c>
      <c r="O45" s="20" t="inlineStr">
        <is>
          <t>HAhiXodNYcpQU2EvvxdUpkP3EdbDpZiP4G3jrGeFmKhZ</t>
        </is>
      </c>
      <c r="P45" s="20">
        <f>HYPERLINK("https://dexscreener.com/solana/HAhiXodNYcpQU2EvvxdUpkP3EdbDpZiP4G3jrGeFmKhZ", "View")</f>
        <v/>
      </c>
    </row>
    <row r="46">
      <c r="A46" s="15" t="inlineStr">
        <is>
          <t>Jarvis</t>
        </is>
      </c>
      <c r="B46" s="16" t="n">
        <v>1183241</v>
      </c>
      <c r="C46" s="16" t="n">
        <v>0</v>
      </c>
      <c r="D46" s="16" t="inlineStr">
        <is>
          <t>0.000010</t>
        </is>
      </c>
      <c r="E46" s="16" t="inlineStr">
        <is>
          <t>0.980 SOL</t>
        </is>
      </c>
      <c r="F46" s="16" t="inlineStr">
        <is>
          <t>0.000 SOL</t>
        </is>
      </c>
      <c r="G46" s="17" t="inlineStr">
        <is>
          <t>-0.980 SOL</t>
        </is>
      </c>
      <c r="H46" s="17" t="inlineStr">
        <is>
          <t>0.00%</t>
        </is>
      </c>
      <c r="I46" s="16" t="inlineStr">
        <is>
          <t>1,183,241</t>
        </is>
      </c>
      <c r="J46" s="16" t="n">
        <v>1</v>
      </c>
      <c r="K46" s="16" t="n">
        <v>0</v>
      </c>
      <c r="L46" s="16" t="inlineStr">
        <is>
          <t>30.10.2024 03:03:14</t>
        </is>
      </c>
      <c r="M46" s="18" t="inlineStr">
        <is>
          <t>0 sec</t>
        </is>
      </c>
      <c r="N46" s="16" t="inlineStr">
        <is>
          <t xml:space="preserve">        143K           143K            16K</t>
        </is>
      </c>
      <c r="O46" s="16" t="inlineStr">
        <is>
          <t>CmpuL8k9KY3NrpfDRoJrVmuwd1zRMFRUxX55avyGpump</t>
        </is>
      </c>
      <c r="P46" s="16">
        <f>HYPERLINK("https://dexscreener.com/solana/CmpuL8k9KY3NrpfDRoJrVmuwd1zRMFRUxX55avyGpump", "View")</f>
        <v/>
      </c>
    </row>
    <row r="47">
      <c r="A47" s="19" t="inlineStr">
        <is>
          <t>CHUNK</t>
        </is>
      </c>
      <c r="B47" s="20" t="n">
        <v>607671</v>
      </c>
      <c r="C47" s="20" t="n">
        <v>546904</v>
      </c>
      <c r="D47" s="20" t="inlineStr">
        <is>
          <t>0.000010</t>
        </is>
      </c>
      <c r="E47" s="20" t="inlineStr">
        <is>
          <t>0.980 SOL</t>
        </is>
      </c>
      <c r="F47" s="20" t="inlineStr">
        <is>
          <t>0.063 SOL</t>
        </is>
      </c>
      <c r="G47" s="24" t="inlineStr">
        <is>
          <t>-0.917 SOL</t>
        </is>
      </c>
      <c r="H47" s="24" t="inlineStr">
        <is>
          <t>-93.56%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30.10.2024 03:03:11</t>
        </is>
      </c>
      <c r="M47" s="20" t="inlineStr">
        <is>
          <t>2 hours</t>
        </is>
      </c>
      <c r="N47" s="20" t="inlineStr">
        <is>
          <t xml:space="preserve">        283K           283K            39K</t>
        </is>
      </c>
      <c r="O47" s="20" t="inlineStr">
        <is>
          <t>FBt8wpmyvhoTRmwcXUpmGh351Wt8fQMtptXsMWmWpump</t>
        </is>
      </c>
      <c r="P47" s="20">
        <f>HYPERLINK("https://dexscreener.com/solana/FBt8wpmyvhoTRmwcXUpmGh351Wt8fQMtptXsMWmWpump", "View")</f>
        <v/>
      </c>
    </row>
    <row r="48">
      <c r="A48" s="15" t="inlineStr">
        <is>
          <t>NUTBUTT</t>
        </is>
      </c>
      <c r="B48" s="16" t="n">
        <v>960390</v>
      </c>
      <c r="C48" s="16" t="n">
        <v>0</v>
      </c>
      <c r="D48" s="16" t="inlineStr">
        <is>
          <t>0.000010</t>
        </is>
      </c>
      <c r="E48" s="16" t="inlineStr">
        <is>
          <t>0.980 SOL</t>
        </is>
      </c>
      <c r="F48" s="16" t="inlineStr">
        <is>
          <t>0.000 SOL</t>
        </is>
      </c>
      <c r="G48" s="17" t="inlineStr">
        <is>
          <t>-0.980 SOL</t>
        </is>
      </c>
      <c r="H48" s="17" t="inlineStr">
        <is>
          <t>0.00%</t>
        </is>
      </c>
      <c r="I48" s="16" t="inlineStr">
        <is>
          <t>960,390</t>
        </is>
      </c>
      <c r="J48" s="16" t="n">
        <v>1</v>
      </c>
      <c r="K48" s="16" t="n">
        <v>0</v>
      </c>
      <c r="L48" s="16" t="inlineStr">
        <is>
          <t>30.10.2024 02:21:17</t>
        </is>
      </c>
      <c r="M48" s="18" t="inlineStr">
        <is>
          <t>0 sec</t>
        </is>
      </c>
      <c r="N48" s="16" t="inlineStr">
        <is>
          <t xml:space="preserve">        179K           179K           657K</t>
        </is>
      </c>
      <c r="O48" s="16" t="inlineStr">
        <is>
          <t>CFBYjzT357obRmihT9F5uyCY3kqgksRvXKM3RJN1pump</t>
        </is>
      </c>
      <c r="P48" s="16">
        <f>HYPERLINK("https://dexscreener.com/solana/CFBYjzT357obRmihT9F5uyCY3kqgksRvXKM3RJN1pump", "View")</f>
        <v/>
      </c>
    </row>
    <row r="49">
      <c r="A49" s="19" t="inlineStr">
        <is>
          <t>ROSE</t>
        </is>
      </c>
      <c r="B49" s="20" t="n">
        <v>1334436</v>
      </c>
      <c r="C49" s="20" t="n">
        <v>1200992</v>
      </c>
      <c r="D49" s="20" t="inlineStr">
        <is>
          <t>0.000010</t>
        </is>
      </c>
      <c r="E49" s="20" t="inlineStr">
        <is>
          <t>0.980 SOL</t>
        </is>
      </c>
      <c r="F49" s="20" t="inlineStr">
        <is>
          <t>0.087 SOL</t>
        </is>
      </c>
      <c r="G49" s="24" t="inlineStr">
        <is>
          <t>-0.893 SOL</t>
        </is>
      </c>
      <c r="H49" s="24" t="inlineStr">
        <is>
          <t>-91.14%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30.10.2024 01:27:08</t>
        </is>
      </c>
      <c r="M49" s="20" t="inlineStr">
        <is>
          <t>44 min</t>
        </is>
      </c>
      <c r="N49" s="20" t="inlineStr">
        <is>
          <t xml:space="preserve">        128K            12K             5K</t>
        </is>
      </c>
      <c r="O49" s="20" t="inlineStr">
        <is>
          <t>9tfZ7q7AePzusVRPTLejhtAT4fJos6cUtfr8uvg8pump</t>
        </is>
      </c>
      <c r="P49" s="20">
        <f>HYPERLINK("https://dexscreener.com/solana/9tfZ7q7AePzusVRPTLejhtAT4fJos6cUtfr8uvg8pump", "View")</f>
        <v/>
      </c>
    </row>
    <row r="50">
      <c r="A50" s="15" t="inlineStr">
        <is>
          <t>Me</t>
        </is>
      </c>
      <c r="B50" s="16" t="n">
        <v>1563233</v>
      </c>
      <c r="C50" s="16" t="n">
        <v>0</v>
      </c>
      <c r="D50" s="16" t="inlineStr">
        <is>
          <t>0.000010</t>
        </is>
      </c>
      <c r="E50" s="16" t="inlineStr">
        <is>
          <t>0.980 SOL</t>
        </is>
      </c>
      <c r="F50" s="16" t="inlineStr">
        <is>
          <t>0.000 SOL</t>
        </is>
      </c>
      <c r="G50" s="17" t="inlineStr">
        <is>
          <t>-0.980 SOL</t>
        </is>
      </c>
      <c r="H50" s="17" t="inlineStr">
        <is>
          <t>0.00%</t>
        </is>
      </c>
      <c r="I50" s="16" t="inlineStr">
        <is>
          <t>1,563,233</t>
        </is>
      </c>
      <c r="J50" s="16" t="n">
        <v>1</v>
      </c>
      <c r="K50" s="16" t="n">
        <v>0</v>
      </c>
      <c r="L50" s="16" t="inlineStr">
        <is>
          <t>30.10.2024 01:18:26</t>
        </is>
      </c>
      <c r="M50" s="18" t="inlineStr">
        <is>
          <t>0 sec</t>
        </is>
      </c>
      <c r="N50" s="16" t="inlineStr">
        <is>
          <t xml:space="preserve">        111K           111K           159K</t>
        </is>
      </c>
      <c r="O50" s="16" t="inlineStr">
        <is>
          <t>4Y47LEufvcSSSbTFojcvW4Y6x2KZXrqG2urNBSvHpump</t>
        </is>
      </c>
      <c r="P50" s="16">
        <f>HYPERLINK("https://dexscreener.com/solana/4Y47LEufvcSSSbTFojcvW4Y6x2KZXrqG2urNBSvHpump", "View")</f>
        <v/>
      </c>
    </row>
    <row r="51">
      <c r="A51" s="19" t="inlineStr">
        <is>
          <t>ct</t>
        </is>
      </c>
      <c r="B51" s="20" t="n">
        <v>1032820</v>
      </c>
      <c r="C51" s="20" t="n">
        <v>0</v>
      </c>
      <c r="D51" s="20" t="inlineStr">
        <is>
          <t>0.000010</t>
        </is>
      </c>
      <c r="E51" s="20" t="inlineStr">
        <is>
          <t>0.980 SOL</t>
        </is>
      </c>
      <c r="F51" s="20" t="inlineStr">
        <is>
          <t>0.000 SOL</t>
        </is>
      </c>
      <c r="G51" s="17" t="inlineStr">
        <is>
          <t>-0.980 SOL</t>
        </is>
      </c>
      <c r="H51" s="17" t="inlineStr">
        <is>
          <t>0.00%</t>
        </is>
      </c>
      <c r="I51" s="20" t="inlineStr">
        <is>
          <t>1,032,820</t>
        </is>
      </c>
      <c r="J51" s="20" t="n">
        <v>1</v>
      </c>
      <c r="K51" s="20" t="n">
        <v>0</v>
      </c>
      <c r="L51" s="20" t="inlineStr">
        <is>
          <t>30.10.2024 01:18:15</t>
        </is>
      </c>
      <c r="M51" s="18" t="inlineStr">
        <is>
          <t>0 sec</t>
        </is>
      </c>
      <c r="N51" s="20" t="inlineStr">
        <is>
          <t xml:space="preserve">        167K           167K            13K</t>
        </is>
      </c>
      <c r="O51" s="20" t="inlineStr">
        <is>
          <t>GimSK2arRBpobD8WNs63m3pZWUZx2953nUgSLdDRpump</t>
        </is>
      </c>
      <c r="P51" s="20">
        <f>HYPERLINK("https://dexscreener.com/solana/GimSK2arRBpobD8WNs63m3pZWUZx2953nUgSLdDRpump", "View")</f>
        <v/>
      </c>
    </row>
    <row r="52">
      <c r="A52" s="15" t="inlineStr">
        <is>
          <t>SENDISM</t>
        </is>
      </c>
      <c r="B52" s="16" t="n">
        <v>785559</v>
      </c>
      <c r="C52" s="16" t="n">
        <v>0</v>
      </c>
      <c r="D52" s="16" t="inlineStr">
        <is>
          <t>0.000010</t>
        </is>
      </c>
      <c r="E52" s="16" t="inlineStr">
        <is>
          <t>0.980 SOL</t>
        </is>
      </c>
      <c r="F52" s="16" t="inlineStr">
        <is>
          <t>0.000 SOL</t>
        </is>
      </c>
      <c r="G52" s="17" t="inlineStr">
        <is>
          <t>-0.980 SOL</t>
        </is>
      </c>
      <c r="H52" s="17" t="inlineStr">
        <is>
          <t>0.00%</t>
        </is>
      </c>
      <c r="I52" s="16" t="inlineStr">
        <is>
          <t>785,559</t>
        </is>
      </c>
      <c r="J52" s="16" t="n">
        <v>1</v>
      </c>
      <c r="K52" s="16" t="n">
        <v>0</v>
      </c>
      <c r="L52" s="16" t="inlineStr">
        <is>
          <t>29.10.2024 22:57:27</t>
        </is>
      </c>
      <c r="M52" s="18" t="inlineStr">
        <is>
          <t>0 sec</t>
        </is>
      </c>
      <c r="N52" s="16" t="inlineStr">
        <is>
          <t xml:space="preserve">        218K           218K            39K</t>
        </is>
      </c>
      <c r="O52" s="16" t="inlineStr">
        <is>
          <t>AcR5GTb5YFrCXCbPBZBNwyJhcN1VjUokPwhL87wupump</t>
        </is>
      </c>
      <c r="P52" s="16">
        <f>HYPERLINK("https://dexscreener.com/solana/AcR5GTb5YFrCXCbPBZBNwyJhcN1VjUokPwhL87wupump", "View")</f>
        <v/>
      </c>
    </row>
    <row r="53">
      <c r="A53" s="19" t="inlineStr">
        <is>
          <t>CT</t>
        </is>
      </c>
      <c r="B53" s="20" t="n">
        <v>3122741</v>
      </c>
      <c r="C53" s="20" t="n">
        <v>2810466</v>
      </c>
      <c r="D53" s="20" t="inlineStr">
        <is>
          <t>0.000010</t>
        </is>
      </c>
      <c r="E53" s="20" t="inlineStr">
        <is>
          <t>0.980 SOL</t>
        </is>
      </c>
      <c r="F53" s="20" t="inlineStr">
        <is>
          <t>0.083 SOL</t>
        </is>
      </c>
      <c r="G53" s="24" t="inlineStr">
        <is>
          <t>-0.897 SOL</t>
        </is>
      </c>
      <c r="H53" s="24" t="inlineStr">
        <is>
          <t>-91.55%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29.10.2024 22:05:08</t>
        </is>
      </c>
      <c r="M53" s="20" t="inlineStr">
        <is>
          <t>2 hours</t>
        </is>
      </c>
      <c r="N53" s="20" t="inlineStr">
        <is>
          <t xml:space="preserve">         54K             5K             4K</t>
        </is>
      </c>
      <c r="O53" s="20" t="inlineStr">
        <is>
          <t>4EAbchR1spQ3UGq4AD2z6uScmQFenWYuGB15wPAapump</t>
        </is>
      </c>
      <c r="P53" s="20">
        <f>HYPERLINK("https://dexscreener.com/solana/4EAbchR1spQ3UGq4AD2z6uScmQFenWYuGB15wPAapump", "View")</f>
        <v/>
      </c>
    </row>
    <row r="54">
      <c r="A54" s="15" t="inlineStr">
        <is>
          <t>FEET</t>
        </is>
      </c>
      <c r="B54" s="16" t="n">
        <v>4786775</v>
      </c>
      <c r="C54" s="16" t="n">
        <v>0</v>
      </c>
      <c r="D54" s="16" t="inlineStr">
        <is>
          <t>0.000010</t>
        </is>
      </c>
      <c r="E54" s="16" t="inlineStr">
        <is>
          <t>0.980 SOL</t>
        </is>
      </c>
      <c r="F54" s="16" t="inlineStr">
        <is>
          <t>0.000 SOL</t>
        </is>
      </c>
      <c r="G54" s="17" t="inlineStr">
        <is>
          <t>-0.980 SOL</t>
        </is>
      </c>
      <c r="H54" s="17" t="inlineStr">
        <is>
          <t>0.00%</t>
        </is>
      </c>
      <c r="I54" s="16" t="inlineStr">
        <is>
          <t>4,786,775</t>
        </is>
      </c>
      <c r="J54" s="16" t="n">
        <v>1</v>
      </c>
      <c r="K54" s="16" t="n">
        <v>0</v>
      </c>
      <c r="L54" s="16" t="inlineStr">
        <is>
          <t>29.10.2024 21:12:20</t>
        </is>
      </c>
      <c r="M54" s="18" t="inlineStr">
        <is>
          <t>0 sec</t>
        </is>
      </c>
      <c r="N54" s="16" t="inlineStr">
        <is>
          <t xml:space="preserve">         35K            35K             4K</t>
        </is>
      </c>
      <c r="O54" s="16" t="inlineStr">
        <is>
          <t>EDDF6iM6Mgg4MntKTpkKQBBnZ8Up3ZtTxR6ijKocpump</t>
        </is>
      </c>
      <c r="P54" s="16">
        <f>HYPERLINK("https://dexscreener.com/solana/EDDF6iM6Mgg4MntKTpkKQBBnZ8Up3ZtTxR6ijKocpump", "View")</f>
        <v/>
      </c>
    </row>
    <row r="55">
      <c r="A55" s="19" t="inlineStr">
        <is>
          <t>NetCoin</t>
        </is>
      </c>
      <c r="B55" s="20" t="n">
        <v>1878878</v>
      </c>
      <c r="C55" s="20" t="n">
        <v>0</v>
      </c>
      <c r="D55" s="20" t="inlineStr">
        <is>
          <t>0.000010</t>
        </is>
      </c>
      <c r="E55" s="20" t="inlineStr">
        <is>
          <t>0.980 SOL</t>
        </is>
      </c>
      <c r="F55" s="20" t="inlineStr">
        <is>
          <t>0.000 SOL</t>
        </is>
      </c>
      <c r="G55" s="17" t="inlineStr">
        <is>
          <t>-0.980 SOL</t>
        </is>
      </c>
      <c r="H55" s="17" t="inlineStr">
        <is>
          <t>0.00%</t>
        </is>
      </c>
      <c r="I55" s="20" t="inlineStr">
        <is>
          <t>1,878,878</t>
        </is>
      </c>
      <c r="J55" s="20" t="n">
        <v>1</v>
      </c>
      <c r="K55" s="20" t="n">
        <v>0</v>
      </c>
      <c r="L55" s="20" t="inlineStr">
        <is>
          <t>29.10.2024 21:03:15</t>
        </is>
      </c>
      <c r="M55" s="18" t="inlineStr">
        <is>
          <t>0 sec</t>
        </is>
      </c>
      <c r="N55" s="20" t="inlineStr">
        <is>
          <t xml:space="preserve">         82K            82K            54K</t>
        </is>
      </c>
      <c r="O55" s="20" t="inlineStr">
        <is>
          <t>uQpp5Beupw8xBev8WSxgyeUdgPT6hDBCEHjMjWspump</t>
        </is>
      </c>
      <c r="P55" s="20">
        <f>HYPERLINK("https://dexscreener.com/solana/uQpp5Beupw8xBev8WSxgyeUdgPT6hDBCEHjMjWspump", "View")</f>
        <v/>
      </c>
    </row>
    <row r="56">
      <c r="A56" s="15" t="inlineStr">
        <is>
          <t>BREAD</t>
        </is>
      </c>
      <c r="B56" s="16" t="n">
        <v>1588576</v>
      </c>
      <c r="C56" s="16" t="n">
        <v>0</v>
      </c>
      <c r="D56" s="16" t="inlineStr">
        <is>
          <t>0.000010</t>
        </is>
      </c>
      <c r="E56" s="16" t="inlineStr">
        <is>
          <t>0.980 SOL</t>
        </is>
      </c>
      <c r="F56" s="16" t="inlineStr">
        <is>
          <t>0.000 SOL</t>
        </is>
      </c>
      <c r="G56" s="17" t="inlineStr">
        <is>
          <t>-0.980 SOL</t>
        </is>
      </c>
      <c r="H56" s="17" t="inlineStr">
        <is>
          <t>0.00%</t>
        </is>
      </c>
      <c r="I56" s="16" t="inlineStr">
        <is>
          <t>1,588,576</t>
        </is>
      </c>
      <c r="J56" s="16" t="n">
        <v>1</v>
      </c>
      <c r="K56" s="16" t="n">
        <v>0</v>
      </c>
      <c r="L56" s="16" t="inlineStr">
        <is>
          <t>29.10.2024 20:09:15</t>
        </is>
      </c>
      <c r="M56" s="18" t="inlineStr">
        <is>
          <t>0 sec</t>
        </is>
      </c>
      <c r="N56" s="16" t="inlineStr">
        <is>
          <t xml:space="preserve">        109K           109K             5K</t>
        </is>
      </c>
      <c r="O56" s="16" t="inlineStr">
        <is>
          <t>3R49ZACNKMPdzwtRb5eXfqNRmcHp9R4NppNhKtRhpump</t>
        </is>
      </c>
      <c r="P56" s="16">
        <f>HYPERLINK("https://dexscreener.com/solana/3R49ZACNKMPdzwtRb5eXfqNRmcHp9R4NppNhKtRhpump", "View")</f>
        <v/>
      </c>
    </row>
    <row r="57">
      <c r="A57" s="19" t="inlineStr">
        <is>
          <t>Gluon</t>
        </is>
      </c>
      <c r="B57" s="20" t="n">
        <v>2469075</v>
      </c>
      <c r="C57" s="20" t="n">
        <v>0</v>
      </c>
      <c r="D57" s="20" t="inlineStr">
        <is>
          <t>0.000010</t>
        </is>
      </c>
      <c r="E57" s="20" t="inlineStr">
        <is>
          <t>0.980 SOL</t>
        </is>
      </c>
      <c r="F57" s="20" t="inlineStr">
        <is>
          <t>0.000 SOL</t>
        </is>
      </c>
      <c r="G57" s="17" t="inlineStr">
        <is>
          <t>-0.980 SOL</t>
        </is>
      </c>
      <c r="H57" s="17" t="inlineStr">
        <is>
          <t>0.00%</t>
        </is>
      </c>
      <c r="I57" s="20" t="inlineStr">
        <is>
          <t>2,469,075</t>
        </is>
      </c>
      <c r="J57" s="20" t="n">
        <v>1</v>
      </c>
      <c r="K57" s="20" t="n">
        <v>0</v>
      </c>
      <c r="L57" s="20" t="inlineStr">
        <is>
          <t>29.10.2024 20:00:22</t>
        </is>
      </c>
      <c r="M57" s="18" t="inlineStr">
        <is>
          <t>0 sec</t>
        </is>
      </c>
      <c r="N57" s="20" t="inlineStr">
        <is>
          <t xml:space="preserve">         70K            70K             4K</t>
        </is>
      </c>
      <c r="O57" s="20" t="inlineStr">
        <is>
          <t>FJq2ZhJJMCZmdqQdkbBRBc48bmuTPLHwyQjamQCSpump</t>
        </is>
      </c>
      <c r="P57" s="20">
        <f>HYPERLINK("https://dexscreener.com/solana/FJq2ZhJJMCZmdqQdkbBRBc48bmuTPLHwyQjamQCSpump", "View")</f>
        <v/>
      </c>
    </row>
    <row r="58">
      <c r="A58" s="15" t="inlineStr">
        <is>
          <t>😱</t>
        </is>
      </c>
      <c r="B58" s="16" t="n">
        <v>2852483</v>
      </c>
      <c r="C58" s="16" t="n">
        <v>1882638</v>
      </c>
      <c r="D58" s="16" t="inlineStr">
        <is>
          <t>0.006010</t>
        </is>
      </c>
      <c r="E58" s="16" t="inlineStr">
        <is>
          <t>0.980 SOL</t>
        </is>
      </c>
      <c r="F58" s="16" t="inlineStr">
        <is>
          <t>0.455 SOL</t>
        </is>
      </c>
      <c r="G58" s="24" t="inlineStr">
        <is>
          <t>-0.531 SOL</t>
        </is>
      </c>
      <c r="H58" s="24" t="inlineStr">
        <is>
          <t>-53.89%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29.10.2024 18:43:59</t>
        </is>
      </c>
      <c r="M58" s="16" t="inlineStr">
        <is>
          <t>8 days</t>
        </is>
      </c>
      <c r="N58" s="16" t="inlineStr">
        <is>
          <t xml:space="preserve">         60K            60K            31K</t>
        </is>
      </c>
      <c r="O58" s="16" t="inlineStr">
        <is>
          <t>GoQdiew2nNFjAVkuUZwz5sSZmpz3PY8b2n1iZbTJpump</t>
        </is>
      </c>
      <c r="P58" s="16">
        <f>HYPERLINK("https://dexscreener.com/solana/GoQdiew2nNFjAVkuUZwz5sSZmpz3PY8b2n1iZbTJpump", "View")</f>
        <v/>
      </c>
    </row>
    <row r="59">
      <c r="A59" s="19" t="inlineStr">
        <is>
          <t>FUBB</t>
        </is>
      </c>
      <c r="B59" s="20" t="n">
        <v>389379</v>
      </c>
      <c r="C59" s="20" t="n">
        <v>193716</v>
      </c>
      <c r="D59" s="20" t="inlineStr">
        <is>
          <t>0.006410</t>
        </is>
      </c>
      <c r="E59" s="20" t="inlineStr">
        <is>
          <t>0.980 SOL</t>
        </is>
      </c>
      <c r="F59" s="20" t="inlineStr">
        <is>
          <t>1.256 SOL</t>
        </is>
      </c>
      <c r="G59" s="22" t="inlineStr">
        <is>
          <t>0.270 SOL</t>
        </is>
      </c>
      <c r="H59" s="22" t="inlineStr">
        <is>
          <t>27.35%</t>
        </is>
      </c>
      <c r="I59" s="20" t="inlineStr">
        <is>
          <t>N/A</t>
        </is>
      </c>
      <c r="J59" s="20" t="n">
        <v>1</v>
      </c>
      <c r="K59" s="20" t="n">
        <v>2</v>
      </c>
      <c r="L59" s="20" t="inlineStr">
        <is>
          <t>29.10.2024 18:43:29</t>
        </is>
      </c>
      <c r="M59" s="20" t="inlineStr">
        <is>
          <t>8 days</t>
        </is>
      </c>
      <c r="N59" s="20" t="inlineStr">
        <is>
          <t xml:space="preserve">        438K           438K           383K</t>
        </is>
      </c>
      <c r="O59" s="20" t="inlineStr">
        <is>
          <t>5LgNLDTvjV6nKQHBEZ783VDoYN2PqGNAKDWPg8wCpump</t>
        </is>
      </c>
      <c r="P59" s="20">
        <f>HYPERLINK("https://dexscreener.com/solana/5LgNLDTvjV6nKQHBEZ783VDoYN2PqGNAKDWPg8wCpump", "View")</f>
        <v/>
      </c>
    </row>
    <row r="60">
      <c r="A60" s="15" t="inlineStr">
        <is>
          <t>wibwob</t>
        </is>
      </c>
      <c r="B60" s="16" t="n">
        <v>971013</v>
      </c>
      <c r="C60" s="16" t="n">
        <v>734815</v>
      </c>
      <c r="D60" s="16" t="inlineStr">
        <is>
          <t>0.021430</t>
        </is>
      </c>
      <c r="E60" s="16" t="inlineStr">
        <is>
          <t>0.980 SOL</t>
        </is>
      </c>
      <c r="F60" s="16" t="inlineStr">
        <is>
          <t>4.731 SOL</t>
        </is>
      </c>
      <c r="G60" s="23" t="inlineStr">
        <is>
          <t>3.729 SOL</t>
        </is>
      </c>
      <c r="H60" s="23" t="inlineStr">
        <is>
          <t>372.33%</t>
        </is>
      </c>
      <c r="I60" s="16" t="inlineStr">
        <is>
          <t>N/A</t>
        </is>
      </c>
      <c r="J60" s="16" t="n">
        <v>1</v>
      </c>
      <c r="K60" s="16" t="n">
        <v>5</v>
      </c>
      <c r="L60" s="16" t="inlineStr">
        <is>
          <t>29.10.2024 18:43:14</t>
        </is>
      </c>
      <c r="M60" s="16" t="inlineStr">
        <is>
          <t>8 days</t>
        </is>
      </c>
      <c r="N60" s="16" t="inlineStr">
        <is>
          <t xml:space="preserve">        174K             1M           290K</t>
        </is>
      </c>
      <c r="O60" s="16" t="inlineStr">
        <is>
          <t>5qmL9rCSfZ7pBYAsaoeG8SP76ZELeRCK8XtMmYZvpump</t>
        </is>
      </c>
      <c r="P60" s="16">
        <f>HYPERLINK("https://dexscreener.com/solana/5qmL9rCSfZ7pBYAsaoeG8SP76ZELeRCK8XtMmYZvpump", "View")</f>
        <v/>
      </c>
    </row>
    <row r="61">
      <c r="A61" s="19" t="inlineStr">
        <is>
          <t xml:space="preserve">Fartcoin </t>
        </is>
      </c>
      <c r="B61" s="20" t="n">
        <v>17557</v>
      </c>
      <c r="C61" s="20" t="n">
        <v>7802</v>
      </c>
      <c r="D61" s="20" t="inlineStr">
        <is>
          <t>0.001020</t>
        </is>
      </c>
      <c r="E61" s="20" t="inlineStr">
        <is>
          <t>1.000 SOL</t>
        </is>
      </c>
      <c r="F61" s="20" t="inlineStr">
        <is>
          <t>1.854 SOL</t>
        </is>
      </c>
      <c r="G61" s="23" t="inlineStr">
        <is>
          <t>0.853 SOL</t>
        </is>
      </c>
      <c r="H61" s="23" t="inlineStr">
        <is>
          <t>85.26%</t>
        </is>
      </c>
      <c r="I61" s="20" t="inlineStr">
        <is>
          <t>N/A</t>
        </is>
      </c>
      <c r="J61" s="20" t="n">
        <v>1</v>
      </c>
      <c r="K61" s="20" t="n">
        <v>3</v>
      </c>
      <c r="L61" s="20" t="inlineStr">
        <is>
          <t>29.10.2024 18:43:04</t>
        </is>
      </c>
      <c r="M61" s="20" t="inlineStr">
        <is>
          <t>10 days</t>
        </is>
      </c>
      <c r="N61" s="20" t="inlineStr">
        <is>
          <t xml:space="preserve">         10M            10M            23M</t>
        </is>
      </c>
      <c r="O61" s="20" t="inlineStr">
        <is>
          <t>9BB6NFEcjBCtnNLFko2FqVQBq8HHM13kCyYcdQbgpump</t>
        </is>
      </c>
      <c r="P61" s="20">
        <f>HYPERLINK("https://dexscreener.com/solana/9BB6NFEcjBCtnNLFko2FqVQBq8HHM13kCyYcdQbgpump", "View")</f>
        <v/>
      </c>
    </row>
    <row r="62">
      <c r="A62" s="15" t="inlineStr">
        <is>
          <t>Maxwell</t>
        </is>
      </c>
      <c r="B62" s="16" t="n">
        <v>899130</v>
      </c>
      <c r="C62" s="16" t="n">
        <v>696310</v>
      </c>
      <c r="D62" s="16" t="inlineStr">
        <is>
          <t>0.011020</t>
        </is>
      </c>
      <c r="E62" s="16" t="inlineStr">
        <is>
          <t>1.000 SOL</t>
        </is>
      </c>
      <c r="F62" s="16" t="inlineStr">
        <is>
          <t>2.976 SOL</t>
        </is>
      </c>
      <c r="G62" s="23" t="inlineStr">
        <is>
          <t>1.965 SOL</t>
        </is>
      </c>
      <c r="H62" s="23" t="inlineStr">
        <is>
          <t>194.33%</t>
        </is>
      </c>
      <c r="I62" s="16" t="inlineStr">
        <is>
          <t>N/A</t>
        </is>
      </c>
      <c r="J62" s="16" t="n">
        <v>1</v>
      </c>
      <c r="K62" s="16" t="n">
        <v>4</v>
      </c>
      <c r="L62" s="16" t="inlineStr">
        <is>
          <t>29.10.2024 18:42:52</t>
        </is>
      </c>
      <c r="M62" s="16" t="inlineStr">
        <is>
          <t>10 days</t>
        </is>
      </c>
      <c r="N62" s="16" t="inlineStr">
        <is>
          <t xml:space="preserve">        195K           195K           320K</t>
        </is>
      </c>
      <c r="O62" s="16" t="inlineStr">
        <is>
          <t>H84qihes12nVQarr8rzmw87hDXUbHtFKRm5joBcbpump</t>
        </is>
      </c>
      <c r="P62" s="16">
        <f>HYPERLINK("https://dexscreener.com/solana/H84qihes12nVQarr8rzmw87hDXUbHtFKRm5joBcbpump", "View")</f>
        <v/>
      </c>
    </row>
    <row r="63">
      <c r="A63" s="19" t="inlineStr">
        <is>
          <t>TEMPLE</t>
        </is>
      </c>
      <c r="B63" s="20" t="n">
        <v>5669844</v>
      </c>
      <c r="C63" s="20" t="n">
        <v>4582728</v>
      </c>
      <c r="D63" s="20" t="inlineStr">
        <is>
          <t>0.021430</t>
        </is>
      </c>
      <c r="E63" s="20" t="inlineStr">
        <is>
          <t>0.980 SOL</t>
        </is>
      </c>
      <c r="F63" s="20" t="inlineStr">
        <is>
          <t>7.843 SOL</t>
        </is>
      </c>
      <c r="G63" s="23" t="inlineStr">
        <is>
          <t>6.842 SOL</t>
        </is>
      </c>
      <c r="H63" s="23" t="inlineStr">
        <is>
          <t>683.15%</t>
        </is>
      </c>
      <c r="I63" s="20" t="inlineStr">
        <is>
          <t>N/A</t>
        </is>
      </c>
      <c r="J63" s="20" t="n">
        <v>1</v>
      </c>
      <c r="K63" s="20" t="n">
        <v>5</v>
      </c>
      <c r="L63" s="20" t="inlineStr">
        <is>
          <t>29.10.2024 18:42:40</t>
        </is>
      </c>
      <c r="M63" s="20" t="inlineStr">
        <is>
          <t>8 days</t>
        </is>
      </c>
      <c r="N63" s="20" t="inlineStr">
        <is>
          <t xml:space="preserve">         30K           221K            60K</t>
        </is>
      </c>
      <c r="O63" s="20" t="inlineStr">
        <is>
          <t>EZDwvexi9tWuduXTsqCNmgQNPpLPpXJySHCX3PNrpump</t>
        </is>
      </c>
      <c r="P63" s="20">
        <f>HYPERLINK("https://dexscreener.com/solana/EZDwvexi9tWuduXTsqCNmgQNPpLPpXJySHCX3PNrpump", "View")</f>
        <v/>
      </c>
    </row>
    <row r="64">
      <c r="A64" s="15" t="inlineStr">
        <is>
          <t xml:space="preserve">PEPEAI </t>
        </is>
      </c>
      <c r="B64" s="16" t="n">
        <v>6202186</v>
      </c>
      <c r="C64" s="16" t="n">
        <v>5581967</v>
      </c>
      <c r="D64" s="16" t="inlineStr">
        <is>
          <t>0.000010</t>
        </is>
      </c>
      <c r="E64" s="16" t="inlineStr">
        <is>
          <t>0.980 SOL</t>
        </is>
      </c>
      <c r="F64" s="16" t="inlineStr">
        <is>
          <t>0.040 SOL</t>
        </is>
      </c>
      <c r="G64" s="24" t="inlineStr">
        <is>
          <t>-0.940 SOL</t>
        </is>
      </c>
      <c r="H64" s="24" t="inlineStr">
        <is>
          <t>-95.88%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28.10.2024 21:30:25</t>
        </is>
      </c>
      <c r="M64" s="16" t="inlineStr">
        <is>
          <t>2 days</t>
        </is>
      </c>
      <c r="N64" s="16" t="inlineStr">
        <is>
          <t xml:space="preserve">         28K            28K             1K</t>
        </is>
      </c>
      <c r="O64" s="16" t="inlineStr">
        <is>
          <t>4nbKusKAdSkHHLaMwbZ6Lf2z7uLDgfM655mHfmAc1Bhd</t>
        </is>
      </c>
      <c r="P64" s="16">
        <f>HYPERLINK("https://dexscreener.com/solana/4nbKusKAdSkHHLaMwbZ6Lf2z7uLDgfM655mHfmAc1Bhd", "View")</f>
        <v/>
      </c>
    </row>
    <row r="65">
      <c r="A65" s="19" t="inlineStr">
        <is>
          <t>BABYGOAT</t>
        </is>
      </c>
      <c r="B65" s="20" t="n">
        <v>707597</v>
      </c>
      <c r="C65" s="20" t="n">
        <v>698417</v>
      </c>
      <c r="D65" s="20" t="inlineStr">
        <is>
          <t>0.000030</t>
        </is>
      </c>
      <c r="E65" s="20" t="inlineStr">
        <is>
          <t>0.980 SOL</t>
        </is>
      </c>
      <c r="F65" s="20" t="inlineStr">
        <is>
          <t>11.756 SOL</t>
        </is>
      </c>
      <c r="G65" s="23" t="inlineStr">
        <is>
          <t>10.776 SOL</t>
        </is>
      </c>
      <c r="H65" s="23" t="inlineStr">
        <is>
          <t>1099.48%</t>
        </is>
      </c>
      <c r="I65" s="20" t="inlineStr">
        <is>
          <t>N/A</t>
        </is>
      </c>
      <c r="J65" s="20" t="n">
        <v>1</v>
      </c>
      <c r="K65" s="20" t="n">
        <v>5</v>
      </c>
      <c r="L65" s="20" t="inlineStr">
        <is>
          <t>28.10.2024 15:25:11</t>
        </is>
      </c>
      <c r="M65" s="20" t="inlineStr">
        <is>
          <t>3 days</t>
        </is>
      </c>
      <c r="N65" s="20" t="inlineStr">
        <is>
          <t xml:space="preserve">        244K           244K           245K</t>
        </is>
      </c>
      <c r="O65" s="20" t="inlineStr">
        <is>
          <t>F4aLcMxQy6CPcXAuER3J5QgB89n4fqBMs2bcrqQBpump</t>
        </is>
      </c>
      <c r="P65" s="20">
        <f>HYPERLINK("https://dexscreener.com/solana/F4aLcMxQy6CPcXAuER3J5QgB89n4fqBMs2bcrqQBpump", "View")</f>
        <v/>
      </c>
    </row>
    <row r="66">
      <c r="A66" s="15" t="inlineStr">
        <is>
          <t>Pan</t>
        </is>
      </c>
      <c r="B66" s="16" t="n">
        <v>560991</v>
      </c>
      <c r="C66" s="16" t="n">
        <v>504891</v>
      </c>
      <c r="D66" s="16" t="inlineStr">
        <is>
          <t>0.000010</t>
        </is>
      </c>
      <c r="E66" s="16" t="inlineStr">
        <is>
          <t>0.980 SOL</t>
        </is>
      </c>
      <c r="F66" s="16" t="inlineStr">
        <is>
          <t>0.100 SOL</t>
        </is>
      </c>
      <c r="G66" s="24" t="inlineStr">
        <is>
          <t>-0.880 SOL</t>
        </is>
      </c>
      <c r="H66" s="24" t="inlineStr">
        <is>
          <t>-89.82%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28.10.2024 10:03:12</t>
        </is>
      </c>
      <c r="M66" s="16" t="inlineStr">
        <is>
          <t>1 days</t>
        </is>
      </c>
      <c r="N66" s="16" t="inlineStr">
        <is>
          <t xml:space="preserve">        307K           307K            14K</t>
        </is>
      </c>
      <c r="O66" s="16" t="inlineStr">
        <is>
          <t>9JLsnxCqZju5ymLhMkTW6acnUxgrARqz5NAR7Acdpump</t>
        </is>
      </c>
      <c r="P66" s="16">
        <f>HYPERLINK("https://dexscreener.com/solana/9JLsnxCqZju5ymLhMkTW6acnUxgrARqz5NAR7Acdpump", "View")</f>
        <v/>
      </c>
    </row>
    <row r="67">
      <c r="A67" s="19" t="inlineStr">
        <is>
          <t>PUMPAI</t>
        </is>
      </c>
      <c r="B67" s="20" t="n">
        <v>202902</v>
      </c>
      <c r="C67" s="20" t="n">
        <v>182611</v>
      </c>
      <c r="D67" s="20" t="inlineStr">
        <is>
          <t>0.000010</t>
        </is>
      </c>
      <c r="E67" s="20" t="inlineStr">
        <is>
          <t>0.980 SOL</t>
        </is>
      </c>
      <c r="F67" s="20" t="inlineStr">
        <is>
          <t>0.168 SOL</t>
        </is>
      </c>
      <c r="G67" s="24" t="inlineStr">
        <is>
          <t>-0.812 SOL</t>
        </is>
      </c>
      <c r="H67" s="24" t="inlineStr">
        <is>
          <t>-82.85%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28.10.2024 05:27:10</t>
        </is>
      </c>
      <c r="M67" s="20" t="inlineStr">
        <is>
          <t>1 days</t>
        </is>
      </c>
      <c r="N67" s="20" t="inlineStr">
        <is>
          <t xml:space="preserve">        848K           848K            32K</t>
        </is>
      </c>
      <c r="O67" s="20" t="inlineStr">
        <is>
          <t>hf8aYwMK2cYv7t4uUhUAqpdwTS3sja2z9RJMQZ2pump</t>
        </is>
      </c>
      <c r="P67" s="20">
        <f>HYPERLINK("https://dexscreener.com/solana/hf8aYwMK2cYv7t4uUhUAqpdwTS3sja2z9RJMQZ2pump", "View")</f>
        <v/>
      </c>
    </row>
    <row r="68">
      <c r="A68" s="15" t="inlineStr">
        <is>
          <t>MP</t>
        </is>
      </c>
      <c r="B68" s="16" t="n">
        <v>928405</v>
      </c>
      <c r="C68" s="16" t="n">
        <v>835564</v>
      </c>
      <c r="D68" s="16" t="inlineStr">
        <is>
          <t>0.000010</t>
        </is>
      </c>
      <c r="E68" s="16" t="inlineStr">
        <is>
          <t>0.980 SOL</t>
        </is>
      </c>
      <c r="F68" s="16" t="inlineStr">
        <is>
          <t>0.067 SOL</t>
        </is>
      </c>
      <c r="G68" s="24" t="inlineStr">
        <is>
          <t>-0.913 SOL</t>
        </is>
      </c>
      <c r="H68" s="24" t="inlineStr">
        <is>
          <t>-93.16%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27.10.2024 23:45:16</t>
        </is>
      </c>
      <c r="M68" s="16" t="inlineStr">
        <is>
          <t>19 hours</t>
        </is>
      </c>
      <c r="N68" s="16" t="inlineStr">
        <is>
          <t xml:space="preserve">        186K           186K             8K</t>
        </is>
      </c>
      <c r="O68" s="16" t="inlineStr">
        <is>
          <t>B6X51M56VjmmTZ4sZ6tdPEWefSuqLp1GYSRrCzYpump</t>
        </is>
      </c>
      <c r="P68" s="16">
        <f>HYPERLINK("https://dexscreener.com/solana/B6X51M56VjmmTZ4sZ6tdPEWefSuqLp1GYSRrCzYpump", "View")</f>
        <v/>
      </c>
    </row>
    <row r="69">
      <c r="A69" s="19" t="inlineStr">
        <is>
          <t>Foomers</t>
        </is>
      </c>
      <c r="B69" s="20" t="n">
        <v>1254754</v>
      </c>
      <c r="C69" s="20" t="n">
        <v>1129278</v>
      </c>
      <c r="D69" s="20" t="inlineStr">
        <is>
          <t>0.000010</t>
        </is>
      </c>
      <c r="E69" s="20" t="inlineStr">
        <is>
          <t>0.980 SOL</t>
        </is>
      </c>
      <c r="F69" s="20" t="inlineStr">
        <is>
          <t>0.049 SOL</t>
        </is>
      </c>
      <c r="G69" s="24" t="inlineStr">
        <is>
          <t>-0.931 SOL</t>
        </is>
      </c>
      <c r="H69" s="24" t="inlineStr">
        <is>
          <t>-95.02%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27.10.2024 12:17:09</t>
        </is>
      </c>
      <c r="M69" s="20" t="inlineStr">
        <is>
          <t>21 hours</t>
        </is>
      </c>
      <c r="N69" s="20" t="inlineStr">
        <is>
          <t xml:space="preserve">        137K           137K             6K</t>
        </is>
      </c>
      <c r="O69" s="20" t="inlineStr">
        <is>
          <t>996Bg4KQAZqoyhQ5UYZdmJ2TwSJnPtqyaTQ9C1Aipump</t>
        </is>
      </c>
      <c r="P69" s="20">
        <f>HYPERLINK("https://dexscreener.com/solana/996Bg4KQAZqoyhQ5UYZdmJ2TwSJnPtqyaTQ9C1Aipump", "View")</f>
        <v/>
      </c>
    </row>
    <row r="70">
      <c r="A70" s="15" t="inlineStr">
        <is>
          <t>ruby</t>
        </is>
      </c>
      <c r="B70" s="16" t="n">
        <v>769836</v>
      </c>
      <c r="C70" s="16" t="n">
        <v>461901</v>
      </c>
      <c r="D70" s="16" t="inlineStr">
        <is>
          <t>0.003510</t>
        </is>
      </c>
      <c r="E70" s="16" t="inlineStr">
        <is>
          <t>0.980 SOL</t>
        </is>
      </c>
      <c r="F70" s="16" t="inlineStr">
        <is>
          <t>1.381 SOL</t>
        </is>
      </c>
      <c r="G70" s="22" t="inlineStr">
        <is>
          <t>0.397 SOL</t>
        </is>
      </c>
      <c r="H70" s="22" t="inlineStr">
        <is>
          <t>40.40%</t>
        </is>
      </c>
      <c r="I70" s="16" t="inlineStr">
        <is>
          <t>N/A</t>
        </is>
      </c>
      <c r="J70" s="16" t="n">
        <v>1</v>
      </c>
      <c r="K70" s="16" t="n">
        <v>1</v>
      </c>
      <c r="L70" s="16" t="inlineStr">
        <is>
          <t>27.10.2024 02:42:53</t>
        </is>
      </c>
      <c r="M70" s="16" t="inlineStr">
        <is>
          <t>4 days</t>
        </is>
      </c>
      <c r="N70" s="16" t="inlineStr">
        <is>
          <t xml:space="preserve">        223K           223K            57K</t>
        </is>
      </c>
      <c r="O70" s="16" t="inlineStr">
        <is>
          <t>ABHQGzXNoRbJ1sjUsCJ2TmTAo1uMx4EUpV1qYiSVpump</t>
        </is>
      </c>
      <c r="P70" s="16">
        <f>HYPERLINK("https://dexscreener.com/solana/ABHQGzXNoRbJ1sjUsCJ2TmTAo1uMx4EUpV1qYiSVpump", "View")</f>
        <v/>
      </c>
    </row>
    <row r="71">
      <c r="A71" s="19" t="inlineStr">
        <is>
          <t>things</t>
        </is>
      </c>
      <c r="B71" s="20" t="n">
        <v>731120</v>
      </c>
      <c r="C71" s="20" t="n">
        <v>658007</v>
      </c>
      <c r="D71" s="20" t="inlineStr">
        <is>
          <t>0.000010</t>
        </is>
      </c>
      <c r="E71" s="20" t="inlineStr">
        <is>
          <t>0.980 SOL</t>
        </is>
      </c>
      <c r="F71" s="20" t="inlineStr">
        <is>
          <t>0.069 SOL</t>
        </is>
      </c>
      <c r="G71" s="24" t="inlineStr">
        <is>
          <t>-0.911 SOL</t>
        </is>
      </c>
      <c r="H71" s="24" t="inlineStr">
        <is>
          <t>-92.93%</t>
        </is>
      </c>
      <c r="I71" s="20" t="inlineStr">
        <is>
          <t>N/A</t>
        </is>
      </c>
      <c r="J71" s="20" t="n">
        <v>1</v>
      </c>
      <c r="K71" s="20" t="n">
        <v>1</v>
      </c>
      <c r="L71" s="20" t="inlineStr">
        <is>
          <t>27.10.2024 02:25:09</t>
        </is>
      </c>
      <c r="M71" s="20" t="inlineStr">
        <is>
          <t>11 hours</t>
        </is>
      </c>
      <c r="N71" s="20" t="inlineStr">
        <is>
          <t xml:space="preserve">        235K           235K             7K</t>
        </is>
      </c>
      <c r="O71" s="20" t="inlineStr">
        <is>
          <t>3iGVWssEDTW6D2YEQaMfgkvfq6AeWXEyvUVdyevgpump</t>
        </is>
      </c>
      <c r="P71" s="20">
        <f>HYPERLINK("https://dexscreener.com/solana/3iGVWssEDTW6D2YEQaMfgkvfq6AeWXEyvUVdyevgpump", "View")</f>
        <v/>
      </c>
    </row>
    <row r="72">
      <c r="A72" s="15" t="inlineStr">
        <is>
          <t>nice</t>
        </is>
      </c>
      <c r="B72" s="16" t="n">
        <v>1774455</v>
      </c>
      <c r="C72" s="16" t="n">
        <v>1597009</v>
      </c>
      <c r="D72" s="16" t="inlineStr">
        <is>
          <t>0.000010</t>
        </is>
      </c>
      <c r="E72" s="16" t="inlineStr">
        <is>
          <t>0.980 SOL</t>
        </is>
      </c>
      <c r="F72" s="16" t="inlineStr">
        <is>
          <t>0.080 SOL</t>
        </is>
      </c>
      <c r="G72" s="24" t="inlineStr">
        <is>
          <t>-0.900 SOL</t>
        </is>
      </c>
      <c r="H72" s="24" t="inlineStr">
        <is>
          <t>-91.86%</t>
        </is>
      </c>
      <c r="I72" s="16" t="inlineStr">
        <is>
          <t>N/A</t>
        </is>
      </c>
      <c r="J72" s="16" t="n">
        <v>1</v>
      </c>
      <c r="K72" s="16" t="n">
        <v>1</v>
      </c>
      <c r="L72" s="16" t="inlineStr">
        <is>
          <t>26.10.2024 21:39:09</t>
        </is>
      </c>
      <c r="M72" s="16" t="inlineStr">
        <is>
          <t>1 days</t>
        </is>
      </c>
      <c r="N72" s="16" t="inlineStr">
        <is>
          <t xml:space="preserve">         97K            97K             7K</t>
        </is>
      </c>
      <c r="O72" s="16" t="inlineStr">
        <is>
          <t>9YDSKLv6vAaXhKECNVwjiFrTe3KsFPRqXyd3D2Qdpump</t>
        </is>
      </c>
      <c r="P72" s="16">
        <f>HYPERLINK("https://dexscreener.com/solana/9YDSKLv6vAaXhKECNVwjiFrTe3KsFPRqXyd3D2Qdpump", "View")</f>
        <v/>
      </c>
    </row>
    <row r="73">
      <c r="A73" s="19" t="inlineStr">
        <is>
          <t>hubert</t>
        </is>
      </c>
      <c r="B73" s="20" t="n">
        <v>1524450</v>
      </c>
      <c r="C73" s="20" t="n">
        <v>1372004</v>
      </c>
      <c r="D73" s="20" t="inlineStr">
        <is>
          <t>0.000010</t>
        </is>
      </c>
      <c r="E73" s="20" t="inlineStr">
        <is>
          <t>0.980 SOL</t>
        </is>
      </c>
      <c r="F73" s="20" t="inlineStr">
        <is>
          <t>0.188 SOL</t>
        </is>
      </c>
      <c r="G73" s="24" t="inlineStr">
        <is>
          <t>-0.792 SOL</t>
        </is>
      </c>
      <c r="H73" s="24" t="inlineStr">
        <is>
          <t>-80.85%</t>
        </is>
      </c>
      <c r="I73" s="20" t="inlineStr">
        <is>
          <t>N/A</t>
        </is>
      </c>
      <c r="J73" s="20" t="n">
        <v>1</v>
      </c>
      <c r="K73" s="20" t="n">
        <v>1</v>
      </c>
      <c r="L73" s="20" t="inlineStr">
        <is>
          <t>26.10.2024 19:03:11</t>
        </is>
      </c>
      <c r="M73" s="20" t="inlineStr">
        <is>
          <t>5 hours</t>
        </is>
      </c>
      <c r="N73" s="20" t="inlineStr">
        <is>
          <t xml:space="preserve">        112K           112K             8K</t>
        </is>
      </c>
      <c r="O73" s="20" t="inlineStr">
        <is>
          <t>GhnSqjk15XH7m1inUgK9Lpw4CpyHAvghLniCYbikpump</t>
        </is>
      </c>
      <c r="P73" s="20">
        <f>HYPERLINK("https://dexscreener.com/solana/GhnSqjk15XH7m1inUgK9Lpw4CpyHAvghLniCYbikpump", "View")</f>
        <v/>
      </c>
    </row>
    <row r="74">
      <c r="A74" s="15" t="inlineStr">
        <is>
          <t>Malmo</t>
        </is>
      </c>
      <c r="B74" s="16" t="n">
        <v>3115711</v>
      </c>
      <c r="C74" s="16" t="n">
        <v>0</v>
      </c>
      <c r="D74" s="16" t="inlineStr">
        <is>
          <t>0.000010</t>
        </is>
      </c>
      <c r="E74" s="16" t="inlineStr">
        <is>
          <t>0.980 SOL</t>
        </is>
      </c>
      <c r="F74" s="16" t="inlineStr">
        <is>
          <t>0.000 SOL</t>
        </is>
      </c>
      <c r="G74" s="17" t="inlineStr">
        <is>
          <t>-0.980 SOL</t>
        </is>
      </c>
      <c r="H74" s="17" t="inlineStr">
        <is>
          <t>0.00%</t>
        </is>
      </c>
      <c r="I74" s="16" t="inlineStr">
        <is>
          <t>3,115,711</t>
        </is>
      </c>
      <c r="J74" s="16" t="n">
        <v>1</v>
      </c>
      <c r="K74" s="16" t="n">
        <v>0</v>
      </c>
      <c r="L74" s="16" t="inlineStr">
        <is>
          <t>26.10.2024 17:15:20</t>
        </is>
      </c>
      <c r="M74" s="18" t="inlineStr">
        <is>
          <t>0 sec</t>
        </is>
      </c>
      <c r="N74" s="16" t="inlineStr">
        <is>
          <t xml:space="preserve">         54K            54K             6K</t>
        </is>
      </c>
      <c r="O74" s="16" t="inlineStr">
        <is>
          <t>BPUaSed74toPWkGgmuzZrhUdXXnaQzYRA9jrAToSpump</t>
        </is>
      </c>
      <c r="P74" s="16">
        <f>HYPERLINK("https://dexscreener.com/solana/BPUaSed74toPWkGgmuzZrhUdXXnaQzYRA9jrAToSpump", "View")</f>
        <v/>
      </c>
    </row>
    <row r="75">
      <c r="A75" s="19" t="inlineStr">
        <is>
          <t>ANANAB</t>
        </is>
      </c>
      <c r="B75" s="20" t="n">
        <v>1227720</v>
      </c>
      <c r="C75" s="20" t="n">
        <v>0</v>
      </c>
      <c r="D75" s="20" t="inlineStr">
        <is>
          <t>0.000010</t>
        </is>
      </c>
      <c r="E75" s="20" t="inlineStr">
        <is>
          <t>0.980 SOL</t>
        </is>
      </c>
      <c r="F75" s="20" t="inlineStr">
        <is>
          <t>0.000 SOL</t>
        </is>
      </c>
      <c r="G75" s="17" t="inlineStr">
        <is>
          <t>-0.980 SOL</t>
        </is>
      </c>
      <c r="H75" s="17" t="inlineStr">
        <is>
          <t>0.00%</t>
        </is>
      </c>
      <c r="I75" s="20" t="inlineStr">
        <is>
          <t>1,227,720</t>
        </is>
      </c>
      <c r="J75" s="20" t="n">
        <v>1</v>
      </c>
      <c r="K75" s="20" t="n">
        <v>0</v>
      </c>
      <c r="L75" s="20" t="inlineStr">
        <is>
          <t>26.10.2024 15:24:16</t>
        </is>
      </c>
      <c r="M75" s="18" t="inlineStr">
        <is>
          <t>0 sec</t>
        </is>
      </c>
      <c r="N75" s="20" t="inlineStr">
        <is>
          <t xml:space="preserve">        140K           140K             9K</t>
        </is>
      </c>
      <c r="O75" s="20" t="inlineStr">
        <is>
          <t>HaqNyHMwCP1YGCYgjY7kJNVd6gv4mz1Y75A4xKVUpump</t>
        </is>
      </c>
      <c r="P75" s="20">
        <f>HYPERLINK("https://dexscreener.com/solana/HaqNyHMwCP1YGCYgjY7kJNVd6gv4mz1Y75A4xKVUpump", "View")</f>
        <v/>
      </c>
    </row>
    <row r="76">
      <c r="A76" s="15" t="inlineStr">
        <is>
          <t>LAMB</t>
        </is>
      </c>
      <c r="B76" s="16" t="n">
        <v>2536710</v>
      </c>
      <c r="C76" s="16" t="n">
        <v>0</v>
      </c>
      <c r="D76" s="16" t="inlineStr">
        <is>
          <t>0.000010</t>
        </is>
      </c>
      <c r="E76" s="16" t="inlineStr">
        <is>
          <t>0.980 SOL</t>
        </is>
      </c>
      <c r="F76" s="16" t="inlineStr">
        <is>
          <t>0.000 SOL</t>
        </is>
      </c>
      <c r="G76" s="17" t="inlineStr">
        <is>
          <t>-0.980 SOL</t>
        </is>
      </c>
      <c r="H76" s="17" t="inlineStr">
        <is>
          <t>0.00%</t>
        </is>
      </c>
      <c r="I76" s="16" t="inlineStr">
        <is>
          <t>2,536,710</t>
        </is>
      </c>
      <c r="J76" s="16" t="n">
        <v>1</v>
      </c>
      <c r="K76" s="16" t="n">
        <v>0</v>
      </c>
      <c r="L76" s="16" t="inlineStr">
        <is>
          <t>26.10.2024 14:45:25</t>
        </is>
      </c>
      <c r="M76" s="18" t="inlineStr">
        <is>
          <t>0 sec</t>
        </is>
      </c>
      <c r="N76" s="16" t="inlineStr">
        <is>
          <t xml:space="preserve">         63K            63K             6K</t>
        </is>
      </c>
      <c r="O76" s="16" t="inlineStr">
        <is>
          <t>AcCNe3rA2ugXTdGCAMNyEYZwyBdf1raGrmHoscQZpump</t>
        </is>
      </c>
      <c r="P76" s="16">
        <f>HYPERLINK("https://dexscreener.com/solana/AcCNe3rA2ugXTdGCAMNyEYZwyBdf1raGrmHoscQZpump", "View")</f>
        <v/>
      </c>
    </row>
    <row r="77">
      <c r="A77" s="19" t="inlineStr">
        <is>
          <t>vvaifu</t>
        </is>
      </c>
      <c r="B77" s="20" t="n">
        <v>250841</v>
      </c>
      <c r="C77" s="20" t="n">
        <v>165554</v>
      </c>
      <c r="D77" s="20" t="inlineStr">
        <is>
          <t>0.000610</t>
        </is>
      </c>
      <c r="E77" s="20" t="inlineStr">
        <is>
          <t>1.000 SOL</t>
        </is>
      </c>
      <c r="F77" s="20" t="inlineStr">
        <is>
          <t>2.929 SOL</t>
        </is>
      </c>
      <c r="G77" s="23" t="inlineStr">
        <is>
          <t>1.928 SOL</t>
        </is>
      </c>
      <c r="H77" s="23" t="inlineStr">
        <is>
          <t>192.72%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26.10.2024 12:06:13</t>
        </is>
      </c>
      <c r="M77" s="20" t="inlineStr">
        <is>
          <t>7 days</t>
        </is>
      </c>
      <c r="N77" s="20" t="inlineStr">
        <is>
          <t xml:space="preserve">        701K           701K           417K</t>
        </is>
      </c>
      <c r="O77" s="20" t="inlineStr">
        <is>
          <t>FQ1tyso61AH1tzodyJfSwmzsD3GToybbRNoZxUBz21p8</t>
        </is>
      </c>
      <c r="P77" s="20">
        <f>HYPERLINK("https://dexscreener.com/solana/FQ1tyso61AH1tzodyJfSwmzsD3GToybbRNoZxUBz21p8", "View")</f>
        <v/>
      </c>
    </row>
    <row r="78">
      <c r="A78" s="15" t="inlineStr">
        <is>
          <t>Jonesy</t>
        </is>
      </c>
      <c r="B78" s="16" t="n">
        <v>2591354</v>
      </c>
      <c r="C78" s="16" t="n">
        <v>0</v>
      </c>
      <c r="D78" s="16" t="inlineStr">
        <is>
          <t>0.000010</t>
        </is>
      </c>
      <c r="E78" s="16" t="inlineStr">
        <is>
          <t>0.980 SOL</t>
        </is>
      </c>
      <c r="F78" s="16" t="inlineStr">
        <is>
          <t>0.000 SOL</t>
        </is>
      </c>
      <c r="G78" s="17" t="inlineStr">
        <is>
          <t>-0.980 SOL</t>
        </is>
      </c>
      <c r="H78" s="17" t="inlineStr">
        <is>
          <t>0.00%</t>
        </is>
      </c>
      <c r="I78" s="16" t="inlineStr">
        <is>
          <t>2,591,354</t>
        </is>
      </c>
      <c r="J78" s="16" t="n">
        <v>1</v>
      </c>
      <c r="K78" s="16" t="n">
        <v>0</v>
      </c>
      <c r="L78" s="16" t="inlineStr">
        <is>
          <t>26.10.2024 02:24:15</t>
        </is>
      </c>
      <c r="M78" s="18" t="inlineStr">
        <is>
          <t>0 sec</t>
        </is>
      </c>
      <c r="N78" s="16" t="inlineStr">
        <is>
          <t xml:space="preserve">         67K            67K             4K</t>
        </is>
      </c>
      <c r="O78" s="16" t="inlineStr">
        <is>
          <t>63q7zCmAVuAE5qgQ7bRAwjgTufgL3MoDC5QHvhJrpump</t>
        </is>
      </c>
      <c r="P78" s="16">
        <f>HYPERLINK("https://dexscreener.com/solana/63q7zCmAVuAE5qgQ7bRAwjgTufgL3MoDC5QHvhJrpump", "View")</f>
        <v/>
      </c>
    </row>
    <row r="79">
      <c r="A79" s="19" t="inlineStr">
        <is>
          <t>THEO</t>
        </is>
      </c>
      <c r="B79" s="20" t="n">
        <v>1242344</v>
      </c>
      <c r="C79" s="20" t="n">
        <v>1118109</v>
      </c>
      <c r="D79" s="20" t="inlineStr">
        <is>
          <t>0.000010</t>
        </is>
      </c>
      <c r="E79" s="20" t="inlineStr">
        <is>
          <t>0.980 SOL</t>
        </is>
      </c>
      <c r="F79" s="20" t="inlineStr">
        <is>
          <t>0.159 SOL</t>
        </is>
      </c>
      <c r="G79" s="24" t="inlineStr">
        <is>
          <t>-0.821 SOL</t>
        </is>
      </c>
      <c r="H79" s="24" t="inlineStr">
        <is>
          <t>-83.76%</t>
        </is>
      </c>
      <c r="I79" s="20" t="inlineStr">
        <is>
          <t>N/A</t>
        </is>
      </c>
      <c r="J79" s="20" t="n">
        <v>1</v>
      </c>
      <c r="K79" s="20" t="n">
        <v>1</v>
      </c>
      <c r="L79" s="20" t="inlineStr">
        <is>
          <t>26.10.2024 01:20:14</t>
        </is>
      </c>
      <c r="M79" s="20" t="inlineStr">
        <is>
          <t>22 hours</t>
        </is>
      </c>
      <c r="N79" s="20" t="inlineStr">
        <is>
          <t xml:space="preserve">        139K           139K            11K</t>
        </is>
      </c>
      <c r="O79" s="20" t="inlineStr">
        <is>
          <t>BZW215nxTGpbw87TUQJJpABGTBXeXqfjxjDYyrjCpump</t>
        </is>
      </c>
      <c r="P79" s="20">
        <f>HYPERLINK("https://dexscreener.com/solana/BZW215nxTGpbw87TUQJJpABGTBXeXqfjxjDYyrjCpump", "View")</f>
        <v/>
      </c>
    </row>
    <row r="80">
      <c r="A80" s="15" t="inlineStr">
        <is>
          <t>TrueSpace</t>
        </is>
      </c>
      <c r="B80" s="16" t="n">
        <v>1686427</v>
      </c>
      <c r="C80" s="16" t="n">
        <v>1517784</v>
      </c>
      <c r="D80" s="16" t="inlineStr">
        <is>
          <t>0.000010</t>
        </is>
      </c>
      <c r="E80" s="16" t="inlineStr">
        <is>
          <t>0.980 SOL</t>
        </is>
      </c>
      <c r="F80" s="16" t="inlineStr">
        <is>
          <t>0.076 SOL</t>
        </is>
      </c>
      <c r="G80" s="24" t="inlineStr">
        <is>
          <t>-0.904 SOL</t>
        </is>
      </c>
      <c r="H80" s="24" t="inlineStr">
        <is>
          <t>-92.20%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26.10.2024 00:42:11</t>
        </is>
      </c>
      <c r="M80" s="16" t="inlineStr">
        <is>
          <t>22 hours</t>
        </is>
      </c>
      <c r="N80" s="16" t="inlineStr">
        <is>
          <t xml:space="preserve">        102K           102K             6K</t>
        </is>
      </c>
      <c r="O80" s="16" t="inlineStr">
        <is>
          <t>2j48qpWJpWNHoWhsmWsdmaA1wKP7qaoYJfwhAbrkpump</t>
        </is>
      </c>
      <c r="P80" s="16">
        <f>HYPERLINK("https://dexscreener.com/solana/2j48qpWJpWNHoWhsmWsdmaA1wKP7qaoYJfwhAbrkpump", "View")</f>
        <v/>
      </c>
    </row>
    <row r="81">
      <c r="A81" s="19" t="inlineStr">
        <is>
          <t>3</t>
        </is>
      </c>
      <c r="B81" s="20" t="n">
        <v>767707</v>
      </c>
      <c r="C81" s="20" t="n">
        <v>690936</v>
      </c>
      <c r="D81" s="20" t="inlineStr">
        <is>
          <t>0.000010</t>
        </is>
      </c>
      <c r="E81" s="20" t="inlineStr">
        <is>
          <t>0.980 SOL</t>
        </is>
      </c>
      <c r="F81" s="20" t="inlineStr">
        <is>
          <t>0.103 SOL</t>
        </is>
      </c>
      <c r="G81" s="24" t="inlineStr">
        <is>
          <t>-0.877 SOL</t>
        </is>
      </c>
      <c r="H81" s="24" t="inlineStr">
        <is>
          <t>-89.48%</t>
        </is>
      </c>
      <c r="I81" s="20" t="inlineStr">
        <is>
          <t>N/A</t>
        </is>
      </c>
      <c r="J81" s="20" t="n">
        <v>1</v>
      </c>
      <c r="K81" s="20" t="n">
        <v>1</v>
      </c>
      <c r="L81" s="20" t="inlineStr">
        <is>
          <t>25.10.2024 20:00:21</t>
        </is>
      </c>
      <c r="M81" s="20" t="inlineStr">
        <is>
          <t>1 hours</t>
        </is>
      </c>
      <c r="N81" s="20" t="inlineStr">
        <is>
          <t xml:space="preserve">        215K           215K             4K</t>
        </is>
      </c>
      <c r="O81" s="20" t="inlineStr">
        <is>
          <t>4p3yhGbpu4KVdFeHKXvxs1cnaL3MdUAmWN7CgGJwpump</t>
        </is>
      </c>
      <c r="P81" s="20">
        <f>HYPERLINK("https://dexscreener.com/solana/4p3yhGbpu4KVdFeHKXvxs1cnaL3MdUAmWN7CgGJwpump", "View")</f>
        <v/>
      </c>
    </row>
    <row r="82">
      <c r="A82" s="15" t="inlineStr">
        <is>
          <t>weee</t>
        </is>
      </c>
      <c r="B82" s="16" t="n">
        <v>1280965</v>
      </c>
      <c r="C82" s="16" t="n">
        <v>1152868</v>
      </c>
      <c r="D82" s="16" t="inlineStr">
        <is>
          <t>0.000010</t>
        </is>
      </c>
      <c r="E82" s="16" t="inlineStr">
        <is>
          <t>0.980 SOL</t>
        </is>
      </c>
      <c r="F82" s="16" t="inlineStr">
        <is>
          <t>0.049 SOL</t>
        </is>
      </c>
      <c r="G82" s="24" t="inlineStr">
        <is>
          <t>-0.931 SOL</t>
        </is>
      </c>
      <c r="H82" s="24" t="inlineStr">
        <is>
          <t>-95.03%</t>
        </is>
      </c>
      <c r="I82" s="16" t="inlineStr">
        <is>
          <t>N/A</t>
        </is>
      </c>
      <c r="J82" s="16" t="n">
        <v>1</v>
      </c>
      <c r="K82" s="16" t="n">
        <v>1</v>
      </c>
      <c r="L82" s="16" t="inlineStr">
        <is>
          <t>25.10.2024 17:31:11</t>
        </is>
      </c>
      <c r="M82" s="16" t="inlineStr">
        <is>
          <t>2 hours</t>
        </is>
      </c>
      <c r="N82" s="16" t="inlineStr">
        <is>
          <t xml:space="preserve">        135K           135K             4K</t>
        </is>
      </c>
      <c r="O82" s="16" t="inlineStr">
        <is>
          <t>4By8kbvy6YJt4L1UH544FejLiUdTQTGcXihTS4xMzHcA</t>
        </is>
      </c>
      <c r="P82" s="16">
        <f>HYPERLINK("https://dexscreener.com/solana/4By8kbvy6YJt4L1UH544FejLiUdTQTGcXihTS4xMzHcA", "View")</f>
        <v/>
      </c>
    </row>
    <row r="83">
      <c r="A83" s="19" t="inlineStr">
        <is>
          <t>KCOG</t>
        </is>
      </c>
      <c r="B83" s="20" t="n">
        <v>3331123</v>
      </c>
      <c r="C83" s="20" t="n">
        <v>0</v>
      </c>
      <c r="D83" s="20" t="inlineStr">
        <is>
          <t>0.000010</t>
        </is>
      </c>
      <c r="E83" s="20" t="inlineStr">
        <is>
          <t>0.980 SOL</t>
        </is>
      </c>
      <c r="F83" s="20" t="inlineStr">
        <is>
          <t>0.000 SOL</t>
        </is>
      </c>
      <c r="G83" s="17" t="inlineStr">
        <is>
          <t>-0.980 SOL</t>
        </is>
      </c>
      <c r="H83" s="17" t="inlineStr">
        <is>
          <t>0.00%</t>
        </is>
      </c>
      <c r="I83" s="20" t="inlineStr">
        <is>
          <t>3,331,123</t>
        </is>
      </c>
      <c r="J83" s="20" t="n">
        <v>1</v>
      </c>
      <c r="K83" s="20" t="n">
        <v>0</v>
      </c>
      <c r="L83" s="20" t="inlineStr">
        <is>
          <t>25.10.2024 16:24:17</t>
        </is>
      </c>
      <c r="M83" s="18" t="inlineStr">
        <is>
          <t>0 sec</t>
        </is>
      </c>
      <c r="N83" s="20" t="inlineStr">
        <is>
          <t xml:space="preserve">         51K            51K            11K</t>
        </is>
      </c>
      <c r="O83" s="20" t="inlineStr">
        <is>
          <t>2UByDNzBkDikkBM73dAxerTGkuLVRWzCN95JuAUApump</t>
        </is>
      </c>
      <c r="P83" s="20">
        <f>HYPERLINK("https://dexscreener.com/solana/2UByDNzBkDikkBM73dAxerTGkuLVRWzCN95JuAUApump", "View")</f>
        <v/>
      </c>
    </row>
    <row r="84">
      <c r="A84" s="15" t="inlineStr">
        <is>
          <t>FLU</t>
        </is>
      </c>
      <c r="B84" s="16" t="n">
        <v>2319630</v>
      </c>
      <c r="C84" s="16" t="n">
        <v>0</v>
      </c>
      <c r="D84" s="16" t="inlineStr">
        <is>
          <t>0.000010</t>
        </is>
      </c>
      <c r="E84" s="16" t="inlineStr">
        <is>
          <t>0.980 SOL</t>
        </is>
      </c>
      <c r="F84" s="16" t="inlineStr">
        <is>
          <t>0.000 SOL</t>
        </is>
      </c>
      <c r="G84" s="17" t="inlineStr">
        <is>
          <t>-0.980 SOL</t>
        </is>
      </c>
      <c r="H84" s="17" t="inlineStr">
        <is>
          <t>0.00%</t>
        </is>
      </c>
      <c r="I84" s="16" t="inlineStr">
        <is>
          <t>2,319,630</t>
        </is>
      </c>
      <c r="J84" s="16" t="n">
        <v>1</v>
      </c>
      <c r="K84" s="16" t="n">
        <v>0</v>
      </c>
      <c r="L84" s="16" t="inlineStr">
        <is>
          <t>25.10.2024 16:21:28</t>
        </is>
      </c>
      <c r="M84" s="18" t="inlineStr">
        <is>
          <t>0 sec</t>
        </is>
      </c>
      <c r="N84" s="16" t="inlineStr">
        <is>
          <t xml:space="preserve">         74K            74K            11K</t>
        </is>
      </c>
      <c r="O84" s="16" t="inlineStr">
        <is>
          <t>ASnD7A1mqpiBdqVVAKLsScAABR1nGbMBtocFbU5rpump</t>
        </is>
      </c>
      <c r="P84" s="16">
        <f>HYPERLINK("https://dexscreener.com/solana/ASnD7A1mqpiBdqVVAKLsScAABR1nGbMBtocFbU5rpump", "View")</f>
        <v/>
      </c>
    </row>
    <row r="85">
      <c r="A85" s="19" t="inlineStr">
        <is>
          <t>simulacra</t>
        </is>
      </c>
      <c r="B85" s="20" t="n">
        <v>4161702</v>
      </c>
      <c r="C85" s="20" t="n">
        <v>0</v>
      </c>
      <c r="D85" s="20" t="inlineStr">
        <is>
          <t>0.000010</t>
        </is>
      </c>
      <c r="E85" s="20" t="inlineStr">
        <is>
          <t>0.980 SOL</t>
        </is>
      </c>
      <c r="F85" s="20" t="inlineStr">
        <is>
          <t>0.000 SOL</t>
        </is>
      </c>
      <c r="G85" s="17" t="inlineStr">
        <is>
          <t>-0.980 SOL</t>
        </is>
      </c>
      <c r="H85" s="17" t="inlineStr">
        <is>
          <t>0.00%</t>
        </is>
      </c>
      <c r="I85" s="20" t="inlineStr">
        <is>
          <t>4,161,702</t>
        </is>
      </c>
      <c r="J85" s="20" t="n">
        <v>1</v>
      </c>
      <c r="K85" s="20" t="n">
        <v>0</v>
      </c>
      <c r="L85" s="20" t="inlineStr">
        <is>
          <t>25.10.2024 15:33:19</t>
        </is>
      </c>
      <c r="M85" s="18" t="inlineStr">
        <is>
          <t>0 sec</t>
        </is>
      </c>
      <c r="N85" s="20" t="inlineStr">
        <is>
          <t xml:space="preserve">         42K            42K             5K</t>
        </is>
      </c>
      <c r="O85" s="20" t="inlineStr">
        <is>
          <t>9mkfqGLt7jLr581QtNWby4DKfQwNtvvoqtypbbxxpump</t>
        </is>
      </c>
      <c r="P85" s="20">
        <f>HYPERLINK("https://dexscreener.com/solana/9mkfqGLt7jLr581QtNWby4DKfQwNtvvoqtypbbxxpump", "View")</f>
        <v/>
      </c>
    </row>
    <row r="86">
      <c r="A86" s="15" t="inlineStr">
        <is>
          <t>GPT5</t>
        </is>
      </c>
      <c r="B86" s="16" t="n">
        <v>3807088</v>
      </c>
      <c r="C86" s="16" t="n">
        <v>3426379</v>
      </c>
      <c r="D86" s="16" t="inlineStr">
        <is>
          <t>0.000010</t>
        </is>
      </c>
      <c r="E86" s="16" t="inlineStr">
        <is>
          <t>0.980 SOL</t>
        </is>
      </c>
      <c r="F86" s="16" t="inlineStr">
        <is>
          <t>0.131 SOL</t>
        </is>
      </c>
      <c r="G86" s="24" t="inlineStr">
        <is>
          <t>-0.849 SOL</t>
        </is>
      </c>
      <c r="H86" s="24" t="inlineStr">
        <is>
          <t>-86.66%</t>
        </is>
      </c>
      <c r="I86" s="16" t="inlineStr">
        <is>
          <t>N/A</t>
        </is>
      </c>
      <c r="J86" s="16" t="n">
        <v>1</v>
      </c>
      <c r="K86" s="16" t="n">
        <v>1</v>
      </c>
      <c r="L86" s="16" t="inlineStr">
        <is>
          <t>25.10.2024 08:39:11</t>
        </is>
      </c>
      <c r="M86" s="16" t="inlineStr">
        <is>
          <t>9 hours</t>
        </is>
      </c>
      <c r="N86" s="16" t="inlineStr">
        <is>
          <t xml:space="preserve">         46K            46K             4K</t>
        </is>
      </c>
      <c r="O86" s="16" t="inlineStr">
        <is>
          <t>GmP1TruYcMAE4Yh6m3KQpNvxdDUwUtKzj5CqFQbopump</t>
        </is>
      </c>
      <c r="P86" s="16">
        <f>HYPERLINK("https://dexscreener.com/solana/GmP1TruYcMAE4Yh6m3KQpNvxdDUwUtKzj5CqFQbopump", "View")</f>
        <v/>
      </c>
    </row>
    <row r="87">
      <c r="A87" s="19" t="inlineStr">
        <is>
          <t>CONSORTIUM</t>
        </is>
      </c>
      <c r="B87" s="20" t="n">
        <v>407970</v>
      </c>
      <c r="C87" s="20" t="n">
        <v>367173</v>
      </c>
      <c r="D87" s="20" t="inlineStr">
        <is>
          <t>0.000010</t>
        </is>
      </c>
      <c r="E87" s="20" t="inlineStr">
        <is>
          <t>0.980 SOL</t>
        </is>
      </c>
      <c r="F87" s="20" t="inlineStr">
        <is>
          <t>0.020 SOL</t>
        </is>
      </c>
      <c r="G87" s="24" t="inlineStr">
        <is>
          <t>-0.960 SOL</t>
        </is>
      </c>
      <c r="H87" s="24" t="inlineStr">
        <is>
          <t>-97.93%</t>
        </is>
      </c>
      <c r="I87" s="20" t="inlineStr">
        <is>
          <t>N/A</t>
        </is>
      </c>
      <c r="J87" s="20" t="n">
        <v>1</v>
      </c>
      <c r="K87" s="20" t="n">
        <v>1</v>
      </c>
      <c r="L87" s="20" t="inlineStr">
        <is>
          <t>25.10.2024 07:11:12</t>
        </is>
      </c>
      <c r="M87" s="20" t="inlineStr">
        <is>
          <t>40 min</t>
        </is>
      </c>
      <c r="N87" s="20" t="inlineStr">
        <is>
          <t xml:space="preserve">        421K            11K             4K</t>
        </is>
      </c>
      <c r="O87" s="20" t="inlineStr">
        <is>
          <t>ChxbSs4KuqSXMeAb7pa1eLxMgQ9wWybGoS3RLUt6pump</t>
        </is>
      </c>
      <c r="P87" s="20">
        <f>HYPERLINK("https://dexscreener.com/solana/ChxbSs4KuqSXMeAb7pa1eLxMgQ9wWybGoS3RLUt6pump", "View")</f>
        <v/>
      </c>
    </row>
    <row r="88">
      <c r="A88" s="15" t="inlineStr">
        <is>
          <t>Gpt3</t>
        </is>
      </c>
      <c r="B88" s="16" t="n">
        <v>1528685</v>
      </c>
      <c r="C88" s="16" t="n">
        <v>1375816</v>
      </c>
      <c r="D88" s="16" t="inlineStr">
        <is>
          <t>0.000010</t>
        </is>
      </c>
      <c r="E88" s="16" t="inlineStr">
        <is>
          <t>0.980 SOL</t>
        </is>
      </c>
      <c r="F88" s="16" t="inlineStr">
        <is>
          <t>0.098 SOL</t>
        </is>
      </c>
      <c r="G88" s="24" t="inlineStr">
        <is>
          <t>-0.882 SOL</t>
        </is>
      </c>
      <c r="H88" s="24" t="inlineStr">
        <is>
          <t>-89.99%</t>
        </is>
      </c>
      <c r="I88" s="16" t="inlineStr">
        <is>
          <t>N/A</t>
        </is>
      </c>
      <c r="J88" s="16" t="n">
        <v>1</v>
      </c>
      <c r="K88" s="16" t="n">
        <v>1</v>
      </c>
      <c r="L88" s="16" t="inlineStr">
        <is>
          <t>25.10.2024 05:27:16</t>
        </is>
      </c>
      <c r="M88" s="16" t="inlineStr">
        <is>
          <t>2 hours</t>
        </is>
      </c>
      <c r="N88" s="16" t="inlineStr">
        <is>
          <t xml:space="preserve">        112K            12K             5K</t>
        </is>
      </c>
      <c r="O88" s="16" t="inlineStr">
        <is>
          <t>718gx2c3LUQMiCSUhu9mPCEyiGeo8T5cHiaa1UP9pump</t>
        </is>
      </c>
      <c r="P88" s="16">
        <f>HYPERLINK("https://dexscreener.com/solana/718gx2c3LUQMiCSUhu9mPCEyiGeo8T5cHiaa1UP9pump", "View")</f>
        <v/>
      </c>
    </row>
    <row r="89">
      <c r="A89" s="19" t="inlineStr">
        <is>
          <t>Toly</t>
        </is>
      </c>
      <c r="B89" s="20" t="n">
        <v>1433899</v>
      </c>
      <c r="C89" s="20" t="n">
        <v>1312017</v>
      </c>
      <c r="D89" s="20" t="inlineStr">
        <is>
          <t>0.000020</t>
        </is>
      </c>
      <c r="E89" s="20" t="inlineStr">
        <is>
          <t>0.980 SOL</t>
        </is>
      </c>
      <c r="F89" s="20" t="inlineStr">
        <is>
          <t>0.878 SOL</t>
        </is>
      </c>
      <c r="G89" s="21" t="inlineStr">
        <is>
          <t>-0.102 SOL</t>
        </is>
      </c>
      <c r="H89" s="21" t="inlineStr">
        <is>
          <t>-10.44%</t>
        </is>
      </c>
      <c r="I89" s="20" t="inlineStr">
        <is>
          <t>N/A</t>
        </is>
      </c>
      <c r="J89" s="20" t="n">
        <v>1</v>
      </c>
      <c r="K89" s="20" t="n">
        <v>2</v>
      </c>
      <c r="L89" s="20" t="inlineStr">
        <is>
          <t>25.10.2024 03:18:16</t>
        </is>
      </c>
      <c r="M89" s="20" t="inlineStr">
        <is>
          <t>3 hours</t>
        </is>
      </c>
      <c r="N89" s="20" t="inlineStr">
        <is>
          <t xml:space="preserve">        119K            42K            15K</t>
        </is>
      </c>
      <c r="O89" s="20" t="inlineStr">
        <is>
          <t>8LRpgKZU7e1ckqo6qFMCVmhHNRUAAwu1Nfkc37StXCRs</t>
        </is>
      </c>
      <c r="P89" s="20">
        <f>HYPERLINK("https://dexscreener.com/solana/8LRpgKZU7e1ckqo6qFMCVmhHNRUAAwu1Nfkc37StXCRs", "View")</f>
        <v/>
      </c>
    </row>
    <row r="90">
      <c r="A90" s="15" t="inlineStr">
        <is>
          <t>LIBERTAS</t>
        </is>
      </c>
      <c r="B90" s="16" t="n">
        <v>1558835</v>
      </c>
      <c r="C90" s="16" t="n">
        <v>1402951</v>
      </c>
      <c r="D90" s="16" t="inlineStr">
        <is>
          <t>0.000010</t>
        </is>
      </c>
      <c r="E90" s="16" t="inlineStr">
        <is>
          <t>0.980 SOL</t>
        </is>
      </c>
      <c r="F90" s="16" t="inlineStr">
        <is>
          <t>0.230 SOL</t>
        </is>
      </c>
      <c r="G90" s="24" t="inlineStr">
        <is>
          <t>-0.750 SOL</t>
        </is>
      </c>
      <c r="H90" s="24" t="inlineStr">
        <is>
          <t>-76.50%</t>
        </is>
      </c>
      <c r="I90" s="16" t="inlineStr">
        <is>
          <t>N/A</t>
        </is>
      </c>
      <c r="J90" s="16" t="n">
        <v>1</v>
      </c>
      <c r="K90" s="16" t="n">
        <v>1</v>
      </c>
      <c r="L90" s="16" t="inlineStr">
        <is>
          <t>25.10.2024 02:22:14</t>
        </is>
      </c>
      <c r="M90" s="16" t="inlineStr">
        <is>
          <t>2 hours</t>
        </is>
      </c>
      <c r="N90" s="16" t="inlineStr">
        <is>
          <t xml:space="preserve">        111K            28K             7K</t>
        </is>
      </c>
      <c r="O90" s="16" t="inlineStr">
        <is>
          <t>2VKiYiQ8Fav48eu8NMXHK2ZrNzTkzEznvp7dY9iapump</t>
        </is>
      </c>
      <c r="P90" s="16">
        <f>HYPERLINK("https://dexscreener.com/solana/2VKiYiQ8Fav48eu8NMXHK2ZrNzTkzEznvp7dY9iapump", "View")</f>
        <v/>
      </c>
    </row>
    <row r="91">
      <c r="A91" s="19" t="inlineStr">
        <is>
          <t>orion</t>
        </is>
      </c>
      <c r="B91" s="20" t="n">
        <v>339654</v>
      </c>
      <c r="C91" s="20" t="n">
        <v>0</v>
      </c>
      <c r="D91" s="20" t="inlineStr">
        <is>
          <t>0.000010</t>
        </is>
      </c>
      <c r="E91" s="20" t="inlineStr">
        <is>
          <t>0.980 SOL</t>
        </is>
      </c>
      <c r="F91" s="20" t="inlineStr">
        <is>
          <t>0.000 SOL</t>
        </is>
      </c>
      <c r="G91" s="17" t="inlineStr">
        <is>
          <t>-0.980 SOL</t>
        </is>
      </c>
      <c r="H91" s="17" t="inlineStr">
        <is>
          <t>0.00%</t>
        </is>
      </c>
      <c r="I91" s="20" t="inlineStr">
        <is>
          <t>339,654</t>
        </is>
      </c>
      <c r="J91" s="20" t="n">
        <v>1</v>
      </c>
      <c r="K91" s="20" t="n">
        <v>0</v>
      </c>
      <c r="L91" s="20" t="inlineStr">
        <is>
          <t>25.10.2024 02:19:01</t>
        </is>
      </c>
      <c r="M91" s="18" t="inlineStr">
        <is>
          <t>0 sec</t>
        </is>
      </c>
      <c r="N91" s="20" t="inlineStr">
        <is>
          <t xml:space="preserve">        508K           508K            40K</t>
        </is>
      </c>
      <c r="O91" s="20" t="inlineStr">
        <is>
          <t>6UaBXHo66aMBk82hR2xzB466sv4vNc9dnJdHtrBmpump</t>
        </is>
      </c>
      <c r="P91" s="20">
        <f>HYPERLINK("https://dexscreener.com/solana/6UaBXHo66aMBk82hR2xzB466sv4vNc9dnJdHtrBmpump", "View")</f>
        <v/>
      </c>
    </row>
    <row r="92">
      <c r="A92" s="15" t="inlineStr">
        <is>
          <t>HatPlant</t>
        </is>
      </c>
      <c r="B92" s="16" t="n">
        <v>6361384</v>
      </c>
      <c r="C92" s="16" t="n">
        <v>0</v>
      </c>
      <c r="D92" s="16" t="inlineStr">
        <is>
          <t>0.000010</t>
        </is>
      </c>
      <c r="E92" s="16" t="inlineStr">
        <is>
          <t>0.980 SOL</t>
        </is>
      </c>
      <c r="F92" s="16" t="inlineStr">
        <is>
          <t>0.000 SOL</t>
        </is>
      </c>
      <c r="G92" s="17" t="inlineStr">
        <is>
          <t>-0.980 SOL</t>
        </is>
      </c>
      <c r="H92" s="17" t="inlineStr">
        <is>
          <t>0.00%</t>
        </is>
      </c>
      <c r="I92" s="16" t="inlineStr">
        <is>
          <t>6,361,384</t>
        </is>
      </c>
      <c r="J92" s="16" t="n">
        <v>1</v>
      </c>
      <c r="K92" s="16" t="n">
        <v>0</v>
      </c>
      <c r="L92" s="16" t="inlineStr">
        <is>
          <t>25.10.2024 02:18:35</t>
        </is>
      </c>
      <c r="M92" s="18" t="inlineStr">
        <is>
          <t>0 sec</t>
        </is>
      </c>
      <c r="N92" s="16" t="inlineStr">
        <is>
          <t xml:space="preserve">         26K            26K             4K</t>
        </is>
      </c>
      <c r="O92" s="16" t="inlineStr">
        <is>
          <t>9HQgmwZe3nBDGjpScqhm1fJaT1ZzY4LWDk5ob3s9pump</t>
        </is>
      </c>
      <c r="P92" s="16">
        <f>HYPERLINK("https://dexscreener.com/solana/9HQgmwZe3nBDGjpScqhm1fJaT1ZzY4LWDk5ob3s9pump", "View")</f>
        <v/>
      </c>
    </row>
    <row r="93">
      <c r="A93" s="19" t="inlineStr">
        <is>
          <t>STRAWB</t>
        </is>
      </c>
      <c r="B93" s="20" t="n">
        <v>840962</v>
      </c>
      <c r="C93" s="20" t="n">
        <v>793069</v>
      </c>
      <c r="D93" s="20" t="inlineStr">
        <is>
          <t>0.000020</t>
        </is>
      </c>
      <c r="E93" s="20" t="inlineStr">
        <is>
          <t>0.980 SOL</t>
        </is>
      </c>
      <c r="F93" s="20" t="inlineStr">
        <is>
          <t>5.329 SOL</t>
        </is>
      </c>
      <c r="G93" s="23" t="inlineStr">
        <is>
          <t>4.349 SOL</t>
        </is>
      </c>
      <c r="H93" s="23" t="inlineStr">
        <is>
          <t>443.71%</t>
        </is>
      </c>
      <c r="I93" s="20" t="inlineStr">
        <is>
          <t>N/A</t>
        </is>
      </c>
      <c r="J93" s="20" t="n">
        <v>1</v>
      </c>
      <c r="K93" s="20" t="n">
        <v>3</v>
      </c>
      <c r="L93" s="20" t="inlineStr">
        <is>
          <t>25.10.2024 01:38:13</t>
        </is>
      </c>
      <c r="M93" s="20" t="inlineStr">
        <is>
          <t>1 hours</t>
        </is>
      </c>
      <c r="N93" s="20" t="inlineStr">
        <is>
          <t xml:space="preserve">        205K           237K            22K</t>
        </is>
      </c>
      <c r="O93" s="20" t="inlineStr">
        <is>
          <t>H6QvmSwAEfpG2r7K7PJK7yCM2b42oWnWte7jZP6cpump</t>
        </is>
      </c>
      <c r="P93" s="20">
        <f>HYPERLINK("https://dexscreener.com/solana/H6QvmSwAEfpG2r7K7PJK7yCM2b42oWnWte7jZP6cpump", "View")</f>
        <v/>
      </c>
    </row>
    <row r="94">
      <c r="A94" s="15" t="inlineStr">
        <is>
          <t>AI DEV</t>
        </is>
      </c>
      <c r="B94" s="16" t="n">
        <v>3499257</v>
      </c>
      <c r="C94" s="16" t="n">
        <v>3149331</v>
      </c>
      <c r="D94" s="16" t="inlineStr">
        <is>
          <t>0.000010</t>
        </is>
      </c>
      <c r="E94" s="16" t="inlineStr">
        <is>
          <t>0.980 SOL</t>
        </is>
      </c>
      <c r="F94" s="16" t="inlineStr">
        <is>
          <t>0.163 SOL</t>
        </is>
      </c>
      <c r="G94" s="24" t="inlineStr">
        <is>
          <t>-0.817 SOL</t>
        </is>
      </c>
      <c r="H94" s="24" t="inlineStr">
        <is>
          <t>-83.34%</t>
        </is>
      </c>
      <c r="I94" s="16" t="inlineStr">
        <is>
          <t>N/A</t>
        </is>
      </c>
      <c r="J94" s="16" t="n">
        <v>1</v>
      </c>
      <c r="K94" s="16" t="n">
        <v>1</v>
      </c>
      <c r="L94" s="16" t="inlineStr">
        <is>
          <t>25.10.2024 01:06:13</t>
        </is>
      </c>
      <c r="M94" s="16" t="inlineStr">
        <is>
          <t>2 hours</t>
        </is>
      </c>
      <c r="N94" s="16" t="inlineStr">
        <is>
          <t xml:space="preserve">         49K             9K             4K</t>
        </is>
      </c>
      <c r="O94" s="16" t="inlineStr">
        <is>
          <t>FSqwGmzdf1V3RFfmdgd7XZZtMoeVmoFggveNK48epump</t>
        </is>
      </c>
      <c r="P94" s="16">
        <f>HYPERLINK("https://dexscreener.com/solana/FSqwGmzdf1V3RFfmdgd7XZZtMoeVmoFggveNK48epump", "View")</f>
        <v/>
      </c>
    </row>
    <row r="95">
      <c r="A95" s="19" t="inlineStr">
        <is>
          <t>🍓</t>
        </is>
      </c>
      <c r="B95" s="20" t="n">
        <v>4754733</v>
      </c>
      <c r="C95" s="20" t="n">
        <v>0</v>
      </c>
      <c r="D95" s="20" t="inlineStr">
        <is>
          <t>0.000010</t>
        </is>
      </c>
      <c r="E95" s="20" t="inlineStr">
        <is>
          <t>0.980 SOL</t>
        </is>
      </c>
      <c r="F95" s="20" t="inlineStr">
        <is>
          <t>0.000 SOL</t>
        </is>
      </c>
      <c r="G95" s="17" t="inlineStr">
        <is>
          <t>-0.980 SOL</t>
        </is>
      </c>
      <c r="H95" s="17" t="inlineStr">
        <is>
          <t>0.00%</t>
        </is>
      </c>
      <c r="I95" s="20" t="inlineStr">
        <is>
          <t>4,754,733</t>
        </is>
      </c>
      <c r="J95" s="20" t="n">
        <v>1</v>
      </c>
      <c r="K95" s="20" t="n">
        <v>0</v>
      </c>
      <c r="L95" s="20" t="inlineStr">
        <is>
          <t>25.10.2024 00:57:30</t>
        </is>
      </c>
      <c r="M95" s="18" t="inlineStr">
        <is>
          <t>0 sec</t>
        </is>
      </c>
      <c r="N95" s="20" t="inlineStr">
        <is>
          <t xml:space="preserve">         37K            37K             4K</t>
        </is>
      </c>
      <c r="O95" s="20" t="inlineStr">
        <is>
          <t>6KyLYVDdkRZRhtYxtSAmvezPmR9aPcJB4DSz5LhQpump</t>
        </is>
      </c>
      <c r="P95" s="20">
        <f>HYPERLINK("https://dexscreener.com/solana/6KyLYVDdkRZRhtYxtSAmvezPmR9aPcJB4DSz5LhQpump", "View")</f>
        <v/>
      </c>
    </row>
    <row r="96">
      <c r="A96" s="15" t="inlineStr">
        <is>
          <t xml:space="preserve">AI </t>
        </is>
      </c>
      <c r="B96" s="16" t="n">
        <v>2317931</v>
      </c>
      <c r="C96" s="16" t="n">
        <v>0</v>
      </c>
      <c r="D96" s="16" t="inlineStr">
        <is>
          <t>0.000010</t>
        </is>
      </c>
      <c r="E96" s="16" t="inlineStr">
        <is>
          <t>0.980 SOL</t>
        </is>
      </c>
      <c r="F96" s="16" t="inlineStr">
        <is>
          <t>0.000 SOL</t>
        </is>
      </c>
      <c r="G96" s="17" t="inlineStr">
        <is>
          <t>-0.980 SOL</t>
        </is>
      </c>
      <c r="H96" s="17" t="inlineStr">
        <is>
          <t>0.00%</t>
        </is>
      </c>
      <c r="I96" s="16" t="inlineStr">
        <is>
          <t>2,317,931</t>
        </is>
      </c>
      <c r="J96" s="16" t="n">
        <v>1</v>
      </c>
      <c r="K96" s="16" t="n">
        <v>0</v>
      </c>
      <c r="L96" s="16" t="inlineStr">
        <is>
          <t>24.10.2024 22:15:35</t>
        </is>
      </c>
      <c r="M96" s="18" t="inlineStr">
        <is>
          <t>0 sec</t>
        </is>
      </c>
      <c r="N96" s="16" t="inlineStr">
        <is>
          <t xml:space="preserve">         74K            74K             4K</t>
        </is>
      </c>
      <c r="O96" s="16" t="inlineStr">
        <is>
          <t>E9NsgUHspPfAhxAQrJacEm8GWi4KAoCYTDStDkvxpump</t>
        </is>
      </c>
      <c r="P96" s="16">
        <f>HYPERLINK("https://dexscreener.com/solana/E9NsgUHspPfAhxAQrJacEm8GWi4KAoCYTDStDkvxpump", "View")</f>
        <v/>
      </c>
    </row>
    <row r="97">
      <c r="A97" s="19" t="inlineStr">
        <is>
          <t>Memex</t>
        </is>
      </c>
      <c r="B97" s="20" t="n">
        <v>737113</v>
      </c>
      <c r="C97" s="20" t="n">
        <v>317326</v>
      </c>
      <c r="D97" s="20" t="inlineStr">
        <is>
          <t>0.007510</t>
        </is>
      </c>
      <c r="E97" s="20" t="inlineStr">
        <is>
          <t>0.980 SOL</t>
        </is>
      </c>
      <c r="F97" s="20" t="inlineStr">
        <is>
          <t>2.387 SOL</t>
        </is>
      </c>
      <c r="G97" s="23" t="inlineStr">
        <is>
          <t>1.399 SOL</t>
        </is>
      </c>
      <c r="H97" s="23" t="inlineStr">
        <is>
          <t>141.69%</t>
        </is>
      </c>
      <c r="I97" s="20" t="inlineStr">
        <is>
          <t>N/A</t>
        </is>
      </c>
      <c r="J97" s="20" t="n">
        <v>1</v>
      </c>
      <c r="K97" s="20" t="n">
        <v>2</v>
      </c>
      <c r="L97" s="20" t="inlineStr">
        <is>
          <t>24.10.2024 01:00:51</t>
        </is>
      </c>
      <c r="M97" s="20" t="inlineStr">
        <is>
          <t>1 days</t>
        </is>
      </c>
      <c r="N97" s="20" t="inlineStr">
        <is>
          <t xml:space="preserve">        234K           234K            85K</t>
        </is>
      </c>
      <c r="O97" s="20" t="inlineStr">
        <is>
          <t>2E6SSuVKVrQ6113KpWvzvhfY9yQ647E83V6e656fpump</t>
        </is>
      </c>
      <c r="P97" s="20">
        <f>HYPERLINK("https://dexscreener.com/solana/2E6SSuVKVrQ6113KpWvzvhfY9yQ647E83V6e656fpump", "View")</f>
        <v/>
      </c>
    </row>
    <row r="98">
      <c r="A98" s="15" t="inlineStr">
        <is>
          <t>Puppy</t>
        </is>
      </c>
      <c r="B98" s="16" t="n">
        <v>1126628</v>
      </c>
      <c r="C98" s="16" t="n">
        <v>1013965</v>
      </c>
      <c r="D98" s="16" t="inlineStr">
        <is>
          <t>0.007010</t>
        </is>
      </c>
      <c r="E98" s="16" t="inlineStr">
        <is>
          <t>0.980 SOL</t>
        </is>
      </c>
      <c r="F98" s="16" t="inlineStr">
        <is>
          <t>0.054 SOL</t>
        </is>
      </c>
      <c r="G98" s="24" t="inlineStr">
        <is>
          <t>-0.933 SOL</t>
        </is>
      </c>
      <c r="H98" s="24" t="inlineStr">
        <is>
          <t>-94.49%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23.10.2024 15:40:44</t>
        </is>
      </c>
      <c r="M98" s="16" t="inlineStr">
        <is>
          <t>1 days</t>
        </is>
      </c>
      <c r="N98" s="16" t="inlineStr">
        <is>
          <t xml:space="preserve">        153K           153K             5K</t>
        </is>
      </c>
      <c r="O98" s="16" t="inlineStr">
        <is>
          <t>5aAjG4E2xEmYFWE7V3eoFS9ZQdXuRCwv8zhuJgMypump</t>
        </is>
      </c>
      <c r="P98" s="16">
        <f>HYPERLINK("https://dexscreener.com/solana/5aAjG4E2xEmYFWE7V3eoFS9ZQdXuRCwv8zhuJgMypump", "View")</f>
        <v/>
      </c>
    </row>
    <row r="99">
      <c r="A99" s="19" t="inlineStr">
        <is>
          <t>kizuna</t>
        </is>
      </c>
      <c r="B99" s="20" t="n">
        <v>532774</v>
      </c>
      <c r="C99" s="20" t="n">
        <v>479496</v>
      </c>
      <c r="D99" s="20" t="inlineStr">
        <is>
          <t>0.007010</t>
        </is>
      </c>
      <c r="E99" s="20" t="inlineStr">
        <is>
          <t>0.980 SOL</t>
        </is>
      </c>
      <c r="F99" s="20" t="inlineStr">
        <is>
          <t>0.051 SOL</t>
        </is>
      </c>
      <c r="G99" s="24" t="inlineStr">
        <is>
          <t>-0.936 SOL</t>
        </is>
      </c>
      <c r="H99" s="24" t="inlineStr">
        <is>
          <t>-94.83%</t>
        </is>
      </c>
      <c r="I99" s="20" t="inlineStr">
        <is>
          <t>N/A</t>
        </is>
      </c>
      <c r="J99" s="20" t="n">
        <v>1</v>
      </c>
      <c r="K99" s="20" t="n">
        <v>1</v>
      </c>
      <c r="L99" s="20" t="inlineStr">
        <is>
          <t>22.10.2024 19:03:25</t>
        </is>
      </c>
      <c r="M99" s="20" t="inlineStr">
        <is>
          <t>6 hours</t>
        </is>
      </c>
      <c r="N99" s="20" t="inlineStr">
        <is>
          <t xml:space="preserve">        323K           323K             7K</t>
        </is>
      </c>
      <c r="O99" s="20" t="inlineStr">
        <is>
          <t>4a4f9nTJDjVhEaSwF2EHxv9rbfpgHsTkN6933MkZpump</t>
        </is>
      </c>
      <c r="P99" s="20">
        <f>HYPERLINK("https://dexscreener.com/solana/4a4f9nTJDjVhEaSwF2EHxv9rbfpgHsTkN6933MkZpump", "View")</f>
        <v/>
      </c>
    </row>
    <row r="100">
      <c r="A100" s="15" t="inlineStr">
        <is>
          <t>Doggoth</t>
        </is>
      </c>
      <c r="B100" s="16" t="n">
        <v>1328463</v>
      </c>
      <c r="C100" s="16" t="n">
        <v>1195616</v>
      </c>
      <c r="D100" s="16" t="inlineStr">
        <is>
          <t>0.004010</t>
        </is>
      </c>
      <c r="E100" s="16" t="inlineStr">
        <is>
          <t>0.980 SOL</t>
        </is>
      </c>
      <c r="F100" s="16" t="inlineStr">
        <is>
          <t>0.076 SOL</t>
        </is>
      </c>
      <c r="G100" s="24" t="inlineStr">
        <is>
          <t>-0.908 SOL</t>
        </is>
      </c>
      <c r="H100" s="24" t="inlineStr">
        <is>
          <t>-92.25%</t>
        </is>
      </c>
      <c r="I100" s="16" t="inlineStr">
        <is>
          <t>N/A</t>
        </is>
      </c>
      <c r="J100" s="16" t="n">
        <v>1</v>
      </c>
      <c r="K100" s="16" t="n">
        <v>1</v>
      </c>
      <c r="L100" s="16" t="inlineStr">
        <is>
          <t>22.10.2024 16:52:23</t>
        </is>
      </c>
      <c r="M100" s="16" t="inlineStr">
        <is>
          <t>6 hours</t>
        </is>
      </c>
      <c r="N100" s="16" t="inlineStr">
        <is>
          <t xml:space="preserve">        130K           130K             6K</t>
        </is>
      </c>
      <c r="O100" s="16" t="inlineStr">
        <is>
          <t>XwysrsxGghWCu9PEFbp6bZ21xm7auUxA6WWf1T2pump</t>
        </is>
      </c>
      <c r="P100" s="16">
        <f>HYPERLINK("https://dexscreener.com/solana/XwysrsxGghWCu9PEFbp6bZ21xm7auUxA6WWf1T2pump", "View")</f>
        <v/>
      </c>
    </row>
    <row r="101">
      <c r="A101" s="19" t="inlineStr">
        <is>
          <t>GMTR</t>
        </is>
      </c>
      <c r="B101" s="20" t="n">
        <v>405597</v>
      </c>
      <c r="C101" s="20" t="n">
        <v>365037</v>
      </c>
      <c r="D101" s="20" t="inlineStr">
        <is>
          <t>0.004010</t>
        </is>
      </c>
      <c r="E101" s="20" t="inlineStr">
        <is>
          <t>0.980 SOL</t>
        </is>
      </c>
      <c r="F101" s="20" t="inlineStr">
        <is>
          <t>0.198 SOL</t>
        </is>
      </c>
      <c r="G101" s="24" t="inlineStr">
        <is>
          <t>-0.786 SOL</t>
        </is>
      </c>
      <c r="H101" s="24" t="inlineStr">
        <is>
          <t>-79.84%</t>
        </is>
      </c>
      <c r="I101" s="20" t="inlineStr">
        <is>
          <t>N/A</t>
        </is>
      </c>
      <c r="J101" s="20" t="n">
        <v>1</v>
      </c>
      <c r="K101" s="20" t="n">
        <v>1</v>
      </c>
      <c r="L101" s="20" t="inlineStr">
        <is>
          <t>22.10.2024 14:52:13</t>
        </is>
      </c>
      <c r="M101" s="20" t="inlineStr">
        <is>
          <t>6 hours</t>
        </is>
      </c>
      <c r="N101" s="20" t="inlineStr">
        <is>
          <t xml:space="preserve">        425K           425K            14K</t>
        </is>
      </c>
      <c r="O101" s="20" t="inlineStr">
        <is>
          <t>FAVwsjCnEvSDTCJXmvyeSBX3RrYH8dTYSyFQH9SApump</t>
        </is>
      </c>
      <c r="P101" s="20">
        <f>HYPERLINK("https://dexscreener.com/solana/FAVwsjCnEvSDTCJXmvyeSBX3RrYH8dTYSyFQH9SApump", "View")</f>
        <v/>
      </c>
    </row>
    <row r="102">
      <c r="A102" s="15" t="inlineStr">
        <is>
          <t>Kromem</t>
        </is>
      </c>
      <c r="B102" s="16" t="n">
        <v>1155901</v>
      </c>
      <c r="C102" s="16" t="n">
        <v>1116985</v>
      </c>
      <c r="D102" s="16" t="inlineStr">
        <is>
          <t>0.010920</t>
        </is>
      </c>
      <c r="E102" s="16" t="inlineStr">
        <is>
          <t>0.980 SOL</t>
        </is>
      </c>
      <c r="F102" s="16" t="inlineStr">
        <is>
          <t>3.617 SOL</t>
        </is>
      </c>
      <c r="G102" s="23" t="inlineStr">
        <is>
          <t>2.626 SOL</t>
        </is>
      </c>
      <c r="H102" s="23" t="inlineStr">
        <is>
          <t>264.99%</t>
        </is>
      </c>
      <c r="I102" s="16" t="inlineStr">
        <is>
          <t>N/A</t>
        </is>
      </c>
      <c r="J102" s="16" t="n">
        <v>1</v>
      </c>
      <c r="K102" s="16" t="n">
        <v>4</v>
      </c>
      <c r="L102" s="16" t="inlineStr">
        <is>
          <t>22.10.2024 14:49:32</t>
        </is>
      </c>
      <c r="M102" s="16" t="inlineStr">
        <is>
          <t>1 days</t>
        </is>
      </c>
      <c r="N102" s="16" t="inlineStr">
        <is>
          <t xml:space="preserve">        149K           149K           119K</t>
        </is>
      </c>
      <c r="O102" s="16" t="inlineStr">
        <is>
          <t>BmnUU9r1F9PJm4N5z9Pv4Ev7Exp8DxYiL2NVQoKSrsS7</t>
        </is>
      </c>
      <c r="P102" s="16">
        <f>HYPERLINK("https://dexscreener.com/solana/BmnUU9r1F9PJm4N5z9Pv4Ev7Exp8DxYiL2NVQoKSrsS7", "View")</f>
        <v/>
      </c>
    </row>
    <row r="103">
      <c r="A103" s="19" t="inlineStr">
        <is>
          <t xml:space="preserve">Nimbus </t>
        </is>
      </c>
      <c r="B103" s="20" t="n">
        <v>1131065</v>
      </c>
      <c r="C103" s="20" t="n">
        <v>0</v>
      </c>
      <c r="D103" s="20" t="inlineStr">
        <is>
          <t>0.003500</t>
        </is>
      </c>
      <c r="E103" s="20" t="inlineStr">
        <is>
          <t>0.980 SOL</t>
        </is>
      </c>
      <c r="F103" s="20" t="inlineStr">
        <is>
          <t>0.000 SOL</t>
        </is>
      </c>
      <c r="G103" s="17" t="inlineStr">
        <is>
          <t>-0.984 SOL</t>
        </is>
      </c>
      <c r="H103" s="17" t="inlineStr">
        <is>
          <t>0.00%</t>
        </is>
      </c>
      <c r="I103" s="20" t="inlineStr">
        <is>
          <t>1,131,065</t>
        </is>
      </c>
      <c r="J103" s="20" t="n">
        <v>1</v>
      </c>
      <c r="K103" s="20" t="n">
        <v>0</v>
      </c>
      <c r="L103" s="20" t="inlineStr">
        <is>
          <t>22.10.2024 13:18:23</t>
        </is>
      </c>
      <c r="M103" s="18" t="inlineStr">
        <is>
          <t>0 sec</t>
        </is>
      </c>
      <c r="N103" s="20" t="inlineStr">
        <is>
          <t xml:space="preserve">        153K           153K             4K</t>
        </is>
      </c>
      <c r="O103" s="20" t="inlineStr">
        <is>
          <t>HEVVLwrFHT4Pygyiyw6spepahCtzTppSqK5rEhz1RZ9k</t>
        </is>
      </c>
      <c r="P103" s="20">
        <f>HYPERLINK("https://dexscreener.com/solana/HEVVLwrFHT4Pygyiyw6spepahCtzTppSqK5rEhz1RZ9k", "View")</f>
        <v/>
      </c>
    </row>
    <row r="104">
      <c r="A104" s="15" t="inlineStr">
        <is>
          <t>human</t>
        </is>
      </c>
      <c r="B104" s="16" t="n">
        <v>1735398</v>
      </c>
      <c r="C104" s="16" t="n">
        <v>0</v>
      </c>
      <c r="D104" s="16" t="inlineStr">
        <is>
          <t>0.003500</t>
        </is>
      </c>
      <c r="E104" s="16" t="inlineStr">
        <is>
          <t>0.980 SOL</t>
        </is>
      </c>
      <c r="F104" s="16" t="inlineStr">
        <is>
          <t>0.000 SOL</t>
        </is>
      </c>
      <c r="G104" s="17" t="inlineStr">
        <is>
          <t>-0.984 SOL</t>
        </is>
      </c>
      <c r="H104" s="17" t="inlineStr">
        <is>
          <t>0.00%</t>
        </is>
      </c>
      <c r="I104" s="16" t="inlineStr">
        <is>
          <t>1,735,398</t>
        </is>
      </c>
      <c r="J104" s="16" t="n">
        <v>1</v>
      </c>
      <c r="K104" s="16" t="n">
        <v>0</v>
      </c>
      <c r="L104" s="16" t="inlineStr">
        <is>
          <t>22.10.2024 13:03:41</t>
        </is>
      </c>
      <c r="M104" s="18" t="inlineStr">
        <is>
          <t>0 sec</t>
        </is>
      </c>
      <c r="N104" s="16" t="inlineStr">
        <is>
          <t xml:space="preserve">         98K            98K            38K</t>
        </is>
      </c>
      <c r="O104" s="16" t="inlineStr">
        <is>
          <t>3SzByaRdsXcrEGUdK1g5HMmnhBLuBY2UMji2Sn2Epump</t>
        </is>
      </c>
      <c r="P104" s="16">
        <f>HYPERLINK("https://dexscreener.com/solana/3SzByaRdsXcrEGUdK1g5HMmnhBLuBY2UMji2Sn2Epump", "View")</f>
        <v/>
      </c>
    </row>
    <row r="105">
      <c r="A105" s="19" t="inlineStr">
        <is>
          <t>Aether</t>
        </is>
      </c>
      <c r="B105" s="20" t="n">
        <v>445966</v>
      </c>
      <c r="C105" s="20" t="n">
        <v>401369</v>
      </c>
      <c r="D105" s="20" t="inlineStr">
        <is>
          <t>0.007010</t>
        </is>
      </c>
      <c r="E105" s="20" t="inlineStr">
        <is>
          <t>0.980 SOL</t>
        </is>
      </c>
      <c r="F105" s="20" t="inlineStr">
        <is>
          <t>0.028 SOL</t>
        </is>
      </c>
      <c r="G105" s="24" t="inlineStr">
        <is>
          <t>-0.959 SOL</t>
        </is>
      </c>
      <c r="H105" s="24" t="inlineStr">
        <is>
          <t>-97.15%</t>
        </is>
      </c>
      <c r="I105" s="20" t="inlineStr">
        <is>
          <t>N/A</t>
        </is>
      </c>
      <c r="J105" s="20" t="n">
        <v>1</v>
      </c>
      <c r="K105" s="20" t="n">
        <v>1</v>
      </c>
      <c r="L105" s="20" t="inlineStr">
        <is>
          <t>22.10.2024 12:15:36</t>
        </is>
      </c>
      <c r="M105" s="20" t="inlineStr">
        <is>
          <t>1 hours</t>
        </is>
      </c>
      <c r="N105" s="20" t="inlineStr">
        <is>
          <t xml:space="preserve">        386K           386K             4K</t>
        </is>
      </c>
      <c r="O105" s="20" t="inlineStr">
        <is>
          <t>7rAhTkxAqhwnZ4xsUnP7vVtwdnf5im8akUomJssDpump</t>
        </is>
      </c>
      <c r="P105" s="20">
        <f>HYPERLINK("https://dexscreener.com/solana/7rAhTkxAqhwnZ4xsUnP7vVtwdnf5im8akUomJssDpump", "View")</f>
        <v/>
      </c>
    </row>
    <row r="106">
      <c r="A106" s="15" t="inlineStr">
        <is>
          <t>wiki</t>
        </is>
      </c>
      <c r="B106" s="16" t="n">
        <v>1270529</v>
      </c>
      <c r="C106" s="16" t="n">
        <v>0</v>
      </c>
      <c r="D106" s="16" t="inlineStr">
        <is>
          <t>0.003500</t>
        </is>
      </c>
      <c r="E106" s="16" t="inlineStr">
        <is>
          <t>0.980 SOL</t>
        </is>
      </c>
      <c r="F106" s="16" t="inlineStr">
        <is>
          <t>0.000 SOL</t>
        </is>
      </c>
      <c r="G106" s="17" t="inlineStr">
        <is>
          <t>-0.984 SOL</t>
        </is>
      </c>
      <c r="H106" s="17" t="inlineStr">
        <is>
          <t>0.00%</t>
        </is>
      </c>
      <c r="I106" s="16" t="inlineStr">
        <is>
          <t>1,270,529</t>
        </is>
      </c>
      <c r="J106" s="16" t="n">
        <v>1</v>
      </c>
      <c r="K106" s="16" t="n">
        <v>0</v>
      </c>
      <c r="L106" s="16" t="inlineStr">
        <is>
          <t>22.10.2024 10:21:22</t>
        </is>
      </c>
      <c r="M106" s="18" t="inlineStr">
        <is>
          <t>0 sec</t>
        </is>
      </c>
      <c r="N106" s="16" t="inlineStr">
        <is>
          <t xml:space="preserve">        135K           135K             6K</t>
        </is>
      </c>
      <c r="O106" s="16" t="inlineStr">
        <is>
          <t>3ssgRYnBVbWHCwv6FAqHsK1D9ACPTVsMcAD4z4TKpump</t>
        </is>
      </c>
      <c r="P106" s="16">
        <f>HYPERLINK("https://dexscreener.com/solana/3ssgRYnBVbWHCwv6FAqHsK1D9ACPTVsMcAD4z4TKpump", "View")</f>
        <v/>
      </c>
    </row>
    <row r="107">
      <c r="A107" s="19" t="inlineStr">
        <is>
          <t>LLM</t>
        </is>
      </c>
      <c r="B107" s="20" t="n">
        <v>712790</v>
      </c>
      <c r="C107" s="20" t="n">
        <v>641510</v>
      </c>
      <c r="D107" s="20" t="inlineStr">
        <is>
          <t>0.001010</t>
        </is>
      </c>
      <c r="E107" s="20" t="inlineStr">
        <is>
          <t>0.980 SOL</t>
        </is>
      </c>
      <c r="F107" s="20" t="inlineStr">
        <is>
          <t>0.095 SOL</t>
        </is>
      </c>
      <c r="G107" s="24" t="inlineStr">
        <is>
          <t>-0.886 SOL</t>
        </is>
      </c>
      <c r="H107" s="24" t="inlineStr">
        <is>
          <t>-90.35%</t>
        </is>
      </c>
      <c r="I107" s="20" t="inlineStr">
        <is>
          <t>N/A</t>
        </is>
      </c>
      <c r="J107" s="20" t="n">
        <v>1</v>
      </c>
      <c r="K107" s="20" t="n">
        <v>1</v>
      </c>
      <c r="L107" s="20" t="inlineStr">
        <is>
          <t>22.10.2024 09:00:44</t>
        </is>
      </c>
      <c r="M107" s="20" t="inlineStr">
        <is>
          <t>10 hours</t>
        </is>
      </c>
      <c r="N107" s="20" t="inlineStr">
        <is>
          <t xml:space="preserve">        242K           242K             9K</t>
        </is>
      </c>
      <c r="O107" s="20" t="inlineStr">
        <is>
          <t>FueRQG7Pe1EmMGtcevu95YwtCKNMQg1zRbreLsw3pump</t>
        </is>
      </c>
      <c r="P107" s="20">
        <f>HYPERLINK("https://dexscreener.com/solana/FueRQG7Pe1EmMGtcevu95YwtCKNMQg1zRbreLsw3pump", "View")</f>
        <v/>
      </c>
    </row>
    <row r="108">
      <c r="A108" s="15" t="inlineStr">
        <is>
          <t>CLIPPY</t>
        </is>
      </c>
      <c r="B108" s="16" t="n">
        <v>2613608</v>
      </c>
      <c r="C108" s="16" t="n">
        <v>0</v>
      </c>
      <c r="D108" s="16" t="inlineStr">
        <is>
          <t>0.000500</t>
        </is>
      </c>
      <c r="E108" s="16" t="inlineStr">
        <is>
          <t>0.980 SOL</t>
        </is>
      </c>
      <c r="F108" s="16" t="inlineStr">
        <is>
          <t>0.000 SOL</t>
        </is>
      </c>
      <c r="G108" s="17" t="inlineStr">
        <is>
          <t>-0.981 SOL</t>
        </is>
      </c>
      <c r="H108" s="17" t="inlineStr">
        <is>
          <t>0.00%</t>
        </is>
      </c>
      <c r="I108" s="16" t="inlineStr">
        <is>
          <t>2,613,608</t>
        </is>
      </c>
      <c r="J108" s="16" t="n">
        <v>1</v>
      </c>
      <c r="K108" s="16" t="n">
        <v>0</v>
      </c>
      <c r="L108" s="16" t="inlineStr">
        <is>
          <t>22.10.2024 08:30:22</t>
        </is>
      </c>
      <c r="M108" s="18" t="inlineStr">
        <is>
          <t>0 sec</t>
        </is>
      </c>
      <c r="N108" s="16" t="inlineStr">
        <is>
          <t xml:space="preserve">         65K            65K             4K</t>
        </is>
      </c>
      <c r="O108" s="16" t="inlineStr">
        <is>
          <t>FnNgTcbRNWAUt4ubGRckrMFJivdg5YjwU8fwvjtYpump</t>
        </is>
      </c>
      <c r="P108" s="16">
        <f>HYPERLINK("https://dexscreener.com/solana/FnNgTcbRNWAUt4ubGRckrMFJivdg5YjwU8fwvjtYpump", "View")</f>
        <v/>
      </c>
    </row>
    <row r="109">
      <c r="A109" s="19" t="inlineStr">
        <is>
          <t>$SUITRUMP</t>
        </is>
      </c>
      <c r="B109" s="20" t="n">
        <v>886</v>
      </c>
      <c r="C109" s="20" t="n">
        <v>0</v>
      </c>
      <c r="D109" s="20" t="inlineStr">
        <is>
          <t>0.000500</t>
        </is>
      </c>
      <c r="E109" s="20" t="inlineStr">
        <is>
          <t>0.980 SOL</t>
        </is>
      </c>
      <c r="F109" s="20" t="inlineStr">
        <is>
          <t>0.000 SOL</t>
        </is>
      </c>
      <c r="G109" s="17" t="inlineStr">
        <is>
          <t>-0.981 SOL</t>
        </is>
      </c>
      <c r="H109" s="17" t="inlineStr">
        <is>
          <t>0.00%</t>
        </is>
      </c>
      <c r="I109" s="20" t="inlineStr">
        <is>
          <t>886</t>
        </is>
      </c>
      <c r="J109" s="20" t="n">
        <v>1</v>
      </c>
      <c r="K109" s="20" t="n">
        <v>0</v>
      </c>
      <c r="L109" s="20" t="inlineStr">
        <is>
          <t>22.10.2024 08:06:33</t>
        </is>
      </c>
      <c r="M109" s="18" t="inlineStr">
        <is>
          <t>0 sec</t>
        </is>
      </c>
      <c r="N109" s="20" t="inlineStr">
        <is>
          <t xml:space="preserve">        192M           192M             32</t>
        </is>
      </c>
      <c r="O109" s="20" t="inlineStr">
        <is>
          <t>JBwLRGSe48MsgNjFX2dRjimbqfip1sFS2UgHSQHD5Q8m</t>
        </is>
      </c>
      <c r="P109" s="20">
        <f>HYPERLINK("https://dexscreener.com/solana/JBwLRGSe48MsgNjFX2dRjimbqfip1sFS2UgHSQHD5Q8m", "View")</f>
        <v/>
      </c>
    </row>
    <row r="110">
      <c r="A110" s="15" t="inlineStr">
        <is>
          <t>Whip</t>
        </is>
      </c>
      <c r="B110" s="16" t="n">
        <v>679907</v>
      </c>
      <c r="C110" s="16" t="n">
        <v>0</v>
      </c>
      <c r="D110" s="16" t="inlineStr">
        <is>
          <t>0.000500</t>
        </is>
      </c>
      <c r="E110" s="16" t="inlineStr">
        <is>
          <t>0.980 SOL</t>
        </is>
      </c>
      <c r="F110" s="16" t="inlineStr">
        <is>
          <t>0.000 SOL</t>
        </is>
      </c>
      <c r="G110" s="17" t="inlineStr">
        <is>
          <t>-0.981 SOL</t>
        </is>
      </c>
      <c r="H110" s="17" t="inlineStr">
        <is>
          <t>0.00%</t>
        </is>
      </c>
      <c r="I110" s="16" t="inlineStr">
        <is>
          <t>679,907</t>
        </is>
      </c>
      <c r="J110" s="16" t="n">
        <v>1</v>
      </c>
      <c r="K110" s="16" t="n">
        <v>0</v>
      </c>
      <c r="L110" s="16" t="inlineStr">
        <is>
          <t>22.10.2024 05:42:24</t>
        </is>
      </c>
      <c r="M110" s="18" t="inlineStr">
        <is>
          <t>0 sec</t>
        </is>
      </c>
      <c r="N110" s="16" t="inlineStr">
        <is>
          <t xml:space="preserve">        253K           253K            12K</t>
        </is>
      </c>
      <c r="O110" s="16" t="inlineStr">
        <is>
          <t>AHf7kfRnDSMMNxZBq9W3SRMznsLH7NkbfrvPoPpCpump</t>
        </is>
      </c>
      <c r="P110" s="16">
        <f>HYPERLINK("https://dexscreener.com/solana/AHf7kfRnDSMMNxZBq9W3SRMznsLH7NkbfrvPoPpCpump", "View")</f>
        <v/>
      </c>
    </row>
    <row r="111">
      <c r="A111" s="19" t="inlineStr">
        <is>
          <t>ASCII</t>
        </is>
      </c>
      <c r="B111" s="20" t="n">
        <v>2253820</v>
      </c>
      <c r="C111" s="20" t="n">
        <v>0</v>
      </c>
      <c r="D111" s="20" t="inlineStr">
        <is>
          <t>0.000500</t>
        </is>
      </c>
      <c r="E111" s="20" t="inlineStr">
        <is>
          <t>0.980 SOL</t>
        </is>
      </c>
      <c r="F111" s="20" t="inlineStr">
        <is>
          <t>0.000 SOL</t>
        </is>
      </c>
      <c r="G111" s="17" t="inlineStr">
        <is>
          <t>-0.981 SOL</t>
        </is>
      </c>
      <c r="H111" s="17" t="inlineStr">
        <is>
          <t>0.00%</t>
        </is>
      </c>
      <c r="I111" s="20" t="inlineStr">
        <is>
          <t>2,253,820</t>
        </is>
      </c>
      <c r="J111" s="20" t="n">
        <v>1</v>
      </c>
      <c r="K111" s="20" t="n">
        <v>0</v>
      </c>
      <c r="L111" s="20" t="inlineStr">
        <is>
          <t>22.10.2024 04:42:39</t>
        </is>
      </c>
      <c r="M111" s="18" t="inlineStr">
        <is>
          <t>0 sec</t>
        </is>
      </c>
      <c r="N111" s="20" t="inlineStr">
        <is>
          <t xml:space="preserve">         76K            76K             5K</t>
        </is>
      </c>
      <c r="O111" s="20" t="inlineStr">
        <is>
          <t>Cwn264JBW75ZXNnQASquGPvXcdaBLvomDV4xuNfxpump</t>
        </is>
      </c>
      <c r="P111" s="20">
        <f>HYPERLINK("https://dexscreener.com/solana/Cwn264JBW75ZXNnQASquGPvXcdaBLvomDV4xuNfxpump", "View")</f>
        <v/>
      </c>
    </row>
    <row r="112">
      <c r="A112" s="15" t="inlineStr">
        <is>
          <t>BLU</t>
        </is>
      </c>
      <c r="B112" s="16" t="n">
        <v>211976</v>
      </c>
      <c r="C112" s="16" t="n">
        <v>0</v>
      </c>
      <c r="D112" s="16" t="inlineStr">
        <is>
          <t>0.000500</t>
        </is>
      </c>
      <c r="E112" s="16" t="inlineStr">
        <is>
          <t>0.980 SOL</t>
        </is>
      </c>
      <c r="F112" s="16" t="inlineStr">
        <is>
          <t>0.000 SOL</t>
        </is>
      </c>
      <c r="G112" s="17" t="inlineStr">
        <is>
          <t>-0.981 SOL</t>
        </is>
      </c>
      <c r="H112" s="17" t="inlineStr">
        <is>
          <t>0.00%</t>
        </is>
      </c>
      <c r="I112" s="16" t="inlineStr">
        <is>
          <t>211,976</t>
        </is>
      </c>
      <c r="J112" s="16" t="n">
        <v>1</v>
      </c>
      <c r="K112" s="16" t="n">
        <v>0</v>
      </c>
      <c r="L112" s="16" t="inlineStr">
        <is>
          <t>22.10.2024 03:51:35</t>
        </is>
      </c>
      <c r="M112" s="18" t="inlineStr">
        <is>
          <t>0 sec</t>
        </is>
      </c>
      <c r="N112" s="16" t="inlineStr">
        <is>
          <t xml:space="preserve">        811K           811K            34K</t>
        </is>
      </c>
      <c r="O112" s="16" t="inlineStr">
        <is>
          <t>FXPn4kM8M252tbRXV4mvdqSQvY6jrg3J5cuRCphXpump</t>
        </is>
      </c>
      <c r="P112" s="16">
        <f>HYPERLINK("https://dexscreener.com/solana/FXPn4kM8M252tbRXV4mvdqSQvY6jrg3J5cuRCphXpump", "View")</f>
        <v/>
      </c>
    </row>
    <row r="113">
      <c r="A113" s="19" t="inlineStr">
        <is>
          <t xml:space="preserve">Kiri </t>
        </is>
      </c>
      <c r="B113" s="20" t="n">
        <v>372986</v>
      </c>
      <c r="C113" s="20" t="n">
        <v>360491</v>
      </c>
      <c r="D113" s="20" t="inlineStr">
        <is>
          <t>0.006520</t>
        </is>
      </c>
      <c r="E113" s="20" t="inlineStr">
        <is>
          <t>1.000 SOL</t>
        </is>
      </c>
      <c r="F113" s="20" t="inlineStr">
        <is>
          <t>1.192 SOL</t>
        </is>
      </c>
      <c r="G113" s="22" t="inlineStr">
        <is>
          <t>0.186 SOL</t>
        </is>
      </c>
      <c r="H113" s="22" t="inlineStr">
        <is>
          <t>18.47%</t>
        </is>
      </c>
      <c r="I113" s="20" t="inlineStr">
        <is>
          <t>N/A</t>
        </is>
      </c>
      <c r="J113" s="20" t="n">
        <v>1</v>
      </c>
      <c r="K113" s="20" t="n">
        <v>3</v>
      </c>
      <c r="L113" s="20" t="inlineStr">
        <is>
          <t>22.10.2024 02:56:22</t>
        </is>
      </c>
      <c r="M113" s="20" t="inlineStr">
        <is>
          <t>2 days</t>
        </is>
      </c>
      <c r="N113" s="20" t="inlineStr">
        <is>
          <t xml:space="preserve">        471K           111K           183K</t>
        </is>
      </c>
      <c r="O113" s="20" t="inlineStr">
        <is>
          <t>3Ei8SaoL4JWZv1XsWePqiAjVtb7QtpJbV2TSuURmpump</t>
        </is>
      </c>
      <c r="P113" s="20">
        <f>HYPERLINK("https://dexscreener.com/solana/3Ei8SaoL4JWZv1XsWePqiAjVtb7QtpJbV2TSuURmpump", "View")</f>
        <v/>
      </c>
    </row>
    <row r="114">
      <c r="A114" s="15" t="inlineStr">
        <is>
          <t>🦄</t>
        </is>
      </c>
      <c r="B114" s="16" t="n">
        <v>2066140</v>
      </c>
      <c r="C114" s="16" t="n">
        <v>1033070</v>
      </c>
      <c r="D114" s="16" t="inlineStr">
        <is>
          <t>0.001010</t>
        </is>
      </c>
      <c r="E114" s="16" t="inlineStr">
        <is>
          <t>1.000 SOL</t>
        </is>
      </c>
      <c r="F114" s="16" t="inlineStr">
        <is>
          <t>0.750 SOL</t>
        </is>
      </c>
      <c r="G114" s="21" t="inlineStr">
        <is>
          <t>-0.251 SOL</t>
        </is>
      </c>
      <c r="H114" s="21" t="inlineStr">
        <is>
          <t>-25.08%</t>
        </is>
      </c>
      <c r="I114" s="16" t="inlineStr">
        <is>
          <t>N/A</t>
        </is>
      </c>
      <c r="J114" s="16" t="n">
        <v>1</v>
      </c>
      <c r="K114" s="16" t="n">
        <v>1</v>
      </c>
      <c r="L114" s="16" t="inlineStr">
        <is>
          <t>22.10.2024 02:53:57</t>
        </is>
      </c>
      <c r="M114" s="16" t="inlineStr">
        <is>
          <t>4 days</t>
        </is>
      </c>
      <c r="N114" s="16" t="inlineStr">
        <is>
          <t xml:space="preserve">         84K            84K           170K</t>
        </is>
      </c>
      <c r="O114" s="16" t="inlineStr">
        <is>
          <t>Gg7Rc5qog3RXSNFoR9aBUmDZcEpL2iNkwjvTo4LDENWt</t>
        </is>
      </c>
      <c r="P114" s="16">
        <f>HYPERLINK("https://dexscreener.com/solana/Gg7Rc5qog3RXSNFoR9aBUmDZcEpL2iNkwjvTo4LDENWt", "View")</f>
        <v/>
      </c>
    </row>
    <row r="115">
      <c r="A115" s="19" t="inlineStr">
        <is>
          <t>BULLY</t>
        </is>
      </c>
      <c r="B115" s="20" t="n">
        <v>1202704</v>
      </c>
      <c r="C115" s="20" t="n">
        <v>1052365</v>
      </c>
      <c r="D115" s="20" t="inlineStr">
        <is>
          <t>0.002020</t>
        </is>
      </c>
      <c r="E115" s="20" t="inlineStr">
        <is>
          <t>1.000 SOL</t>
        </is>
      </c>
      <c r="F115" s="20" t="inlineStr">
        <is>
          <t>6.289 SOL</t>
        </is>
      </c>
      <c r="G115" s="23" t="inlineStr">
        <is>
          <t>5.287 SOL</t>
        </is>
      </c>
      <c r="H115" s="23" t="inlineStr">
        <is>
          <t>527.66%</t>
        </is>
      </c>
      <c r="I115" s="20" t="inlineStr">
        <is>
          <t>N/A</t>
        </is>
      </c>
      <c r="J115" s="20" t="n">
        <v>1</v>
      </c>
      <c r="K115" s="20" t="n">
        <v>3</v>
      </c>
      <c r="L115" s="20" t="inlineStr">
        <is>
          <t>22.10.2024 02:51:28</t>
        </is>
      </c>
      <c r="M115" s="20" t="inlineStr">
        <is>
          <t>5 days</t>
        </is>
      </c>
      <c r="N115" s="20" t="inlineStr">
        <is>
          <t xml:space="preserve">        140K           140K            97K</t>
        </is>
      </c>
      <c r="O115" s="20" t="inlineStr">
        <is>
          <t>79yTpy8uwmAkrdgZdq6ZSBTvxKsgPrNqTLvYQBh1pump</t>
        </is>
      </c>
      <c r="P115" s="20">
        <f>HYPERLINK("https://dexscreener.com/solana/79yTpy8uwmAkrdgZdq6ZSBTvxKsgPrNqTLvYQBh1pump", "View")</f>
        <v/>
      </c>
    </row>
    <row r="116">
      <c r="A116" s="15" t="inlineStr">
        <is>
          <t>CHONK</t>
        </is>
      </c>
      <c r="B116" s="16" t="n">
        <v>403494</v>
      </c>
      <c r="C116" s="16" t="n">
        <v>302115</v>
      </c>
      <c r="D116" s="16" t="inlineStr">
        <is>
          <t>0.002020</t>
        </is>
      </c>
      <c r="E116" s="16" t="inlineStr">
        <is>
          <t>1.000 SOL</t>
        </is>
      </c>
      <c r="F116" s="16" t="inlineStr">
        <is>
          <t>2.087 SOL</t>
        </is>
      </c>
      <c r="G116" s="23" t="inlineStr">
        <is>
          <t>1.085 SOL</t>
        </is>
      </c>
      <c r="H116" s="23" t="inlineStr">
        <is>
          <t>108.23%</t>
        </is>
      </c>
      <c r="I116" s="16" t="inlineStr">
        <is>
          <t>N/A</t>
        </is>
      </c>
      <c r="J116" s="16" t="n">
        <v>1</v>
      </c>
      <c r="K116" s="16" t="n">
        <v>3</v>
      </c>
      <c r="L116" s="16" t="inlineStr">
        <is>
          <t>22.10.2024 02:48:47</t>
        </is>
      </c>
      <c r="M116" s="16" t="inlineStr">
        <is>
          <t>6 days</t>
        </is>
      </c>
      <c r="N116" s="16" t="inlineStr">
        <is>
          <t xml:space="preserve">        436K           436K           743K</t>
        </is>
      </c>
      <c r="O116" s="16" t="inlineStr">
        <is>
          <t>AT7RRrFhBU1Dw1WghdgAqeNKNXKomDFXm77owQgppump</t>
        </is>
      </c>
      <c r="P116" s="16">
        <f>HYPERLINK("https://dexscreener.com/solana/AT7RRrFhBU1Dw1WghdgAqeNKNXKomDFXm77owQgppump", "View")</f>
        <v/>
      </c>
    </row>
    <row r="117">
      <c r="A117" s="19" t="inlineStr">
        <is>
          <t>Paws</t>
        </is>
      </c>
      <c r="B117" s="20" t="n">
        <v>1351</v>
      </c>
      <c r="C117" s="20" t="n">
        <v>0</v>
      </c>
      <c r="D117" s="20" t="inlineStr">
        <is>
          <t>0.000500</t>
        </is>
      </c>
      <c r="E117" s="20" t="inlineStr">
        <is>
          <t>0.980 SOL</t>
        </is>
      </c>
      <c r="F117" s="20" t="inlineStr">
        <is>
          <t>0.000 SOL</t>
        </is>
      </c>
      <c r="G117" s="17" t="inlineStr">
        <is>
          <t>-0.981 SOL</t>
        </is>
      </c>
      <c r="H117" s="17" t="inlineStr">
        <is>
          <t>0.00%</t>
        </is>
      </c>
      <c r="I117" s="20" t="inlineStr">
        <is>
          <t>1,351</t>
        </is>
      </c>
      <c r="J117" s="20" t="n">
        <v>1</v>
      </c>
      <c r="K117" s="20" t="n">
        <v>0</v>
      </c>
      <c r="L117" s="20" t="inlineStr">
        <is>
          <t>22.10.2024 02:48:29</t>
        </is>
      </c>
      <c r="M117" s="18" t="inlineStr">
        <is>
          <t>0 sec</t>
        </is>
      </c>
      <c r="N117" s="20" t="inlineStr">
        <is>
          <t xml:space="preserve">         85M            85M             40</t>
        </is>
      </c>
      <c r="O117" s="20" t="inlineStr">
        <is>
          <t>GLNzbbd7zskRVsVREju1xnDZrR2sECSPkWT5HfwafsMT</t>
        </is>
      </c>
      <c r="P117" s="20">
        <f>HYPERLINK("https://dexscreener.com/solana/GLNzbbd7zskRVsVREju1xnDZrR2sECSPkWT5HfwafsMT", "View")</f>
        <v/>
      </c>
    </row>
    <row r="118">
      <c r="A118" s="15" t="inlineStr">
        <is>
          <t>★</t>
        </is>
      </c>
      <c r="B118" s="16" t="n">
        <v>1785780</v>
      </c>
      <c r="C118" s="16" t="n">
        <v>0</v>
      </c>
      <c r="D118" s="16" t="inlineStr">
        <is>
          <t>0.000500</t>
        </is>
      </c>
      <c r="E118" s="16" t="inlineStr">
        <is>
          <t>0.980 SOL</t>
        </is>
      </c>
      <c r="F118" s="16" t="inlineStr">
        <is>
          <t>0.000 SOL</t>
        </is>
      </c>
      <c r="G118" s="17" t="inlineStr">
        <is>
          <t>-0.981 SOL</t>
        </is>
      </c>
      <c r="H118" s="17" t="inlineStr">
        <is>
          <t>0.00%</t>
        </is>
      </c>
      <c r="I118" s="16" t="inlineStr">
        <is>
          <t>1,785,780</t>
        </is>
      </c>
      <c r="J118" s="16" t="n">
        <v>1</v>
      </c>
      <c r="K118" s="16" t="n">
        <v>0</v>
      </c>
      <c r="L118" s="16" t="inlineStr">
        <is>
          <t>22.10.2024 01:21:30</t>
        </is>
      </c>
      <c r="M118" s="18" t="inlineStr">
        <is>
          <t>0 sec</t>
        </is>
      </c>
      <c r="N118" s="16" t="inlineStr">
        <is>
          <t xml:space="preserve">         96K            96K             3K</t>
        </is>
      </c>
      <c r="O118" s="16" t="inlineStr">
        <is>
          <t>NovavkexDZZQKFvYThWKgAuaTgMxrGqQyWeGbAM8Ks1</t>
        </is>
      </c>
      <c r="P118" s="16">
        <f>HYPERLINK("https://dexscreener.com/solana/NovavkexDZZQKFvYThWKgAuaTgMxrGqQyWeGbAM8Ks1", "View")</f>
        <v/>
      </c>
    </row>
    <row r="119">
      <c r="A119" s="19" t="inlineStr">
        <is>
          <t>MDOG</t>
        </is>
      </c>
      <c r="B119" s="20" t="n">
        <v>310726</v>
      </c>
      <c r="C119" s="20" t="n">
        <v>0</v>
      </c>
      <c r="D119" s="20" t="inlineStr">
        <is>
          <t>0.000500</t>
        </is>
      </c>
      <c r="E119" s="20" t="inlineStr">
        <is>
          <t>0.980 SOL</t>
        </is>
      </c>
      <c r="F119" s="20" t="inlineStr">
        <is>
          <t>0.000 SOL</t>
        </is>
      </c>
      <c r="G119" s="17" t="inlineStr">
        <is>
          <t>-0.981 SOL</t>
        </is>
      </c>
      <c r="H119" s="17" t="inlineStr">
        <is>
          <t>0.00%</t>
        </is>
      </c>
      <c r="I119" s="20" t="inlineStr">
        <is>
          <t>310,726</t>
        </is>
      </c>
      <c r="J119" s="20" t="n">
        <v>1</v>
      </c>
      <c r="K119" s="20" t="n">
        <v>0</v>
      </c>
      <c r="L119" s="20" t="inlineStr">
        <is>
          <t>22.10.2024 00:21:28</t>
        </is>
      </c>
      <c r="M119" s="18" t="inlineStr">
        <is>
          <t>0 sec</t>
        </is>
      </c>
      <c r="N119" s="20" t="inlineStr">
        <is>
          <t xml:space="preserve">        551K           551K             5K</t>
        </is>
      </c>
      <c r="O119" s="20" t="inlineStr">
        <is>
          <t>wpxTGswisVp6q33Rfnt39A7q7R6NzV523pXRpA9pump</t>
        </is>
      </c>
      <c r="P119" s="20">
        <f>HYPERLINK("https://dexscreener.com/solana/wpxTGswisVp6q33Rfnt39A7q7R6NzV523pXRpA9pump", "View")</f>
        <v/>
      </c>
    </row>
    <row r="120">
      <c r="A120" s="15" t="inlineStr">
        <is>
          <t>mochi</t>
        </is>
      </c>
      <c r="B120" s="16" t="n">
        <v>706360</v>
      </c>
      <c r="C120" s="16" t="n">
        <v>635724</v>
      </c>
      <c r="D120" s="16" t="inlineStr">
        <is>
          <t>0.011010</t>
        </is>
      </c>
      <c r="E120" s="16" t="inlineStr">
        <is>
          <t>0.980 SOL</t>
        </is>
      </c>
      <c r="F120" s="16" t="inlineStr">
        <is>
          <t>0.043 SOL</t>
        </is>
      </c>
      <c r="G120" s="24" t="inlineStr">
        <is>
          <t>-0.948 SOL</t>
        </is>
      </c>
      <c r="H120" s="24" t="inlineStr">
        <is>
          <t>-95.69%</t>
        </is>
      </c>
      <c r="I120" s="16" t="inlineStr">
        <is>
          <t>N/A</t>
        </is>
      </c>
      <c r="J120" s="16" t="n">
        <v>1</v>
      </c>
      <c r="K120" s="16" t="n">
        <v>1</v>
      </c>
      <c r="L120" s="16" t="inlineStr">
        <is>
          <t>21.10.2024 20:15:25</t>
        </is>
      </c>
      <c r="M120" s="16" t="inlineStr">
        <is>
          <t>1 hours</t>
        </is>
      </c>
      <c r="N120" s="16" t="inlineStr">
        <is>
          <t xml:space="preserve">        244K           244K             5K</t>
        </is>
      </c>
      <c r="O120" s="16" t="inlineStr">
        <is>
          <t>3bxVJsSkWHRZ4UeAg7N5YYxz8Z5AhpnrQj9Fe3wgpump</t>
        </is>
      </c>
      <c r="P120" s="16">
        <f>HYPERLINK("https://dexscreener.com/solana/3bxVJsSkWHRZ4UeAg7N5YYxz8Z5AhpnrQj9Fe3wgpump", "View")</f>
        <v/>
      </c>
    </row>
    <row r="121">
      <c r="A121" s="19" t="inlineStr">
        <is>
          <t>ct</t>
        </is>
      </c>
      <c r="B121" s="20" t="n">
        <v>645120</v>
      </c>
      <c r="C121" s="20" t="n">
        <v>0</v>
      </c>
      <c r="D121" s="20" t="inlineStr">
        <is>
          <t>0.006000</t>
        </is>
      </c>
      <c r="E121" s="20" t="inlineStr">
        <is>
          <t>0.980 SOL</t>
        </is>
      </c>
      <c r="F121" s="20" t="inlineStr">
        <is>
          <t>0.000 SOL</t>
        </is>
      </c>
      <c r="G121" s="17" t="inlineStr">
        <is>
          <t>-0.986 SOL</t>
        </is>
      </c>
      <c r="H121" s="17" t="inlineStr">
        <is>
          <t>0.00%</t>
        </is>
      </c>
      <c r="I121" s="20" t="inlineStr">
        <is>
          <t>645,120</t>
        </is>
      </c>
      <c r="J121" s="20" t="n">
        <v>1</v>
      </c>
      <c r="K121" s="20" t="n">
        <v>0</v>
      </c>
      <c r="L121" s="20" t="inlineStr">
        <is>
          <t>21.10.2024 19:36:33</t>
        </is>
      </c>
      <c r="M121" s="18" t="inlineStr">
        <is>
          <t>0 sec</t>
        </is>
      </c>
      <c r="N121" s="20" t="inlineStr">
        <is>
          <t xml:space="preserve">        267K           267K            43K</t>
        </is>
      </c>
      <c r="O121" s="20" t="inlineStr">
        <is>
          <t>H8eK75hXWrZRtUSuewapGQPbyHhVKHppErs468vcpump</t>
        </is>
      </c>
      <c r="P121" s="20">
        <f>HYPERLINK("https://dexscreener.com/solana/H8eK75hXWrZRtUSuewapGQPbyHhVKHppErs468vcpump", "View")</f>
        <v/>
      </c>
    </row>
    <row r="122">
      <c r="A122" s="15" t="inlineStr">
        <is>
          <t>every AI</t>
        </is>
      </c>
      <c r="B122" s="16" t="n">
        <v>494443</v>
      </c>
      <c r="C122" s="16" t="n">
        <v>0</v>
      </c>
      <c r="D122" s="16" t="inlineStr">
        <is>
          <t>0.006000</t>
        </is>
      </c>
      <c r="E122" s="16" t="inlineStr">
        <is>
          <t>0.980 SOL</t>
        </is>
      </c>
      <c r="F122" s="16" t="inlineStr">
        <is>
          <t>0.000 SOL</t>
        </is>
      </c>
      <c r="G122" s="17" t="inlineStr">
        <is>
          <t>-0.986 SOL</t>
        </is>
      </c>
      <c r="H122" s="17" t="inlineStr">
        <is>
          <t>0.00%</t>
        </is>
      </c>
      <c r="I122" s="16" t="inlineStr">
        <is>
          <t>494,443</t>
        </is>
      </c>
      <c r="J122" s="16" t="n">
        <v>1</v>
      </c>
      <c r="K122" s="16" t="n">
        <v>0</v>
      </c>
      <c r="L122" s="16" t="inlineStr">
        <is>
          <t>21.10.2024 19:18:24</t>
        </is>
      </c>
      <c r="M122" s="18" t="inlineStr">
        <is>
          <t>0 sec</t>
        </is>
      </c>
      <c r="N122" s="16" t="inlineStr">
        <is>
          <t xml:space="preserve">        348K           348K             4K</t>
        </is>
      </c>
      <c r="O122" s="16" t="inlineStr">
        <is>
          <t>4arp7siokxbe72AwiiWVya63QY49HRTbpWrFpNozpump</t>
        </is>
      </c>
      <c r="P122" s="16">
        <f>HYPERLINK("https://dexscreener.com/solana/4arp7siokxbe72AwiiWVya63QY49HRTbpWrFpNozpump", "View")</f>
        <v/>
      </c>
    </row>
    <row r="123">
      <c r="A123" s="19" t="inlineStr">
        <is>
          <t>XENO</t>
        </is>
      </c>
      <c r="B123" s="20" t="n">
        <v>1072516</v>
      </c>
      <c r="C123" s="20" t="n">
        <v>160877</v>
      </c>
      <c r="D123" s="20" t="inlineStr">
        <is>
          <t>0.005610</t>
        </is>
      </c>
      <c r="E123" s="20" t="inlineStr">
        <is>
          <t>1.000 SOL</t>
        </is>
      </c>
      <c r="F123" s="20" t="inlineStr">
        <is>
          <t>0.917 SOL</t>
        </is>
      </c>
      <c r="G123" s="21" t="inlineStr">
        <is>
          <t>-0.089 SOL</t>
        </is>
      </c>
      <c r="H123" s="21" t="inlineStr">
        <is>
          <t>-8.83%</t>
        </is>
      </c>
      <c r="I123" s="20" t="inlineStr">
        <is>
          <t>N/A</t>
        </is>
      </c>
      <c r="J123" s="20" t="n">
        <v>1</v>
      </c>
      <c r="K123" s="20" t="n">
        <v>1</v>
      </c>
      <c r="L123" s="20" t="inlineStr">
        <is>
          <t>21.10.2024 16:10:28</t>
        </is>
      </c>
      <c r="M123" s="20" t="inlineStr">
        <is>
          <t>2 days</t>
        </is>
      </c>
      <c r="N123" s="20" t="inlineStr">
        <is>
          <t xml:space="preserve">        163K           163K            35K</t>
        </is>
      </c>
      <c r="O123" s="20" t="inlineStr">
        <is>
          <t>AU6z1iY7Jt8kLzybWvSzj6jFEqVvXBZaA8VJmK83pump</t>
        </is>
      </c>
      <c r="P123" s="20">
        <f>HYPERLINK("https://dexscreener.com/solana/AU6z1iY7Jt8kLzybWvSzj6jFEqVvXBZaA8VJmK83pump", "View")</f>
        <v/>
      </c>
    </row>
    <row r="124">
      <c r="A124" s="15" t="inlineStr">
        <is>
          <t>gum</t>
        </is>
      </c>
      <c r="B124" s="16" t="n">
        <v>842209</v>
      </c>
      <c r="C124" s="16" t="n">
        <v>0</v>
      </c>
      <c r="D124" s="16" t="inlineStr">
        <is>
          <t>0.006000</t>
        </is>
      </c>
      <c r="E124" s="16" t="inlineStr">
        <is>
          <t>0.980 SOL</t>
        </is>
      </c>
      <c r="F124" s="16" t="inlineStr">
        <is>
          <t>0.000 SOL</t>
        </is>
      </c>
      <c r="G124" s="17" t="inlineStr">
        <is>
          <t>-0.986 SOL</t>
        </is>
      </c>
      <c r="H124" s="17" t="inlineStr">
        <is>
          <t>0.00%</t>
        </is>
      </c>
      <c r="I124" s="16" t="inlineStr">
        <is>
          <t>842,209</t>
        </is>
      </c>
      <c r="J124" s="16" t="n">
        <v>1</v>
      </c>
      <c r="K124" s="16" t="n">
        <v>0</v>
      </c>
      <c r="L124" s="16" t="inlineStr">
        <is>
          <t>21.10.2024 15:06:56</t>
        </is>
      </c>
      <c r="M124" s="18" t="inlineStr">
        <is>
          <t>0 sec</t>
        </is>
      </c>
      <c r="N124" s="16" t="inlineStr">
        <is>
          <t xml:space="preserve">        204K           204K             5K</t>
        </is>
      </c>
      <c r="O124" s="16" t="inlineStr">
        <is>
          <t>pi6XiAqEXP4r3Fe5xd7ZyWC9Ve2pYSaXETQGX9wpump</t>
        </is>
      </c>
      <c r="P124" s="16">
        <f>HYPERLINK("https://dexscreener.com/solana/pi6XiAqEXP4r3Fe5xd7ZyWC9Ve2pYSaXETQGX9wpump", "View")</f>
        <v/>
      </c>
    </row>
    <row r="125">
      <c r="A125" s="19" t="inlineStr">
        <is>
          <t>✨</t>
        </is>
      </c>
      <c r="B125" s="20" t="n">
        <v>3090604</v>
      </c>
      <c r="C125" s="20" t="n">
        <v>0</v>
      </c>
      <c r="D125" s="20" t="inlineStr">
        <is>
          <t>0.006000</t>
        </is>
      </c>
      <c r="E125" s="20" t="inlineStr">
        <is>
          <t>0.980 SOL</t>
        </is>
      </c>
      <c r="F125" s="20" t="inlineStr">
        <is>
          <t>0.000 SOL</t>
        </is>
      </c>
      <c r="G125" s="17" t="inlineStr">
        <is>
          <t>-0.986 SOL</t>
        </is>
      </c>
      <c r="H125" s="17" t="inlineStr">
        <is>
          <t>0.00%</t>
        </is>
      </c>
      <c r="I125" s="20" t="inlineStr">
        <is>
          <t>3,090,604</t>
        </is>
      </c>
      <c r="J125" s="20" t="n">
        <v>1</v>
      </c>
      <c r="K125" s="20" t="n">
        <v>0</v>
      </c>
      <c r="L125" s="20" t="inlineStr">
        <is>
          <t>21.10.2024 14:45:41</t>
        </is>
      </c>
      <c r="M125" s="18" t="inlineStr">
        <is>
          <t>0 sec</t>
        </is>
      </c>
      <c r="N125" s="20" t="inlineStr">
        <is>
          <t xml:space="preserve">         56K            56K             5K</t>
        </is>
      </c>
      <c r="O125" s="20" t="inlineStr">
        <is>
          <t>8KapfTcDKMMCN1xujKvDFPA4QSbRci9nSkpyYxoMpump</t>
        </is>
      </c>
      <c r="P125" s="20">
        <f>HYPERLINK("https://dexscreener.com/solana/8KapfTcDKMMCN1xujKvDFPA4QSbRci9nSkpyYxoMpump", "View")</f>
        <v/>
      </c>
    </row>
    <row r="126">
      <c r="A126" s="15" t="inlineStr">
        <is>
          <t>$BASI</t>
        </is>
      </c>
      <c r="B126" s="16" t="n">
        <v>1415060</v>
      </c>
      <c r="C126" s="16" t="n">
        <v>0</v>
      </c>
      <c r="D126" s="16" t="inlineStr">
        <is>
          <t>0.006000</t>
        </is>
      </c>
      <c r="E126" s="16" t="inlineStr">
        <is>
          <t>0.980 SOL</t>
        </is>
      </c>
      <c r="F126" s="16" t="inlineStr">
        <is>
          <t>0.000 SOL</t>
        </is>
      </c>
      <c r="G126" s="17" t="inlineStr">
        <is>
          <t>-0.986 SOL</t>
        </is>
      </c>
      <c r="H126" s="17" t="inlineStr">
        <is>
          <t>0.00%</t>
        </is>
      </c>
      <c r="I126" s="16" t="inlineStr">
        <is>
          <t>1,415,060</t>
        </is>
      </c>
      <c r="J126" s="16" t="n">
        <v>1</v>
      </c>
      <c r="K126" s="16" t="n">
        <v>0</v>
      </c>
      <c r="L126" s="16" t="inlineStr">
        <is>
          <t>21.10.2024 14:27:55</t>
        </is>
      </c>
      <c r="M126" s="18" t="inlineStr">
        <is>
          <t>0 sec</t>
        </is>
      </c>
      <c r="N126" s="16" t="inlineStr">
        <is>
          <t xml:space="preserve">        121K           121K             5K</t>
        </is>
      </c>
      <c r="O126" s="16" t="inlineStr">
        <is>
          <t>mAhve2iAaV6XXixNXZdwRGDTTHBUp2sb8tD41rHpump</t>
        </is>
      </c>
      <c r="P126" s="16">
        <f>HYPERLINK("https://dexscreener.com/solana/mAhve2iAaV6XXixNXZdwRGDTTHBUp2sb8tD41rHpump", "View")</f>
        <v/>
      </c>
    </row>
    <row r="127">
      <c r="A127" s="19" t="inlineStr">
        <is>
          <t>🌀</t>
        </is>
      </c>
      <c r="B127" s="20" t="n">
        <v>734870</v>
      </c>
      <c r="C127" s="20" t="n">
        <v>0</v>
      </c>
      <c r="D127" s="20" t="inlineStr">
        <is>
          <t>0.006000</t>
        </is>
      </c>
      <c r="E127" s="20" t="inlineStr">
        <is>
          <t>0.980 SOL</t>
        </is>
      </c>
      <c r="F127" s="20" t="inlineStr">
        <is>
          <t>0.000 SOL</t>
        </is>
      </c>
      <c r="G127" s="17" t="inlineStr">
        <is>
          <t>-0.986 SOL</t>
        </is>
      </c>
      <c r="H127" s="17" t="inlineStr">
        <is>
          <t>0.00%</t>
        </is>
      </c>
      <c r="I127" s="20" t="inlineStr">
        <is>
          <t>734,870</t>
        </is>
      </c>
      <c r="J127" s="20" t="n">
        <v>1</v>
      </c>
      <c r="K127" s="20" t="n">
        <v>0</v>
      </c>
      <c r="L127" s="20" t="inlineStr">
        <is>
          <t>21.10.2024 13:21:28</t>
        </is>
      </c>
      <c r="M127" s="18" t="inlineStr">
        <is>
          <t>0 sec</t>
        </is>
      </c>
      <c r="N127" s="20" t="inlineStr">
        <is>
          <t xml:space="preserve">        233K           233K             5K</t>
        </is>
      </c>
      <c r="O127" s="20" t="inlineStr">
        <is>
          <t>GkyZ89FRpwnMdCxBM3eKXD8zHouFvNxbVC2gb7y8pump</t>
        </is>
      </c>
      <c r="P127" s="20">
        <f>HYPERLINK("https://dexscreener.com/solana/GkyZ89FRpwnMdCxBM3eKXD8zHouFvNxbVC2gb7y8pump", "View")</f>
        <v/>
      </c>
    </row>
    <row r="128">
      <c r="A128" s="15" t="inlineStr">
        <is>
          <t>$ SUNGOD</t>
        </is>
      </c>
      <c r="B128" s="16" t="n">
        <v>950</v>
      </c>
      <c r="C128" s="16" t="n">
        <v>0</v>
      </c>
      <c r="D128" s="16" t="inlineStr">
        <is>
          <t>0.006000</t>
        </is>
      </c>
      <c r="E128" s="16" t="inlineStr">
        <is>
          <t>0.980 SOL</t>
        </is>
      </c>
      <c r="F128" s="16" t="inlineStr">
        <is>
          <t>0.000 SOL</t>
        </is>
      </c>
      <c r="G128" s="17" t="inlineStr">
        <is>
          <t>-0.986 SOL</t>
        </is>
      </c>
      <c r="H128" s="17" t="inlineStr">
        <is>
          <t>0.00%</t>
        </is>
      </c>
      <c r="I128" s="16" t="inlineStr">
        <is>
          <t>950</t>
        </is>
      </c>
      <c r="J128" s="16" t="n">
        <v>1</v>
      </c>
      <c r="K128" s="16" t="n">
        <v>0</v>
      </c>
      <c r="L128" s="16" t="inlineStr">
        <is>
          <t>21.10.2024 12:48:42</t>
        </is>
      </c>
      <c r="M128" s="18" t="inlineStr">
        <is>
          <t>0 sec</t>
        </is>
      </c>
      <c r="N128" s="16" t="inlineStr">
        <is>
          <t xml:space="preserve">        128M           128M            419</t>
        </is>
      </c>
      <c r="O128" s="16" t="inlineStr">
        <is>
          <t>C3HN5P6U8MuLUmNLuS7wGfbtHgQLuHUVgx8zGCshmT7Y</t>
        </is>
      </c>
      <c r="P128" s="16">
        <f>HYPERLINK("https://dexscreener.com/solana/C3HN5P6U8MuLUmNLuS7wGfbtHgQLuHUVgx8zGCshmT7Y", "View")</f>
        <v/>
      </c>
    </row>
    <row r="129">
      <c r="A129" s="19" t="inlineStr">
        <is>
          <t>LOMBA</t>
        </is>
      </c>
      <c r="B129" s="20" t="n">
        <v>6393042</v>
      </c>
      <c r="C129" s="20" t="n">
        <v>5753737</v>
      </c>
      <c r="D129" s="20" t="inlineStr">
        <is>
          <t>0.011010</t>
        </is>
      </c>
      <c r="E129" s="20" t="inlineStr">
        <is>
          <t>0.980 SOL</t>
        </is>
      </c>
      <c r="F129" s="20" t="inlineStr">
        <is>
          <t>0.033 SOL</t>
        </is>
      </c>
      <c r="G129" s="24" t="inlineStr">
        <is>
          <t>-0.958 SOL</t>
        </is>
      </c>
      <c r="H129" s="24" t="inlineStr">
        <is>
          <t>-96.62%</t>
        </is>
      </c>
      <c r="I129" s="20" t="inlineStr">
        <is>
          <t>N/A</t>
        </is>
      </c>
      <c r="J129" s="20" t="n">
        <v>1</v>
      </c>
      <c r="K129" s="20" t="n">
        <v>1</v>
      </c>
      <c r="L129" s="20" t="inlineStr">
        <is>
          <t>21.10.2024 12:21:11</t>
        </is>
      </c>
      <c r="M129" s="20" t="inlineStr">
        <is>
          <t>23 min</t>
        </is>
      </c>
      <c r="N129" s="20" t="inlineStr">
        <is>
          <t xml:space="preserve">         26K            26K            431</t>
        </is>
      </c>
      <c r="O129" s="20" t="inlineStr">
        <is>
          <t>GQZA1Ly7er3qQLMbKz3nDr9NarPwZQda3Q7cFnftrNdT</t>
        </is>
      </c>
      <c r="P129" s="20">
        <f>HYPERLINK("https://dexscreener.com/solana/GQZA1Ly7er3qQLMbKz3nDr9NarPwZQda3Q7cFnftrNdT", "View")</f>
        <v/>
      </c>
    </row>
    <row r="130">
      <c r="A130" s="15" t="inlineStr">
        <is>
          <t>NEOLUD</t>
        </is>
      </c>
      <c r="B130" s="16" t="n">
        <v>587594</v>
      </c>
      <c r="C130" s="16" t="n">
        <v>88139</v>
      </c>
      <c r="D130" s="16" t="inlineStr">
        <is>
          <t>0.011010</t>
        </is>
      </c>
      <c r="E130" s="16" t="inlineStr">
        <is>
          <t>0.980 SOL</t>
        </is>
      </c>
      <c r="F130" s="16" t="inlineStr">
        <is>
          <t>0.371 SOL</t>
        </is>
      </c>
      <c r="G130" s="24" t="inlineStr">
        <is>
          <t>-0.620 SOL</t>
        </is>
      </c>
      <c r="H130" s="24" t="inlineStr">
        <is>
          <t>-62.55%</t>
        </is>
      </c>
      <c r="I130" s="16" t="inlineStr">
        <is>
          <t>N/A</t>
        </is>
      </c>
      <c r="J130" s="16" t="n">
        <v>1</v>
      </c>
      <c r="K130" s="16" t="n">
        <v>1</v>
      </c>
      <c r="L130" s="16" t="inlineStr">
        <is>
          <t>21.10.2024 11:15:47</t>
        </is>
      </c>
      <c r="M130" s="16" t="inlineStr">
        <is>
          <t>3 hours</t>
        </is>
      </c>
      <c r="N130" s="16" t="inlineStr">
        <is>
          <t xml:space="preserve">        293K           293K            14K</t>
        </is>
      </c>
      <c r="O130" s="16" t="inlineStr">
        <is>
          <t>BEk5erCFDjoVEZYUJV2gJAVrp6CERSEgtY7CsWFYpump</t>
        </is>
      </c>
      <c r="P130" s="16">
        <f>HYPERLINK("https://dexscreener.com/solana/BEk5erCFDjoVEZYUJV2gJAVrp6CERSEgtY7CsWFYpump", "View")</f>
        <v/>
      </c>
    </row>
    <row r="131">
      <c r="A131" s="19" t="inlineStr">
        <is>
          <t>Grump</t>
        </is>
      </c>
      <c r="B131" s="20" t="n">
        <v>1184</v>
      </c>
      <c r="C131" s="20" t="n">
        <v>0</v>
      </c>
      <c r="D131" s="20" t="inlineStr">
        <is>
          <t>0.006000</t>
        </is>
      </c>
      <c r="E131" s="20" t="inlineStr">
        <is>
          <t>0.980 SOL</t>
        </is>
      </c>
      <c r="F131" s="20" t="inlineStr">
        <is>
          <t>0.000 SOL</t>
        </is>
      </c>
      <c r="G131" s="17" t="inlineStr">
        <is>
          <t>-0.986 SOL</t>
        </is>
      </c>
      <c r="H131" s="17" t="inlineStr">
        <is>
          <t>0.00%</t>
        </is>
      </c>
      <c r="I131" s="20" t="inlineStr">
        <is>
          <t>1,184</t>
        </is>
      </c>
      <c r="J131" s="20" t="n">
        <v>1</v>
      </c>
      <c r="K131" s="20" t="n">
        <v>0</v>
      </c>
      <c r="L131" s="20" t="inlineStr">
        <is>
          <t>21.10.2024 10:36:32</t>
        </is>
      </c>
      <c r="M131" s="18" t="inlineStr">
        <is>
          <t>0 sec</t>
        </is>
      </c>
      <c r="N131" s="20" t="inlineStr">
        <is>
          <t xml:space="preserve">        136M           136M             35</t>
        </is>
      </c>
      <c r="O131" s="20" t="inlineStr">
        <is>
          <t>C2HKY4Rgi9GE1B95Q7i3dvQccLMxtzK4vk8hC6UcnEwm</t>
        </is>
      </c>
      <c r="P131" s="20">
        <f>HYPERLINK("https://dexscreener.com/solana/C2HKY4Rgi9GE1B95Q7i3dvQccLMxtzK4vk8hC6UcnEwm", "View")</f>
        <v/>
      </c>
    </row>
    <row r="132">
      <c r="A132" s="15" t="inlineStr">
        <is>
          <t>ACTII</t>
        </is>
      </c>
      <c r="B132" s="16" t="n">
        <v>4689620</v>
      </c>
      <c r="C132" s="16" t="n">
        <v>0</v>
      </c>
      <c r="D132" s="16" t="inlineStr">
        <is>
          <t>0.006000</t>
        </is>
      </c>
      <c r="E132" s="16" t="inlineStr">
        <is>
          <t>0.980 SOL</t>
        </is>
      </c>
      <c r="F132" s="16" t="inlineStr">
        <is>
          <t>0.000 SOL</t>
        </is>
      </c>
      <c r="G132" s="17" t="inlineStr">
        <is>
          <t>-0.986 SOL</t>
        </is>
      </c>
      <c r="H132" s="17" t="inlineStr">
        <is>
          <t>0.00%</t>
        </is>
      </c>
      <c r="I132" s="16" t="inlineStr">
        <is>
          <t>4,689,620</t>
        </is>
      </c>
      <c r="J132" s="16" t="n">
        <v>1</v>
      </c>
      <c r="K132" s="16" t="n">
        <v>0</v>
      </c>
      <c r="L132" s="16" t="inlineStr">
        <is>
          <t>21.10.2024 10:06:47</t>
        </is>
      </c>
      <c r="M132" s="18" t="inlineStr">
        <is>
          <t>0 sec</t>
        </is>
      </c>
      <c r="N132" s="16" t="inlineStr">
        <is>
          <t xml:space="preserve">         37K            37K             5K</t>
        </is>
      </c>
      <c r="O132" s="16" t="inlineStr">
        <is>
          <t>HgjX7ZvBUgekABZwapxKqVu4pQ7omi4ZXhPksKUVpump</t>
        </is>
      </c>
      <c r="P132" s="16">
        <f>HYPERLINK("https://dexscreener.com/solana/HgjX7ZvBUgekABZwapxKqVu4pQ7omi4ZXhPksKUVpump", "View")</f>
        <v/>
      </c>
    </row>
    <row r="133">
      <c r="A133" s="19" t="inlineStr">
        <is>
          <t>HOMDANG</t>
        </is>
      </c>
      <c r="B133" s="20" t="n">
        <v>1384895</v>
      </c>
      <c r="C133" s="20" t="n">
        <v>0</v>
      </c>
      <c r="D133" s="20" t="inlineStr">
        <is>
          <t>0.006000</t>
        </is>
      </c>
      <c r="E133" s="20" t="inlineStr">
        <is>
          <t>0.980 SOL</t>
        </is>
      </c>
      <c r="F133" s="20" t="inlineStr">
        <is>
          <t>0.000 SOL</t>
        </is>
      </c>
      <c r="G133" s="17" t="inlineStr">
        <is>
          <t>-0.986 SOL</t>
        </is>
      </c>
      <c r="H133" s="17" t="inlineStr">
        <is>
          <t>0.00%</t>
        </is>
      </c>
      <c r="I133" s="20" t="inlineStr">
        <is>
          <t>1,384,895</t>
        </is>
      </c>
      <c r="J133" s="20" t="n">
        <v>1</v>
      </c>
      <c r="K133" s="20" t="n">
        <v>0</v>
      </c>
      <c r="L133" s="20" t="inlineStr">
        <is>
          <t>21.10.2024 07:39:24</t>
        </is>
      </c>
      <c r="M133" s="18" t="inlineStr">
        <is>
          <t>0 sec</t>
        </is>
      </c>
      <c r="N133" s="20" t="inlineStr">
        <is>
          <t xml:space="preserve">        125K           125K            12K</t>
        </is>
      </c>
      <c r="O133" s="20" t="inlineStr">
        <is>
          <t>BZF6Hd5Y4qBq96kyjNCDEoBbWZfc7vny9RjiMLNkpump</t>
        </is>
      </c>
      <c r="P133" s="20">
        <f>HYPERLINK("https://dexscreener.com/solana/BZF6Hd5Y4qBq96kyjNCDEoBbWZfc7vny9RjiMLNkpump", "View")</f>
        <v/>
      </c>
    </row>
    <row r="134">
      <c r="A134" s="15" t="inlineStr">
        <is>
          <t>LAMDUAN</t>
        </is>
      </c>
      <c r="B134" s="16" t="n">
        <v>267652</v>
      </c>
      <c r="C134" s="16" t="n">
        <v>0</v>
      </c>
      <c r="D134" s="16" t="inlineStr">
        <is>
          <t>0.006000</t>
        </is>
      </c>
      <c r="E134" s="16" t="inlineStr">
        <is>
          <t>0.980 SOL</t>
        </is>
      </c>
      <c r="F134" s="16" t="inlineStr">
        <is>
          <t>0.000 SOL</t>
        </is>
      </c>
      <c r="G134" s="17" t="inlineStr">
        <is>
          <t>-0.986 SOL</t>
        </is>
      </c>
      <c r="H134" s="17" t="inlineStr">
        <is>
          <t>0.00%</t>
        </is>
      </c>
      <c r="I134" s="16" t="inlineStr">
        <is>
          <t>267,652</t>
        </is>
      </c>
      <c r="J134" s="16" t="n">
        <v>1</v>
      </c>
      <c r="K134" s="16" t="n">
        <v>0</v>
      </c>
      <c r="L134" s="16" t="inlineStr">
        <is>
          <t>21.10.2024 06:48:42</t>
        </is>
      </c>
      <c r="M134" s="18" t="inlineStr">
        <is>
          <t>0 sec</t>
        </is>
      </c>
      <c r="N134" s="16" t="inlineStr">
        <is>
          <t xml:space="preserve">        643K           643K           195K</t>
        </is>
      </c>
      <c r="O134" s="16" t="inlineStr">
        <is>
          <t>6WSppYPevaDEZxdmW2WoHLoSnJMeVyqz8Rqkm8MCpump</t>
        </is>
      </c>
      <c r="P134" s="16">
        <f>HYPERLINK("https://dexscreener.com/solana/6WSppYPevaDEZxdmW2WoHLoSnJMeVyqz8Rqkm8MCpump", "View")</f>
        <v/>
      </c>
    </row>
    <row r="135">
      <c r="A135" s="19" t="inlineStr">
        <is>
          <t>ton</t>
        </is>
      </c>
      <c r="B135" s="20" t="n">
        <v>157771</v>
      </c>
      <c r="C135" s="20" t="n">
        <v>0</v>
      </c>
      <c r="D135" s="20" t="inlineStr">
        <is>
          <t>0.006000</t>
        </is>
      </c>
      <c r="E135" s="20" t="inlineStr">
        <is>
          <t>0.980 SOL</t>
        </is>
      </c>
      <c r="F135" s="20" t="inlineStr">
        <is>
          <t>0.000 SOL</t>
        </is>
      </c>
      <c r="G135" s="17" t="inlineStr">
        <is>
          <t>-0.986 SOL</t>
        </is>
      </c>
      <c r="H135" s="17" t="inlineStr">
        <is>
          <t>0.00%</t>
        </is>
      </c>
      <c r="I135" s="20" t="inlineStr">
        <is>
          <t>157,771</t>
        </is>
      </c>
      <c r="J135" s="20" t="n">
        <v>1</v>
      </c>
      <c r="K135" s="20" t="n">
        <v>0</v>
      </c>
      <c r="L135" s="20" t="inlineStr">
        <is>
          <t>21.10.2024 06:36:42</t>
        </is>
      </c>
      <c r="M135" s="18" t="inlineStr">
        <is>
          <t>0 sec</t>
        </is>
      </c>
      <c r="N135" s="20" t="inlineStr">
        <is>
          <t xml:space="preserve">          1M             1M            26K</t>
        </is>
      </c>
      <c r="O135" s="20" t="inlineStr">
        <is>
          <t>DQ9ecb5Pxgz9YTUBaB4PyhRkmM2jSK4P4j6kTZUFpump</t>
        </is>
      </c>
      <c r="P135" s="20">
        <f>HYPERLINK("https://dexscreener.com/solana/DQ9ecb5Pxgz9YTUBaB4PyhRkmM2jSK4P4j6kTZUFpump", "View")</f>
        <v/>
      </c>
    </row>
    <row r="136">
      <c r="A136" s="15" t="inlineStr">
        <is>
          <t>PAWG</t>
        </is>
      </c>
      <c r="B136" s="16" t="n">
        <v>1437153</v>
      </c>
      <c r="C136" s="16" t="n">
        <v>0</v>
      </c>
      <c r="D136" s="16" t="inlineStr">
        <is>
          <t>0.006000</t>
        </is>
      </c>
      <c r="E136" s="16" t="inlineStr">
        <is>
          <t>0.980 SOL</t>
        </is>
      </c>
      <c r="F136" s="16" t="inlineStr">
        <is>
          <t>0.000 SOL</t>
        </is>
      </c>
      <c r="G136" s="17" t="inlineStr">
        <is>
          <t>-0.986 SOL</t>
        </is>
      </c>
      <c r="H136" s="17" t="inlineStr">
        <is>
          <t>0.00%</t>
        </is>
      </c>
      <c r="I136" s="16" t="inlineStr">
        <is>
          <t>1,437,153</t>
        </is>
      </c>
      <c r="J136" s="16" t="n">
        <v>1</v>
      </c>
      <c r="K136" s="16" t="n">
        <v>0</v>
      </c>
      <c r="L136" s="16" t="inlineStr">
        <is>
          <t>21.10.2024 04:36:27</t>
        </is>
      </c>
      <c r="M136" s="18" t="inlineStr">
        <is>
          <t>0 sec</t>
        </is>
      </c>
      <c r="N136" s="16" t="inlineStr">
        <is>
          <t xml:space="preserve">        119K           119K             7K</t>
        </is>
      </c>
      <c r="O136" s="16" t="inlineStr">
        <is>
          <t>6FGVQezFyqD7iY1pEXAW2EUoRUk6JL3K6H5aLy76pump</t>
        </is>
      </c>
      <c r="P136" s="16">
        <f>HYPERLINK("https://dexscreener.com/solana/6FGVQezFyqD7iY1pEXAW2EUoRUk6JL3K6H5aLy76pump", "View")</f>
        <v/>
      </c>
    </row>
    <row r="137">
      <c r="A137" s="19" t="inlineStr">
        <is>
          <t>16</t>
        </is>
      </c>
      <c r="B137" s="20" t="n">
        <v>3023886</v>
      </c>
      <c r="C137" s="20" t="n">
        <v>0</v>
      </c>
      <c r="D137" s="20" t="inlineStr">
        <is>
          <t>0.006000</t>
        </is>
      </c>
      <c r="E137" s="20" t="inlineStr">
        <is>
          <t>0.980 SOL</t>
        </is>
      </c>
      <c r="F137" s="20" t="inlineStr">
        <is>
          <t>0.000 SOL</t>
        </is>
      </c>
      <c r="G137" s="17" t="inlineStr">
        <is>
          <t>-0.986 SOL</t>
        </is>
      </c>
      <c r="H137" s="17" t="inlineStr">
        <is>
          <t>0.00%</t>
        </is>
      </c>
      <c r="I137" s="20" t="inlineStr">
        <is>
          <t>3,023,886</t>
        </is>
      </c>
      <c r="J137" s="20" t="n">
        <v>1</v>
      </c>
      <c r="K137" s="20" t="n">
        <v>0</v>
      </c>
      <c r="L137" s="20" t="inlineStr">
        <is>
          <t>21.10.2024 03:42:30</t>
        </is>
      </c>
      <c r="M137" s="18" t="inlineStr">
        <is>
          <t>0 sec</t>
        </is>
      </c>
      <c r="N137" s="20" t="inlineStr">
        <is>
          <t xml:space="preserve">         56K            56K             6K</t>
        </is>
      </c>
      <c r="O137" s="20" t="inlineStr">
        <is>
          <t>BwwEPhfEtzYJf8CEmWjKADDMxqJzD29b2NzS4go1pump</t>
        </is>
      </c>
      <c r="P137" s="20">
        <f>HYPERLINK("https://dexscreener.com/solana/BwwEPhfEtzYJf8CEmWjKADDMxqJzD29b2NzS4go1pump", "View")</f>
        <v/>
      </c>
    </row>
    <row r="138">
      <c r="A138" s="15" t="inlineStr">
        <is>
          <t>fabian</t>
        </is>
      </c>
      <c r="B138" s="16" t="n">
        <v>954560</v>
      </c>
      <c r="C138" s="16" t="n">
        <v>0</v>
      </c>
      <c r="D138" s="16" t="inlineStr">
        <is>
          <t>0.006000</t>
        </is>
      </c>
      <c r="E138" s="16" t="inlineStr">
        <is>
          <t>0.980 SOL</t>
        </is>
      </c>
      <c r="F138" s="16" t="inlineStr">
        <is>
          <t>0.000 SOL</t>
        </is>
      </c>
      <c r="G138" s="17" t="inlineStr">
        <is>
          <t>-0.986 SOL</t>
        </is>
      </c>
      <c r="H138" s="17" t="inlineStr">
        <is>
          <t>0.00%</t>
        </is>
      </c>
      <c r="I138" s="16" t="inlineStr">
        <is>
          <t>954,560</t>
        </is>
      </c>
      <c r="J138" s="16" t="n">
        <v>1</v>
      </c>
      <c r="K138" s="16" t="n">
        <v>0</v>
      </c>
      <c r="L138" s="16" t="inlineStr">
        <is>
          <t>21.10.2024 02:48:44</t>
        </is>
      </c>
      <c r="M138" s="18" t="inlineStr">
        <is>
          <t>0 sec</t>
        </is>
      </c>
      <c r="N138" s="16" t="inlineStr">
        <is>
          <t xml:space="preserve">        181K           181K             6K</t>
        </is>
      </c>
      <c r="O138" s="16" t="inlineStr">
        <is>
          <t>Hej96eAZNrdTPvZQe9b91311BJMWMqJRHztmYCjay8qb</t>
        </is>
      </c>
      <c r="P138" s="16">
        <f>HYPERLINK("https://dexscreener.com/solana/Hej96eAZNrdTPvZQe9b91311BJMWMqJRHztmYCjay8qb", "View")</f>
        <v/>
      </c>
    </row>
    <row r="139">
      <c r="A139" s="19" t="inlineStr">
        <is>
          <t>SALT</t>
        </is>
      </c>
      <c r="B139" s="20" t="n">
        <v>814763</v>
      </c>
      <c r="C139" s="20" t="n">
        <v>0</v>
      </c>
      <c r="D139" s="20" t="inlineStr">
        <is>
          <t>0.006000</t>
        </is>
      </c>
      <c r="E139" s="20" t="inlineStr">
        <is>
          <t>0.980 SOL</t>
        </is>
      </c>
      <c r="F139" s="20" t="inlineStr">
        <is>
          <t>0.000 SOL</t>
        </is>
      </c>
      <c r="G139" s="17" t="inlineStr">
        <is>
          <t>-0.986 SOL</t>
        </is>
      </c>
      <c r="H139" s="17" t="inlineStr">
        <is>
          <t>0.00%</t>
        </is>
      </c>
      <c r="I139" s="20" t="inlineStr">
        <is>
          <t>814,763</t>
        </is>
      </c>
      <c r="J139" s="20" t="n">
        <v>1</v>
      </c>
      <c r="K139" s="20" t="n">
        <v>0</v>
      </c>
      <c r="L139" s="20" t="inlineStr">
        <is>
          <t>21.10.2024 02:37:01</t>
        </is>
      </c>
      <c r="M139" s="18" t="inlineStr">
        <is>
          <t>0 sec</t>
        </is>
      </c>
      <c r="N139" s="20" t="inlineStr">
        <is>
          <t xml:space="preserve">        211K           211K             8K</t>
        </is>
      </c>
      <c r="O139" s="20" t="inlineStr">
        <is>
          <t>EDNB87kSED7ER2Qe39xSsXDyjSK6LqBSyv6v8ocepump</t>
        </is>
      </c>
      <c r="P139" s="20">
        <f>HYPERLINK("https://dexscreener.com/solana/EDNB87kSED7ER2Qe39xSsXDyjSK6LqBSyv6v8ocepump", "View")</f>
        <v/>
      </c>
    </row>
    <row r="140">
      <c r="A140" s="15" t="inlineStr">
        <is>
          <t>Glifbots</t>
        </is>
      </c>
      <c r="B140" s="16" t="n">
        <v>3078622</v>
      </c>
      <c r="C140" s="16" t="n">
        <v>0</v>
      </c>
      <c r="D140" s="16" t="inlineStr">
        <is>
          <t>0.006000</t>
        </is>
      </c>
      <c r="E140" s="16" t="inlineStr">
        <is>
          <t>0.980 SOL</t>
        </is>
      </c>
      <c r="F140" s="16" t="inlineStr">
        <is>
          <t>0.000 SOL</t>
        </is>
      </c>
      <c r="G140" s="17" t="inlineStr">
        <is>
          <t>-0.986 SOL</t>
        </is>
      </c>
      <c r="H140" s="17" t="inlineStr">
        <is>
          <t>0.00%</t>
        </is>
      </c>
      <c r="I140" s="16" t="inlineStr">
        <is>
          <t>3,078,622</t>
        </is>
      </c>
      <c r="J140" s="16" t="n">
        <v>1</v>
      </c>
      <c r="K140" s="16" t="n">
        <v>0</v>
      </c>
      <c r="L140" s="16" t="inlineStr">
        <is>
          <t>21.10.2024 01:27:31</t>
        </is>
      </c>
      <c r="M140" s="18" t="inlineStr">
        <is>
          <t>0 sec</t>
        </is>
      </c>
      <c r="N140" s="16" t="inlineStr">
        <is>
          <t xml:space="preserve">         56K            56K             6K</t>
        </is>
      </c>
      <c r="O140" s="16" t="inlineStr">
        <is>
          <t>HC5UNDdVBKAxau2sPCzrHwum6UNrDH5bdiKR3Snapump</t>
        </is>
      </c>
      <c r="P140" s="16">
        <f>HYPERLINK("https://dexscreener.com/solana/HC5UNDdVBKAxau2sPCzrHwum6UNrDH5bdiKR3Snapump", "View")</f>
        <v/>
      </c>
    </row>
    <row r="141">
      <c r="A141" s="19" t="inlineStr">
        <is>
          <t>god</t>
        </is>
      </c>
      <c r="B141" s="20" t="n">
        <v>2139312</v>
      </c>
      <c r="C141" s="20" t="n">
        <v>705973</v>
      </c>
      <c r="D141" s="20" t="inlineStr">
        <is>
          <t>0.005110</t>
        </is>
      </c>
      <c r="E141" s="20" t="inlineStr">
        <is>
          <t>2.974 SOL</t>
        </is>
      </c>
      <c r="F141" s="20" t="inlineStr">
        <is>
          <t>3.136 SOL</t>
        </is>
      </c>
      <c r="G141" s="22" t="inlineStr">
        <is>
          <t>0.156 SOL</t>
        </is>
      </c>
      <c r="H141" s="22" t="inlineStr">
        <is>
          <t>5.24%</t>
        </is>
      </c>
      <c r="I141" s="20" t="inlineStr">
        <is>
          <t>N/A</t>
        </is>
      </c>
      <c r="J141" s="20" t="n">
        <v>1</v>
      </c>
      <c r="K141" s="20" t="n">
        <v>1</v>
      </c>
      <c r="L141" s="20" t="inlineStr">
        <is>
          <t>20.10.2024 22:50:06</t>
        </is>
      </c>
      <c r="M141" s="20" t="inlineStr">
        <is>
          <t>6 hours</t>
        </is>
      </c>
      <c r="N141" s="20" t="inlineStr">
        <is>
          <t xml:space="preserve">        244K           244K            30K</t>
        </is>
      </c>
      <c r="O141" s="20" t="inlineStr">
        <is>
          <t>jasQQD17WWgFhiCZVZDyik35XEd3SVqza5godvopump</t>
        </is>
      </c>
      <c r="P141" s="20">
        <f>HYPERLINK("https://dexscreener.com/solana/jasQQD17WWgFhiCZVZDyik35XEd3SVqza5godvopump", "View")</f>
        <v/>
      </c>
    </row>
    <row r="142">
      <c r="A142" s="15" t="inlineStr">
        <is>
          <t>PHIL</t>
        </is>
      </c>
      <c r="B142" s="16" t="n">
        <v>881</v>
      </c>
      <c r="C142" s="16" t="n">
        <v>0</v>
      </c>
      <c r="D142" s="16" t="inlineStr">
        <is>
          <t>0.006000</t>
        </is>
      </c>
      <c r="E142" s="16" t="inlineStr">
        <is>
          <t>0.980 SOL</t>
        </is>
      </c>
      <c r="F142" s="16" t="inlineStr">
        <is>
          <t>0.000 SOL</t>
        </is>
      </c>
      <c r="G142" s="17" t="inlineStr">
        <is>
          <t>-0.986 SOL</t>
        </is>
      </c>
      <c r="H142" s="17" t="inlineStr">
        <is>
          <t>0.00%</t>
        </is>
      </c>
      <c r="I142" s="16" t="inlineStr">
        <is>
          <t>881</t>
        </is>
      </c>
      <c r="J142" s="16" t="n">
        <v>1</v>
      </c>
      <c r="K142" s="16" t="n">
        <v>0</v>
      </c>
      <c r="L142" s="16" t="inlineStr">
        <is>
          <t>20.10.2024 22:33:43</t>
        </is>
      </c>
      <c r="M142" s="18" t="inlineStr">
        <is>
          <t>0 sec</t>
        </is>
      </c>
      <c r="N142" s="16" t="inlineStr">
        <is>
          <t xml:space="preserve">        144M           144M             43</t>
        </is>
      </c>
      <c r="O142" s="16" t="inlineStr">
        <is>
          <t>3EatUAd55TndNRiRPK7mLZJfSQCRzJg76wL9WHCsk4rh</t>
        </is>
      </c>
      <c r="P142" s="16">
        <f>HYPERLINK("https://dexscreener.com/solana/3EatUAd55TndNRiRPK7mLZJfSQCRzJg76wL9WHCsk4rh", "View")</f>
        <v/>
      </c>
    </row>
    <row r="143">
      <c r="A143" s="19" t="inlineStr">
        <is>
          <t>Komrade</t>
        </is>
      </c>
      <c r="B143" s="20" t="n">
        <v>1962519</v>
      </c>
      <c r="C143" s="20" t="n">
        <v>0</v>
      </c>
      <c r="D143" s="20" t="inlineStr">
        <is>
          <t>0.006000</t>
        </is>
      </c>
      <c r="E143" s="20" t="inlineStr">
        <is>
          <t>0.980 SOL</t>
        </is>
      </c>
      <c r="F143" s="20" t="inlineStr">
        <is>
          <t>0.000 SOL</t>
        </is>
      </c>
      <c r="G143" s="17" t="inlineStr">
        <is>
          <t>-0.986 SOL</t>
        </is>
      </c>
      <c r="H143" s="17" t="inlineStr">
        <is>
          <t>0.00%</t>
        </is>
      </c>
      <c r="I143" s="20" t="inlineStr">
        <is>
          <t>1,962,519</t>
        </is>
      </c>
      <c r="J143" s="20" t="n">
        <v>1</v>
      </c>
      <c r="K143" s="20" t="n">
        <v>0</v>
      </c>
      <c r="L143" s="20" t="inlineStr">
        <is>
          <t>20.10.2024 22:12:42</t>
        </is>
      </c>
      <c r="M143" s="18" t="inlineStr">
        <is>
          <t>0 sec</t>
        </is>
      </c>
      <c r="N143" s="20" t="inlineStr">
        <is>
          <t xml:space="preserve">         88K            88K             4K</t>
        </is>
      </c>
      <c r="O143" s="20" t="inlineStr">
        <is>
          <t>2vWVk6fSmM6V7BN4sjCPsrqsXwZHUccwTEgJasDFpump</t>
        </is>
      </c>
      <c r="P143" s="20">
        <f>HYPERLINK("https://dexscreener.com/solana/2vWVk6fSmM6V7BN4sjCPsrqsXwZHUccwTEgJasDFpump", "View")</f>
        <v/>
      </c>
    </row>
    <row r="144">
      <c r="A144" s="15" t="inlineStr">
        <is>
          <t>∅</t>
        </is>
      </c>
      <c r="B144" s="16" t="n">
        <v>597219</v>
      </c>
      <c r="C144" s="16" t="n">
        <v>0</v>
      </c>
      <c r="D144" s="16" t="inlineStr">
        <is>
          <t>0.006000</t>
        </is>
      </c>
      <c r="E144" s="16" t="inlineStr">
        <is>
          <t>0.980 SOL</t>
        </is>
      </c>
      <c r="F144" s="16" t="inlineStr">
        <is>
          <t>0.000 SOL</t>
        </is>
      </c>
      <c r="G144" s="17" t="inlineStr">
        <is>
          <t>-0.986 SOL</t>
        </is>
      </c>
      <c r="H144" s="17" t="inlineStr">
        <is>
          <t>0.00%</t>
        </is>
      </c>
      <c r="I144" s="16" t="inlineStr">
        <is>
          <t>597,219</t>
        </is>
      </c>
      <c r="J144" s="16" t="n">
        <v>1</v>
      </c>
      <c r="K144" s="16" t="n">
        <v>0</v>
      </c>
      <c r="L144" s="16" t="inlineStr">
        <is>
          <t>20.10.2024 22:06:56</t>
        </is>
      </c>
      <c r="M144" s="18" t="inlineStr">
        <is>
          <t>0 sec</t>
        </is>
      </c>
      <c r="N144" s="16" t="inlineStr">
        <is>
          <t xml:space="preserve">        288K           288K             9K</t>
        </is>
      </c>
      <c r="O144" s="16" t="inlineStr">
        <is>
          <t>ExocdWVMKbZBsMo21M6c6SCj7n4k4s7vmUVz3mGvpump</t>
        </is>
      </c>
      <c r="P144" s="16">
        <f>HYPERLINK("https://dexscreener.com/solana/ExocdWVMKbZBsMo21M6c6SCj7n4k4s7vmUVz3mGvpump", "View")</f>
        <v/>
      </c>
    </row>
    <row r="145">
      <c r="A145" s="19" t="inlineStr">
        <is>
          <t>fag</t>
        </is>
      </c>
      <c r="B145" s="20" t="n">
        <v>3055170</v>
      </c>
      <c r="C145" s="20" t="n">
        <v>0</v>
      </c>
      <c r="D145" s="20" t="inlineStr">
        <is>
          <t>0.006000</t>
        </is>
      </c>
      <c r="E145" s="20" t="inlineStr">
        <is>
          <t>0.980 SOL</t>
        </is>
      </c>
      <c r="F145" s="20" t="inlineStr">
        <is>
          <t>0.000 SOL</t>
        </is>
      </c>
      <c r="G145" s="17" t="inlineStr">
        <is>
          <t>-0.986 SOL</t>
        </is>
      </c>
      <c r="H145" s="17" t="inlineStr">
        <is>
          <t>0.00%</t>
        </is>
      </c>
      <c r="I145" s="20" t="inlineStr">
        <is>
          <t>3,055,170</t>
        </is>
      </c>
      <c r="J145" s="20" t="n">
        <v>1</v>
      </c>
      <c r="K145" s="20" t="n">
        <v>0</v>
      </c>
      <c r="L145" s="20" t="inlineStr">
        <is>
          <t>20.10.2024 22:06:30</t>
        </is>
      </c>
      <c r="M145" s="18" t="inlineStr">
        <is>
          <t>0 sec</t>
        </is>
      </c>
      <c r="N145" s="20" t="inlineStr">
        <is>
          <t xml:space="preserve">         56K            56K             5K</t>
        </is>
      </c>
      <c r="O145" s="20" t="inlineStr">
        <is>
          <t>Gnq3u69LJGrr4k1Dw7JZTFUt1cftHwVcrxmUsMEHpump</t>
        </is>
      </c>
      <c r="P145" s="20">
        <f>HYPERLINK("https://dexscreener.com/solana/Gnq3u69LJGrr4k1Dw7JZTFUt1cftHwVcrxmUsMEHpump", "View")</f>
        <v/>
      </c>
    </row>
    <row r="146">
      <c r="A146" s="15" t="inlineStr">
        <is>
          <t>GAMEFACE</t>
        </is>
      </c>
      <c r="B146" s="16" t="n">
        <v>888958</v>
      </c>
      <c r="C146" s="16" t="n">
        <v>0</v>
      </c>
      <c r="D146" s="16" t="inlineStr">
        <is>
          <t>0.006000</t>
        </is>
      </c>
      <c r="E146" s="16" t="inlineStr">
        <is>
          <t>0.980 SOL</t>
        </is>
      </c>
      <c r="F146" s="16" t="inlineStr">
        <is>
          <t>0.000 SOL</t>
        </is>
      </c>
      <c r="G146" s="17" t="inlineStr">
        <is>
          <t>-0.986 SOL</t>
        </is>
      </c>
      <c r="H146" s="17" t="inlineStr">
        <is>
          <t>0.00%</t>
        </is>
      </c>
      <c r="I146" s="16" t="inlineStr">
        <is>
          <t>888,958</t>
        </is>
      </c>
      <c r="J146" s="16" t="n">
        <v>1</v>
      </c>
      <c r="K146" s="16" t="n">
        <v>0</v>
      </c>
      <c r="L146" s="16" t="inlineStr">
        <is>
          <t>20.10.2024 22:00:45</t>
        </is>
      </c>
      <c r="M146" s="18" t="inlineStr">
        <is>
          <t>0 sec</t>
        </is>
      </c>
      <c r="N146" s="16" t="inlineStr">
        <is>
          <t xml:space="preserve">        193K           193K             6K</t>
        </is>
      </c>
      <c r="O146" s="16" t="inlineStr">
        <is>
          <t>F6W6jbpRb6zxZ9BmH96Gw1L5LrBf8z1AcJKF4dUJpump</t>
        </is>
      </c>
      <c r="P146" s="16">
        <f>HYPERLINK("https://dexscreener.com/solana/F6W6jbpRb6zxZ9BmH96Gw1L5LrBf8z1AcJKF4dUJpump", "View")</f>
        <v/>
      </c>
    </row>
    <row r="147">
      <c r="A147" s="19" t="inlineStr">
        <is>
          <t>YUUMI</t>
        </is>
      </c>
      <c r="B147" s="20" t="n">
        <v>3417236</v>
      </c>
      <c r="C147" s="20" t="n">
        <v>512585</v>
      </c>
      <c r="D147" s="20" t="inlineStr">
        <is>
          <t>0.011010</t>
        </is>
      </c>
      <c r="E147" s="20" t="inlineStr">
        <is>
          <t>0.980 SOL</t>
        </is>
      </c>
      <c r="F147" s="20" t="inlineStr">
        <is>
          <t>0.744 SOL</t>
        </is>
      </c>
      <c r="G147" s="21" t="inlineStr">
        <is>
          <t>-0.247 SOL</t>
        </is>
      </c>
      <c r="H147" s="21" t="inlineStr">
        <is>
          <t>-24.93%</t>
        </is>
      </c>
      <c r="I147" s="20" t="inlineStr">
        <is>
          <t>N/A</t>
        </is>
      </c>
      <c r="J147" s="20" t="n">
        <v>1</v>
      </c>
      <c r="K147" s="20" t="n">
        <v>1</v>
      </c>
      <c r="L147" s="20" t="inlineStr">
        <is>
          <t>20.10.2024 21:40:34</t>
        </is>
      </c>
      <c r="M147" s="20" t="inlineStr">
        <is>
          <t>3 hours</t>
        </is>
      </c>
      <c r="N147" s="20" t="inlineStr">
        <is>
          <t xml:space="preserve">         51K            51K            34K</t>
        </is>
      </c>
      <c r="O147" s="20" t="inlineStr">
        <is>
          <t>ChuPbVJ4nt1Fz48HTTasLZjzaXPqC8NwNU7L2y3hpump</t>
        </is>
      </c>
      <c r="P147" s="20">
        <f>HYPERLINK("https://dexscreener.com/solana/ChuPbVJ4nt1Fz48HTTasLZjzaXPqC8NwNU7L2y3hpump", "View")</f>
        <v/>
      </c>
    </row>
    <row r="148">
      <c r="A148" s="15" t="inlineStr">
        <is>
          <t>MAI</t>
        </is>
      </c>
      <c r="B148" s="16" t="n">
        <v>2347449</v>
      </c>
      <c r="C148" s="16" t="n">
        <v>0</v>
      </c>
      <c r="D148" s="16" t="inlineStr">
        <is>
          <t>0.006000</t>
        </is>
      </c>
      <c r="E148" s="16" t="inlineStr">
        <is>
          <t>0.980 SOL</t>
        </is>
      </c>
      <c r="F148" s="16" t="inlineStr">
        <is>
          <t>0.000 SOL</t>
        </is>
      </c>
      <c r="G148" s="17" t="inlineStr">
        <is>
          <t>-0.986 SOL</t>
        </is>
      </c>
      <c r="H148" s="17" t="inlineStr">
        <is>
          <t>0.00%</t>
        </is>
      </c>
      <c r="I148" s="16" t="inlineStr">
        <is>
          <t>2,347,449</t>
        </is>
      </c>
      <c r="J148" s="16" t="n">
        <v>1</v>
      </c>
      <c r="K148" s="16" t="n">
        <v>0</v>
      </c>
      <c r="L148" s="16" t="inlineStr">
        <is>
          <t>20.10.2024 21:25:05</t>
        </is>
      </c>
      <c r="M148" s="18" t="inlineStr">
        <is>
          <t>0 sec</t>
        </is>
      </c>
      <c r="N148" s="16" t="inlineStr">
        <is>
          <t xml:space="preserve">         74K            74K             5K</t>
        </is>
      </c>
      <c r="O148" s="16" t="inlineStr">
        <is>
          <t>3EkX4ERk9CRzG5pUTMxeQdtSnbbALTGWP6gnW7bzpump</t>
        </is>
      </c>
      <c r="P148" s="16">
        <f>HYPERLINK("https://dexscreener.com/solana/3EkX4ERk9CRzG5pUTMxeQdtSnbbALTGWP6gnW7bzpump", "View")</f>
        <v/>
      </c>
    </row>
    <row r="149">
      <c r="A149" s="19" t="inlineStr">
        <is>
          <t>Poya</t>
        </is>
      </c>
      <c r="B149" s="20" t="n">
        <v>1782</v>
      </c>
      <c r="C149" s="20" t="n">
        <v>0</v>
      </c>
      <c r="D149" s="20" t="inlineStr">
        <is>
          <t>0.006000</t>
        </is>
      </c>
      <c r="E149" s="20" t="inlineStr">
        <is>
          <t>0.980 SOL</t>
        </is>
      </c>
      <c r="F149" s="20" t="inlineStr">
        <is>
          <t>0.000 SOL</t>
        </is>
      </c>
      <c r="G149" s="17" t="inlineStr">
        <is>
          <t>-0.986 SOL</t>
        </is>
      </c>
      <c r="H149" s="17" t="inlineStr">
        <is>
          <t>0.00%</t>
        </is>
      </c>
      <c r="I149" s="20" t="inlineStr">
        <is>
          <t>1,782</t>
        </is>
      </c>
      <c r="J149" s="20" t="n">
        <v>1</v>
      </c>
      <c r="K149" s="20" t="n">
        <v>0</v>
      </c>
      <c r="L149" s="20" t="inlineStr">
        <is>
          <t>20.10.2024 21:24:30</t>
        </is>
      </c>
      <c r="M149" s="18" t="inlineStr">
        <is>
          <t>0 sec</t>
        </is>
      </c>
      <c r="N149" s="20" t="inlineStr">
        <is>
          <t xml:space="preserve">         85M            85M             38</t>
        </is>
      </c>
      <c r="O149" s="20" t="inlineStr">
        <is>
          <t>4WkPxCRdLoMerS59EspYvr6qx6GS7rRb9S6tN4Z4KqTD</t>
        </is>
      </c>
      <c r="P149" s="20">
        <f>HYPERLINK("https://dexscreener.com/solana/4WkPxCRdLoMerS59EspYvr6qx6GS7rRb9S6tN4Z4KqTD", "View")</f>
        <v/>
      </c>
    </row>
    <row r="150">
      <c r="A150" s="15" t="inlineStr">
        <is>
          <t>McTrump</t>
        </is>
      </c>
      <c r="B150" s="16" t="n">
        <v>1621261</v>
      </c>
      <c r="C150" s="16" t="n">
        <v>0</v>
      </c>
      <c r="D150" s="16" t="inlineStr">
        <is>
          <t>0.006000</t>
        </is>
      </c>
      <c r="E150" s="16" t="inlineStr">
        <is>
          <t>0.980 SOL</t>
        </is>
      </c>
      <c r="F150" s="16" t="inlineStr">
        <is>
          <t>0.000 SOL</t>
        </is>
      </c>
      <c r="G150" s="17" t="inlineStr">
        <is>
          <t>-0.986 SOL</t>
        </is>
      </c>
      <c r="H150" s="17" t="inlineStr">
        <is>
          <t>0.00%</t>
        </is>
      </c>
      <c r="I150" s="16" t="inlineStr">
        <is>
          <t>1,621,261</t>
        </is>
      </c>
      <c r="J150" s="16" t="n">
        <v>1</v>
      </c>
      <c r="K150" s="16" t="n">
        <v>0</v>
      </c>
      <c r="L150" s="16" t="inlineStr">
        <is>
          <t>20.10.2024 21:03:40</t>
        </is>
      </c>
      <c r="M150" s="18" t="inlineStr">
        <is>
          <t>0 sec</t>
        </is>
      </c>
      <c r="N150" s="16" t="inlineStr">
        <is>
          <t xml:space="preserve">        105K           105K             6K</t>
        </is>
      </c>
      <c r="O150" s="16" t="inlineStr">
        <is>
          <t>5yVbknR3tQGfybcqD7zwuxdej1GTLWr53av4KNmXpump</t>
        </is>
      </c>
      <c r="P150" s="16">
        <f>HYPERLINK("https://dexscreener.com/solana/5yVbknR3tQGfybcqD7zwuxdej1GTLWr53av4KNmXpump", "View")</f>
        <v/>
      </c>
    </row>
    <row r="151">
      <c r="A151" s="19" t="inlineStr">
        <is>
          <t>DANI</t>
        </is>
      </c>
      <c r="B151" s="20" t="n">
        <v>4004</v>
      </c>
      <c r="C151" s="20" t="n">
        <v>0</v>
      </c>
      <c r="D151" s="20" t="inlineStr">
        <is>
          <t>0.006000</t>
        </is>
      </c>
      <c r="E151" s="20" t="inlineStr">
        <is>
          <t>0.980 SOL</t>
        </is>
      </c>
      <c r="F151" s="20" t="inlineStr">
        <is>
          <t>0.000 SOL</t>
        </is>
      </c>
      <c r="G151" s="17" t="inlineStr">
        <is>
          <t>-0.986 SOL</t>
        </is>
      </c>
      <c r="H151" s="17" t="inlineStr">
        <is>
          <t>0.00%</t>
        </is>
      </c>
      <c r="I151" s="20" t="inlineStr">
        <is>
          <t>4,004</t>
        </is>
      </c>
      <c r="J151" s="20" t="n">
        <v>1</v>
      </c>
      <c r="K151" s="20" t="n">
        <v>0</v>
      </c>
      <c r="L151" s="20" t="inlineStr">
        <is>
          <t>20.10.2024 20:48:27</t>
        </is>
      </c>
      <c r="M151" s="18" t="inlineStr">
        <is>
          <t>0 sec</t>
        </is>
      </c>
      <c r="N151" s="20" t="inlineStr">
        <is>
          <t xml:space="preserve">         36M            36M             37</t>
        </is>
      </c>
      <c r="O151" s="20" t="inlineStr">
        <is>
          <t>FKUdgJyCA3csnosM9gjrxzxvjNoTYbcaR6yWWsxZKD4U</t>
        </is>
      </c>
      <c r="P151" s="20">
        <f>HYPERLINK("https://dexscreener.com/solana/FKUdgJyCA3csnosM9gjrxzxvjNoTYbcaR6yWWsxZKD4U", "View")</f>
        <v/>
      </c>
    </row>
    <row r="152">
      <c r="A152" s="15" t="inlineStr">
        <is>
          <t>ROBODG</t>
        </is>
      </c>
      <c r="B152" s="16" t="n">
        <v>856639</v>
      </c>
      <c r="C152" s="16" t="n">
        <v>0</v>
      </c>
      <c r="D152" s="16" t="inlineStr">
        <is>
          <t>0.006000</t>
        </is>
      </c>
      <c r="E152" s="16" t="inlineStr">
        <is>
          <t>0.980 SOL</t>
        </is>
      </c>
      <c r="F152" s="16" t="inlineStr">
        <is>
          <t>0.000 SOL</t>
        </is>
      </c>
      <c r="G152" s="17" t="inlineStr">
        <is>
          <t>-0.986 SOL</t>
        </is>
      </c>
      <c r="H152" s="17" t="inlineStr">
        <is>
          <t>0.00%</t>
        </is>
      </c>
      <c r="I152" s="16" t="inlineStr">
        <is>
          <t>856,639</t>
        </is>
      </c>
      <c r="J152" s="16" t="n">
        <v>1</v>
      </c>
      <c r="K152" s="16" t="n">
        <v>0</v>
      </c>
      <c r="L152" s="16" t="inlineStr">
        <is>
          <t>20.10.2024 20:42:29</t>
        </is>
      </c>
      <c r="M152" s="18" t="inlineStr">
        <is>
          <t>0 sec</t>
        </is>
      </c>
      <c r="N152" s="16" t="inlineStr">
        <is>
          <t xml:space="preserve">        200K           200K            10K</t>
        </is>
      </c>
      <c r="O152" s="16" t="inlineStr">
        <is>
          <t>Er2mtAhfbZUWbLhxY3ShN5Prj2DrnGjy6d8FYoMXpump</t>
        </is>
      </c>
      <c r="P152" s="16">
        <f>HYPERLINK("https://dexscreener.com/solana/Er2mtAhfbZUWbLhxY3ShN5Prj2DrnGjy6d8FYoMXpump", "View")</f>
        <v/>
      </c>
    </row>
    <row r="153">
      <c r="A153" s="19" t="inlineStr">
        <is>
          <t>AWIF</t>
        </is>
      </c>
      <c r="B153" s="20" t="n">
        <v>897587</v>
      </c>
      <c r="C153" s="20" t="n">
        <v>0</v>
      </c>
      <c r="D153" s="20" t="inlineStr">
        <is>
          <t>0.006000</t>
        </is>
      </c>
      <c r="E153" s="20" t="inlineStr">
        <is>
          <t>0.980 SOL</t>
        </is>
      </c>
      <c r="F153" s="20" t="inlineStr">
        <is>
          <t>0.000 SOL</t>
        </is>
      </c>
      <c r="G153" s="17" t="inlineStr">
        <is>
          <t>-0.986 SOL</t>
        </is>
      </c>
      <c r="H153" s="17" t="inlineStr">
        <is>
          <t>0.00%</t>
        </is>
      </c>
      <c r="I153" s="20" t="inlineStr">
        <is>
          <t>897,587</t>
        </is>
      </c>
      <c r="J153" s="20" t="n">
        <v>1</v>
      </c>
      <c r="K153" s="20" t="n">
        <v>0</v>
      </c>
      <c r="L153" s="20" t="inlineStr">
        <is>
          <t>20.10.2024 19:57:24</t>
        </is>
      </c>
      <c r="M153" s="18" t="inlineStr">
        <is>
          <t>0 sec</t>
        </is>
      </c>
      <c r="N153" s="20" t="inlineStr">
        <is>
          <t xml:space="preserve">        191K           191K             5K</t>
        </is>
      </c>
      <c r="O153" s="20" t="inlineStr">
        <is>
          <t>J3BgRRy1DbGiZbeXMBjD6nATtk5zWfAgwVFxjmdvpump</t>
        </is>
      </c>
      <c r="P153" s="20">
        <f>HYPERLINK("https://dexscreener.com/solana/J3BgRRy1DbGiZbeXMBjD6nATtk5zWfAgwVFxjmdvpump", "View")</f>
        <v/>
      </c>
    </row>
    <row r="154">
      <c r="A154" s="15" t="inlineStr">
        <is>
          <t>MEME</t>
        </is>
      </c>
      <c r="B154" s="16" t="n">
        <v>858977</v>
      </c>
      <c r="C154" s="16" t="n">
        <v>473381</v>
      </c>
      <c r="D154" s="16" t="inlineStr">
        <is>
          <t>0.015020</t>
        </is>
      </c>
      <c r="E154" s="16" t="inlineStr">
        <is>
          <t>0.990 SOL</t>
        </is>
      </c>
      <c r="F154" s="16" t="inlineStr">
        <is>
          <t>4.627 SOL</t>
        </is>
      </c>
      <c r="G154" s="23" t="inlineStr">
        <is>
          <t>3.622 SOL</t>
        </is>
      </c>
      <c r="H154" s="23" t="inlineStr">
        <is>
          <t>360.40%</t>
        </is>
      </c>
      <c r="I154" s="16" t="inlineStr">
        <is>
          <t>N/A</t>
        </is>
      </c>
      <c r="J154" s="16" t="n">
        <v>1</v>
      </c>
      <c r="K154" s="16" t="n">
        <v>2</v>
      </c>
      <c r="L154" s="16" t="inlineStr">
        <is>
          <t>20.10.2024 18:10:34</t>
        </is>
      </c>
      <c r="M154" s="16" t="inlineStr">
        <is>
          <t>1 days</t>
        </is>
      </c>
      <c r="N154" s="16" t="inlineStr">
        <is>
          <t xml:space="preserve">        202K           796K            66K</t>
        </is>
      </c>
      <c r="O154" s="16" t="inlineStr">
        <is>
          <t>EWy1HPEUq4Lgm6H4pQ8augEuJ7WRwJgENZMTAUzrpump</t>
        </is>
      </c>
      <c r="P154" s="16">
        <f>HYPERLINK("https://dexscreener.com/solana/EWy1HPEUq4Lgm6H4pQ8augEuJ7WRwJgENZMTAUzrpump", "View")</f>
        <v/>
      </c>
    </row>
    <row r="155">
      <c r="A155" s="19" t="inlineStr">
        <is>
          <t>PNON</t>
        </is>
      </c>
      <c r="B155" s="20" t="n">
        <v>2454580</v>
      </c>
      <c r="C155" s="20" t="n">
        <v>0</v>
      </c>
      <c r="D155" s="20" t="inlineStr">
        <is>
          <t>0.006000</t>
        </is>
      </c>
      <c r="E155" s="20" t="inlineStr">
        <is>
          <t>0.980 SOL</t>
        </is>
      </c>
      <c r="F155" s="20" t="inlineStr">
        <is>
          <t>0.000 SOL</t>
        </is>
      </c>
      <c r="G155" s="17" t="inlineStr">
        <is>
          <t>-0.986 SOL</t>
        </is>
      </c>
      <c r="H155" s="17" t="inlineStr">
        <is>
          <t>0.00%</t>
        </is>
      </c>
      <c r="I155" s="20" t="inlineStr">
        <is>
          <t>2,454,580</t>
        </is>
      </c>
      <c r="J155" s="20" t="n">
        <v>1</v>
      </c>
      <c r="K155" s="20" t="n">
        <v>0</v>
      </c>
      <c r="L155" s="20" t="inlineStr">
        <is>
          <t>20.10.2024 17:45:35</t>
        </is>
      </c>
      <c r="M155" s="18" t="inlineStr">
        <is>
          <t>0 sec</t>
        </is>
      </c>
      <c r="N155" s="20" t="inlineStr">
        <is>
          <t xml:space="preserve">         70K            70K             7K</t>
        </is>
      </c>
      <c r="O155" s="20" t="inlineStr">
        <is>
          <t>6SNF42gEu3WkEVy7JgmMb1wTNxeGWY5UXfRjQKUzpump</t>
        </is>
      </c>
      <c r="P155" s="20">
        <f>HYPERLINK("https://dexscreener.com/solana/6SNF42gEu3WkEVy7JgmMb1wTNxeGWY5UXfRjQKUzpump", "View")</f>
        <v/>
      </c>
    </row>
    <row r="156">
      <c r="A156" s="15" t="inlineStr">
        <is>
          <t>$OLAF</t>
        </is>
      </c>
      <c r="B156" s="16" t="n">
        <v>1484</v>
      </c>
      <c r="C156" s="16" t="n">
        <v>0</v>
      </c>
      <c r="D156" s="16" t="inlineStr">
        <is>
          <t>0.006000</t>
        </is>
      </c>
      <c r="E156" s="16" t="inlineStr">
        <is>
          <t>0.980 SOL</t>
        </is>
      </c>
      <c r="F156" s="16" t="inlineStr">
        <is>
          <t>0.000 SOL</t>
        </is>
      </c>
      <c r="G156" s="17" t="inlineStr">
        <is>
          <t>-0.986 SOL</t>
        </is>
      </c>
      <c r="H156" s="17" t="inlineStr">
        <is>
          <t>0.00%</t>
        </is>
      </c>
      <c r="I156" s="16" t="inlineStr">
        <is>
          <t>1,484</t>
        </is>
      </c>
      <c r="J156" s="16" t="n">
        <v>1</v>
      </c>
      <c r="K156" s="16" t="n">
        <v>0</v>
      </c>
      <c r="L156" s="16" t="inlineStr">
        <is>
          <t>20.10.2024 16:24:39</t>
        </is>
      </c>
      <c r="M156" s="18" t="inlineStr">
        <is>
          <t>0 sec</t>
        </is>
      </c>
      <c r="N156" s="16" t="inlineStr">
        <is>
          <t xml:space="preserve">        115M           115M             35</t>
        </is>
      </c>
      <c r="O156" s="16" t="inlineStr">
        <is>
          <t>FKd2HeKxddXLxYD3Ts5MUaKqVsuUbnhA4AergM8gsaU</t>
        </is>
      </c>
      <c r="P156" s="16">
        <f>HYPERLINK("https://dexscreener.com/solana/FKd2HeKxddXLxYD3Ts5MUaKqVsuUbnhA4AergM8gsaU", "View")</f>
        <v/>
      </c>
    </row>
    <row r="157">
      <c r="A157" s="19" t="inlineStr">
        <is>
          <t>BACKROOM</t>
        </is>
      </c>
      <c r="B157" s="20" t="n">
        <v>563489</v>
      </c>
      <c r="C157" s="20" t="n">
        <v>0</v>
      </c>
      <c r="D157" s="20" t="inlineStr">
        <is>
          <t>0.006000</t>
        </is>
      </c>
      <c r="E157" s="20" t="inlineStr">
        <is>
          <t>0.980 SOL</t>
        </is>
      </c>
      <c r="F157" s="20" t="inlineStr">
        <is>
          <t>0.000 SOL</t>
        </is>
      </c>
      <c r="G157" s="17" t="inlineStr">
        <is>
          <t>-0.986 SOL</t>
        </is>
      </c>
      <c r="H157" s="17" t="inlineStr">
        <is>
          <t>0.00%</t>
        </is>
      </c>
      <c r="I157" s="20" t="inlineStr">
        <is>
          <t>563,489</t>
        </is>
      </c>
      <c r="J157" s="20" t="n">
        <v>1</v>
      </c>
      <c r="K157" s="20" t="n">
        <v>0</v>
      </c>
      <c r="L157" s="20" t="inlineStr">
        <is>
          <t>20.10.2024 16:06:29</t>
        </is>
      </c>
      <c r="M157" s="18" t="inlineStr">
        <is>
          <t>0 sec</t>
        </is>
      </c>
      <c r="N157" s="20" t="inlineStr">
        <is>
          <t xml:space="preserve">        305K           305K             4K</t>
        </is>
      </c>
      <c r="O157" s="20" t="inlineStr">
        <is>
          <t>EA6ktYMspQpDSB7VwGmi3YSiE5JDFyTsWioLfMw7pump</t>
        </is>
      </c>
      <c r="P157" s="20">
        <f>HYPERLINK("https://dexscreener.com/solana/EA6ktYMspQpDSB7VwGmi3YSiE5JDFyTsWioLfMw7pump", "View")</f>
        <v/>
      </c>
    </row>
    <row r="158">
      <c r="A158" s="15" t="inlineStr">
        <is>
          <t>Lump</t>
        </is>
      </c>
      <c r="B158" s="16" t="n">
        <v>2781290</v>
      </c>
      <c r="C158" s="16" t="n">
        <v>2718391</v>
      </c>
      <c r="D158" s="16" t="inlineStr">
        <is>
          <t>0.009150</t>
        </is>
      </c>
      <c r="E158" s="16" t="inlineStr">
        <is>
          <t>1.000 SOL</t>
        </is>
      </c>
      <c r="F158" s="16" t="inlineStr">
        <is>
          <t>9.127 SOL</t>
        </is>
      </c>
      <c r="G158" s="23" t="inlineStr">
        <is>
          <t>8.118 SOL</t>
        </is>
      </c>
      <c r="H158" s="23" t="inlineStr">
        <is>
          <t>804.40%</t>
        </is>
      </c>
      <c r="I158" s="16" t="inlineStr">
        <is>
          <t>N/A</t>
        </is>
      </c>
      <c r="J158" s="16" t="n">
        <v>1</v>
      </c>
      <c r="K158" s="16" t="n">
        <v>8</v>
      </c>
      <c r="L158" s="16" t="inlineStr">
        <is>
          <t>20.10.2024 06:55:25</t>
        </is>
      </c>
      <c r="M158" s="16" t="inlineStr">
        <is>
          <t>5 days</t>
        </is>
      </c>
      <c r="N158" s="16" t="inlineStr">
        <is>
          <t xml:space="preserve">         63K           383K            55K</t>
        </is>
      </c>
      <c r="O158" s="16" t="inlineStr">
        <is>
          <t>CSEkG3mT5P1GUf4HZTHdVk1syKFN6gQWokbZ4jDWpump</t>
        </is>
      </c>
      <c r="P158" s="16">
        <f>HYPERLINK("https://dexscreener.com/solana/CSEkG3mT5P1GUf4HZTHdVk1syKFN6gQWokbZ4jDWpump", "View")</f>
        <v/>
      </c>
    </row>
    <row r="159">
      <c r="A159" s="19" t="inlineStr">
        <is>
          <t>CCRU</t>
        </is>
      </c>
      <c r="B159" s="20" t="n">
        <v>1477349</v>
      </c>
      <c r="C159" s="20" t="n">
        <v>1409531</v>
      </c>
      <c r="D159" s="20" t="inlineStr">
        <is>
          <t>0.021630</t>
        </is>
      </c>
      <c r="E159" s="20" t="inlineStr">
        <is>
          <t>1.000 SOL</t>
        </is>
      </c>
      <c r="F159" s="20" t="inlineStr">
        <is>
          <t>7.053 SOL</t>
        </is>
      </c>
      <c r="G159" s="23" t="inlineStr">
        <is>
          <t>6.032 SOL</t>
        </is>
      </c>
      <c r="H159" s="23" t="inlineStr">
        <is>
          <t>590.40%</t>
        </is>
      </c>
      <c r="I159" s="20" t="inlineStr">
        <is>
          <t>N/A</t>
        </is>
      </c>
      <c r="J159" s="20" t="n">
        <v>1</v>
      </c>
      <c r="K159" s="20" t="n">
        <v>6</v>
      </c>
      <c r="L159" s="20" t="inlineStr">
        <is>
          <t>20.10.2024 05:05:30</t>
        </is>
      </c>
      <c r="M159" s="20" t="inlineStr">
        <is>
          <t>14 hours</t>
        </is>
      </c>
      <c r="N159" s="20" t="inlineStr">
        <is>
          <t xml:space="preserve">        119K           119K           141K</t>
        </is>
      </c>
      <c r="O159" s="20" t="inlineStr">
        <is>
          <t>BVoFXcjNSQ8fHGNc2aeS52rLXwag52PHK2aQJsrkpump</t>
        </is>
      </c>
      <c r="P159" s="20">
        <f>HYPERLINK("https://dexscreener.com/solana/BVoFXcjNSQ8fHGNc2aeS52rLXwag52PHK2aQJsrkpump", "View")</f>
        <v/>
      </c>
    </row>
    <row r="160">
      <c r="A160" s="15" t="inlineStr">
        <is>
          <t>$1</t>
        </is>
      </c>
      <c r="B160" s="16" t="n">
        <v>1347802</v>
      </c>
      <c r="C160" s="16" t="n">
        <v>1076204</v>
      </c>
      <c r="D160" s="16" t="inlineStr">
        <is>
          <t>0.011620</t>
        </is>
      </c>
      <c r="E160" s="16" t="inlineStr">
        <is>
          <t>1.000 SOL</t>
        </is>
      </c>
      <c r="F160" s="16" t="inlineStr">
        <is>
          <t>4.352 SOL</t>
        </is>
      </c>
      <c r="G160" s="23" t="inlineStr">
        <is>
          <t>3.340 SOL</t>
        </is>
      </c>
      <c r="H160" s="23" t="inlineStr">
        <is>
          <t>330.17%</t>
        </is>
      </c>
      <c r="I160" s="16" t="inlineStr">
        <is>
          <t>N/A</t>
        </is>
      </c>
      <c r="J160" s="16" t="n">
        <v>1</v>
      </c>
      <c r="K160" s="16" t="n">
        <v>4</v>
      </c>
      <c r="L160" s="16" t="inlineStr">
        <is>
          <t>20.10.2024 04:25:25</t>
        </is>
      </c>
      <c r="M160" s="16" t="inlineStr">
        <is>
          <t>3 days</t>
        </is>
      </c>
      <c r="N160" s="16" t="inlineStr">
        <is>
          <t xml:space="preserve">        130K           130K           116K</t>
        </is>
      </c>
      <c r="O160" s="16" t="inlineStr">
        <is>
          <t>4UTEFQjNMvfQF5NT8mVfXdMAKoL7hS7i9U4mMVAzpump</t>
        </is>
      </c>
      <c r="P160" s="16">
        <f>HYPERLINK("https://dexscreener.com/solana/4UTEFQjNMvfQF5NT8mVfXdMAKoL7hS7i9U4mMVAzpump", "View")</f>
        <v/>
      </c>
    </row>
    <row r="161">
      <c r="A161" s="19" t="inlineStr">
        <is>
          <t>AURORA</t>
        </is>
      </c>
      <c r="B161" s="20" t="n">
        <v>1815572</v>
      </c>
      <c r="C161" s="20" t="n">
        <v>1207354</v>
      </c>
      <c r="D161" s="20" t="inlineStr">
        <is>
          <t>0.006110</t>
        </is>
      </c>
      <c r="E161" s="20" t="inlineStr">
        <is>
          <t>1.000 SOL</t>
        </is>
      </c>
      <c r="F161" s="20" t="inlineStr">
        <is>
          <t>1.157 SOL</t>
        </is>
      </c>
      <c r="G161" s="22" t="inlineStr">
        <is>
          <t>0.151 SOL</t>
        </is>
      </c>
      <c r="H161" s="22" t="inlineStr">
        <is>
          <t>14.98%</t>
        </is>
      </c>
      <c r="I161" s="20" t="inlineStr">
        <is>
          <t>N/A</t>
        </is>
      </c>
      <c r="J161" s="20" t="n">
        <v>1</v>
      </c>
      <c r="K161" s="20" t="n">
        <v>2</v>
      </c>
      <c r="L161" s="20" t="inlineStr">
        <is>
          <t>20.10.2024 00:30:23</t>
        </is>
      </c>
      <c r="M161" s="20" t="inlineStr">
        <is>
          <t>3 days</t>
        </is>
      </c>
      <c r="N161" s="20" t="inlineStr">
        <is>
          <t xml:space="preserve">         97K            97K            25K</t>
        </is>
      </c>
      <c r="O161" s="20" t="inlineStr">
        <is>
          <t>9tF4vuYRQY3d5GPnE9pjUevukgo6vHiepe3E1w8Jpump</t>
        </is>
      </c>
      <c r="P161" s="20">
        <f>HYPERLINK("https://dexscreener.com/solana/9tF4vuYRQY3d5GPnE9pjUevukgo6vHiepe3E1w8Jpump", "View")</f>
        <v/>
      </c>
    </row>
    <row r="162">
      <c r="A162" s="15" t="inlineStr">
        <is>
          <t>RETERDEO</t>
        </is>
      </c>
      <c r="B162" s="16" t="n">
        <v>1380629</v>
      </c>
      <c r="C162" s="16" t="n">
        <v>0</v>
      </c>
      <c r="D162" s="16" t="inlineStr">
        <is>
          <t>0.005000</t>
        </is>
      </c>
      <c r="E162" s="16" t="inlineStr">
        <is>
          <t>0.990 SOL</t>
        </is>
      </c>
      <c r="F162" s="16" t="inlineStr">
        <is>
          <t>0.000 SOL</t>
        </is>
      </c>
      <c r="G162" s="17" t="inlineStr">
        <is>
          <t>-0.995 SOL</t>
        </is>
      </c>
      <c r="H162" s="17" t="inlineStr">
        <is>
          <t>0.00%</t>
        </is>
      </c>
      <c r="I162" s="16" t="inlineStr">
        <is>
          <t>1,380,629</t>
        </is>
      </c>
      <c r="J162" s="16" t="n">
        <v>1</v>
      </c>
      <c r="K162" s="16" t="n">
        <v>0</v>
      </c>
      <c r="L162" s="16" t="inlineStr">
        <is>
          <t>20.10.2024 00:03:33</t>
        </is>
      </c>
      <c r="M162" s="18" t="inlineStr">
        <is>
          <t>0 sec</t>
        </is>
      </c>
      <c r="N162" s="16" t="inlineStr">
        <is>
          <t xml:space="preserve">        126K           126K             2K</t>
        </is>
      </c>
      <c r="O162" s="16" t="inlineStr">
        <is>
          <t>GV4BF4nthLPKeNQpinYMwNUwJX7inKbN9MW6rN1e1TX7</t>
        </is>
      </c>
      <c r="P162" s="16">
        <f>HYPERLINK("https://dexscreener.com/solana/GV4BF4nthLPKeNQpinYMwNUwJX7inKbN9MW6rN1e1TX7", "View")</f>
        <v/>
      </c>
    </row>
    <row r="163">
      <c r="A163" s="19" t="inlineStr">
        <is>
          <t>369</t>
        </is>
      </c>
      <c r="B163" s="20" t="n">
        <v>990817</v>
      </c>
      <c r="C163" s="20" t="n">
        <v>0</v>
      </c>
      <c r="D163" s="20" t="inlineStr">
        <is>
          <t>0.005000</t>
        </is>
      </c>
      <c r="E163" s="20" t="inlineStr">
        <is>
          <t>0.990 SOL</t>
        </is>
      </c>
      <c r="F163" s="20" t="inlineStr">
        <is>
          <t>0.000 SOL</t>
        </is>
      </c>
      <c r="G163" s="17" t="inlineStr">
        <is>
          <t>-0.995 SOL</t>
        </is>
      </c>
      <c r="H163" s="17" t="inlineStr">
        <is>
          <t>0.00%</t>
        </is>
      </c>
      <c r="I163" s="20" t="inlineStr">
        <is>
          <t>990,817</t>
        </is>
      </c>
      <c r="J163" s="20" t="n">
        <v>1</v>
      </c>
      <c r="K163" s="20" t="n">
        <v>0</v>
      </c>
      <c r="L163" s="20" t="inlineStr">
        <is>
          <t>19.10.2024 22:45:46</t>
        </is>
      </c>
      <c r="M163" s="18" t="inlineStr">
        <is>
          <t>0 sec</t>
        </is>
      </c>
      <c r="N163" s="20" t="inlineStr">
        <is>
          <t xml:space="preserve">        176K           176K             5K</t>
        </is>
      </c>
      <c r="O163" s="20" t="inlineStr">
        <is>
          <t>H3MdcPyJf2D1MVEGzdxeNEb6PfKyXh1oiNnszeD4pump</t>
        </is>
      </c>
      <c r="P163" s="20">
        <f>HYPERLINK("https://dexscreener.com/solana/H3MdcPyJf2D1MVEGzdxeNEb6PfKyXh1oiNnszeD4pump", "View")</f>
        <v/>
      </c>
    </row>
    <row r="164">
      <c r="A164" s="15" t="inlineStr">
        <is>
          <t>GREEN</t>
        </is>
      </c>
      <c r="B164" s="16" t="n">
        <v>1227833</v>
      </c>
      <c r="C164" s="16" t="n">
        <v>1171470</v>
      </c>
      <c r="D164" s="16" t="inlineStr">
        <is>
          <t>0.012640</t>
        </is>
      </c>
      <c r="E164" s="16" t="inlineStr">
        <is>
          <t>1.000 SOL</t>
        </is>
      </c>
      <c r="F164" s="16" t="inlineStr">
        <is>
          <t>10.871 SOL</t>
        </is>
      </c>
      <c r="G164" s="23" t="inlineStr">
        <is>
          <t>9.859 SOL</t>
        </is>
      </c>
      <c r="H164" s="23" t="inlineStr">
        <is>
          <t>973.58%</t>
        </is>
      </c>
      <c r="I164" s="16" t="inlineStr">
        <is>
          <t>N/A</t>
        </is>
      </c>
      <c r="J164" s="16" t="n">
        <v>1</v>
      </c>
      <c r="K164" s="16" t="n">
        <v>6</v>
      </c>
      <c r="L164" s="16" t="inlineStr">
        <is>
          <t>19.10.2024 21:15:27</t>
        </is>
      </c>
      <c r="M164" s="16" t="inlineStr">
        <is>
          <t>20 hours</t>
        </is>
      </c>
      <c r="N164" s="16" t="inlineStr">
        <is>
          <t xml:space="preserve">        129K           623K           889K</t>
        </is>
      </c>
      <c r="O164" s="16" t="inlineStr">
        <is>
          <t>GGHga4iRCxEvq9Ky4MNwk9amTbLLg53bBHcSjpJLpump</t>
        </is>
      </c>
      <c r="P164" s="16">
        <f>HYPERLINK("https://dexscreener.com/solana/GGHga4iRCxEvq9Ky4MNwk9amTbLLg53bBHcSjpJLpump", "View")</f>
        <v/>
      </c>
    </row>
    <row r="165">
      <c r="A165" s="19" t="inlineStr">
        <is>
          <t>/Send</t>
        </is>
      </c>
      <c r="B165" s="20" t="n">
        <v>2249751</v>
      </c>
      <c r="C165" s="20" t="n">
        <v>0</v>
      </c>
      <c r="D165" s="20" t="inlineStr">
        <is>
          <t>0.005000</t>
        </is>
      </c>
      <c r="E165" s="20" t="inlineStr">
        <is>
          <t>0.990 SOL</t>
        </is>
      </c>
      <c r="F165" s="20" t="inlineStr">
        <is>
          <t>0.000 SOL</t>
        </is>
      </c>
      <c r="G165" s="17" t="inlineStr">
        <is>
          <t>-0.995 SOL</t>
        </is>
      </c>
      <c r="H165" s="17" t="inlineStr">
        <is>
          <t>0.00%</t>
        </is>
      </c>
      <c r="I165" s="20" t="inlineStr">
        <is>
          <t>2,249,751</t>
        </is>
      </c>
      <c r="J165" s="20" t="n">
        <v>1</v>
      </c>
      <c r="K165" s="20" t="n">
        <v>0</v>
      </c>
      <c r="L165" s="20" t="inlineStr">
        <is>
          <t>19.10.2024 17:42:19</t>
        </is>
      </c>
      <c r="M165" s="18" t="inlineStr">
        <is>
          <t>0 sec</t>
        </is>
      </c>
      <c r="N165" s="20" t="inlineStr">
        <is>
          <t xml:space="preserve">         77K            77K             4K</t>
        </is>
      </c>
      <c r="O165" s="20" t="inlineStr">
        <is>
          <t>3J6q8ds2gL2PZ6jy8NJXMs1g5DL79VFoSmRCnDhtpump</t>
        </is>
      </c>
      <c r="P165" s="20">
        <f>HYPERLINK("https://dexscreener.com/solana/3J6q8ds2gL2PZ6jy8NJXMs1g5DL79VFoSmRCnDhtpump", "View")</f>
        <v/>
      </c>
    </row>
    <row r="166">
      <c r="A166" s="15" t="inlineStr">
        <is>
          <t>a/sol</t>
        </is>
      </c>
      <c r="B166" s="16" t="n">
        <v>1284433</v>
      </c>
      <c r="C166" s="16" t="n">
        <v>0</v>
      </c>
      <c r="D166" s="16" t="inlineStr">
        <is>
          <t>0.005000</t>
        </is>
      </c>
      <c r="E166" s="16" t="inlineStr">
        <is>
          <t>0.990 SOL</t>
        </is>
      </c>
      <c r="F166" s="16" t="inlineStr">
        <is>
          <t>0.000 SOL</t>
        </is>
      </c>
      <c r="G166" s="17" t="inlineStr">
        <is>
          <t>-0.995 SOL</t>
        </is>
      </c>
      <c r="H166" s="17" t="inlineStr">
        <is>
          <t>0.00%</t>
        </is>
      </c>
      <c r="I166" s="16" t="inlineStr">
        <is>
          <t>1,284,433</t>
        </is>
      </c>
      <c r="J166" s="16" t="n">
        <v>1</v>
      </c>
      <c r="K166" s="16" t="n">
        <v>0</v>
      </c>
      <c r="L166" s="16" t="inlineStr">
        <is>
          <t>19.10.2024 17:09:29</t>
        </is>
      </c>
      <c r="M166" s="18" t="inlineStr">
        <is>
          <t>0 sec</t>
        </is>
      </c>
      <c r="N166" s="16" t="inlineStr">
        <is>
          <t xml:space="preserve">        135K           135K             5K</t>
        </is>
      </c>
      <c r="O166" s="16" t="inlineStr">
        <is>
          <t>EwDw33fuey7WLu1hF8kJiybccDhhgD1uugUZbaRKpump</t>
        </is>
      </c>
      <c r="P166" s="16">
        <f>HYPERLINK("https://dexscreener.com/solana/EwDw33fuey7WLu1hF8kJiybccDhhgD1uugUZbaRKpump", "View")</f>
        <v/>
      </c>
    </row>
    <row r="167">
      <c r="A167" s="19" t="inlineStr">
        <is>
          <t>WUMPUS</t>
        </is>
      </c>
      <c r="B167" s="20" t="n">
        <v>4206877</v>
      </c>
      <c r="C167" s="20" t="n">
        <v>0</v>
      </c>
      <c r="D167" s="20" t="inlineStr">
        <is>
          <t>0.000600</t>
        </is>
      </c>
      <c r="E167" s="20" t="inlineStr">
        <is>
          <t>1.000 SOL</t>
        </is>
      </c>
      <c r="F167" s="20" t="inlineStr">
        <is>
          <t>0.000 SOL</t>
        </is>
      </c>
      <c r="G167" s="17" t="inlineStr">
        <is>
          <t>-1.001 SOL</t>
        </is>
      </c>
      <c r="H167" s="17" t="inlineStr">
        <is>
          <t>0.00%</t>
        </is>
      </c>
      <c r="I167" s="20" t="inlineStr">
        <is>
          <t>4,206,877</t>
        </is>
      </c>
      <c r="J167" s="20" t="n">
        <v>1</v>
      </c>
      <c r="K167" s="20" t="n">
        <v>0</v>
      </c>
      <c r="L167" s="20" t="inlineStr">
        <is>
          <t>19.10.2024 15:39:22</t>
        </is>
      </c>
      <c r="M167" s="18" t="inlineStr">
        <is>
          <t>0 sec</t>
        </is>
      </c>
      <c r="N167" s="20" t="inlineStr">
        <is>
          <t xml:space="preserve">         42K            42K             2K</t>
        </is>
      </c>
      <c r="O167" s="20" t="inlineStr">
        <is>
          <t>5cG2Pr1x99tgQgFiC6Nr2kzPd1fdGonrJR7Ef8ppE53d</t>
        </is>
      </c>
      <c r="P167" s="20">
        <f>HYPERLINK("https://dexscreener.com/solana/5cG2Pr1x99tgQgFiC6Nr2kzPd1fdGonrJR7Ef8ppE53d", "View")</f>
        <v/>
      </c>
    </row>
    <row r="168">
      <c r="A168" s="15" t="inlineStr">
        <is>
          <t>SM</t>
        </is>
      </c>
      <c r="B168" s="16" t="n">
        <v>415314</v>
      </c>
      <c r="C168" s="16" t="n">
        <v>0</v>
      </c>
      <c r="D168" s="16" t="inlineStr">
        <is>
          <t>0.000600</t>
        </is>
      </c>
      <c r="E168" s="16" t="inlineStr">
        <is>
          <t>1.000 SOL</t>
        </is>
      </c>
      <c r="F168" s="16" t="inlineStr">
        <is>
          <t>0.000 SOL</t>
        </is>
      </c>
      <c r="G168" s="17" t="inlineStr">
        <is>
          <t>-1.001 SOL</t>
        </is>
      </c>
      <c r="H168" s="17" t="inlineStr">
        <is>
          <t>0.00%</t>
        </is>
      </c>
      <c r="I168" s="16" t="inlineStr">
        <is>
          <t>415,314</t>
        </is>
      </c>
      <c r="J168" s="16" t="n">
        <v>1</v>
      </c>
      <c r="K168" s="16" t="n">
        <v>0</v>
      </c>
      <c r="L168" s="16" t="inlineStr">
        <is>
          <t>19.10.2024 15:09:34</t>
        </is>
      </c>
      <c r="M168" s="18" t="inlineStr">
        <is>
          <t>0 sec</t>
        </is>
      </c>
      <c r="N168" s="16" t="inlineStr">
        <is>
          <t xml:space="preserve">        423K           423K             7K</t>
        </is>
      </c>
      <c r="O168" s="16" t="inlineStr">
        <is>
          <t>EAJwKJz2zPqvHdvfFfQ8o2Fa57G82UuZ9ZTnkMYPpump</t>
        </is>
      </c>
      <c r="P168" s="16">
        <f>HYPERLINK("https://dexscreener.com/solana/EAJwKJz2zPqvHdvfFfQ8o2Fa57G82UuZ9ZTnkMYPpump", "View")</f>
        <v/>
      </c>
    </row>
    <row r="169">
      <c r="A169" s="19" t="inlineStr">
        <is>
          <t>MORPHGEN</t>
        </is>
      </c>
      <c r="B169" s="20" t="n">
        <v>1004539</v>
      </c>
      <c r="C169" s="20" t="n">
        <v>0</v>
      </c>
      <c r="D169" s="20" t="inlineStr">
        <is>
          <t>0.000600</t>
        </is>
      </c>
      <c r="E169" s="20" t="inlineStr">
        <is>
          <t>1.000 SOL</t>
        </is>
      </c>
      <c r="F169" s="20" t="inlineStr">
        <is>
          <t>0.000 SOL</t>
        </is>
      </c>
      <c r="G169" s="17" t="inlineStr">
        <is>
          <t>-1.001 SOL</t>
        </is>
      </c>
      <c r="H169" s="17" t="inlineStr">
        <is>
          <t>0.00%</t>
        </is>
      </c>
      <c r="I169" s="20" t="inlineStr">
        <is>
          <t>1,004,539</t>
        </is>
      </c>
      <c r="J169" s="20" t="n">
        <v>1</v>
      </c>
      <c r="K169" s="20" t="n">
        <v>0</v>
      </c>
      <c r="L169" s="20" t="inlineStr">
        <is>
          <t>19.10.2024 15:00:35</t>
        </is>
      </c>
      <c r="M169" s="18" t="inlineStr">
        <is>
          <t>0 sec</t>
        </is>
      </c>
      <c r="N169" s="20" t="inlineStr">
        <is>
          <t xml:space="preserve">        176K           176K             9K</t>
        </is>
      </c>
      <c r="O169" s="20" t="inlineStr">
        <is>
          <t>GQ5c4fXPFuBad9BX1nhMxit1Wg343VC5kVPtbZaPpump</t>
        </is>
      </c>
      <c r="P169" s="20">
        <f>HYPERLINK("https://dexscreener.com/solana/GQ5c4fXPFuBad9BX1nhMxit1Wg343VC5kVPtbZaPpump", "View")</f>
        <v/>
      </c>
    </row>
    <row r="170">
      <c r="A170" s="15" t="inlineStr">
        <is>
          <t>MENA</t>
        </is>
      </c>
      <c r="B170" s="16" t="n">
        <v>431097</v>
      </c>
      <c r="C170" s="16" t="n">
        <v>0</v>
      </c>
      <c r="D170" s="16" t="inlineStr">
        <is>
          <t>0.000600</t>
        </is>
      </c>
      <c r="E170" s="16" t="inlineStr">
        <is>
          <t>1.000 SOL</t>
        </is>
      </c>
      <c r="F170" s="16" t="inlineStr">
        <is>
          <t>0.000 SOL</t>
        </is>
      </c>
      <c r="G170" s="17" t="inlineStr">
        <is>
          <t>-1.001 SOL</t>
        </is>
      </c>
      <c r="H170" s="17" t="inlineStr">
        <is>
          <t>0.00%</t>
        </is>
      </c>
      <c r="I170" s="16" t="inlineStr">
        <is>
          <t>431,097</t>
        </is>
      </c>
      <c r="J170" s="16" t="n">
        <v>1</v>
      </c>
      <c r="K170" s="16" t="n">
        <v>0</v>
      </c>
      <c r="L170" s="16" t="inlineStr">
        <is>
          <t>19.10.2024 14:39:26</t>
        </is>
      </c>
      <c r="M170" s="18" t="inlineStr">
        <is>
          <t>0 sec</t>
        </is>
      </c>
      <c r="N170" s="16" t="inlineStr">
        <is>
          <t xml:space="preserve">        407K           407K            14K</t>
        </is>
      </c>
      <c r="O170" s="16" t="inlineStr">
        <is>
          <t>4ytpWfVCpJ2nSjahbioPkejnLVBsc7FGZi2hCojppump</t>
        </is>
      </c>
      <c r="P170" s="16">
        <f>HYPERLINK("https://dexscreener.com/solana/4ytpWfVCpJ2nSjahbioPkejnLVBsc7FGZi2hCojppump", "View")</f>
        <v/>
      </c>
    </row>
    <row r="171">
      <c r="A171" s="19" t="inlineStr">
        <is>
          <t>AICYCLE</t>
        </is>
      </c>
      <c r="B171" s="20" t="n">
        <v>1795598</v>
      </c>
      <c r="C171" s="20" t="n">
        <v>0</v>
      </c>
      <c r="D171" s="20" t="inlineStr">
        <is>
          <t>0.000600</t>
        </is>
      </c>
      <c r="E171" s="20" t="inlineStr">
        <is>
          <t>1.000 SOL</t>
        </is>
      </c>
      <c r="F171" s="20" t="inlineStr">
        <is>
          <t>0.000 SOL</t>
        </is>
      </c>
      <c r="G171" s="17" t="inlineStr">
        <is>
          <t>-1.001 SOL</t>
        </is>
      </c>
      <c r="H171" s="17" t="inlineStr">
        <is>
          <t>0.00%</t>
        </is>
      </c>
      <c r="I171" s="20" t="inlineStr">
        <is>
          <t>1,795,598</t>
        </is>
      </c>
      <c r="J171" s="20" t="n">
        <v>1</v>
      </c>
      <c r="K171" s="20" t="n">
        <v>0</v>
      </c>
      <c r="L171" s="20" t="inlineStr">
        <is>
          <t>19.10.2024 12:52:16</t>
        </is>
      </c>
      <c r="M171" s="18" t="inlineStr">
        <is>
          <t>0 sec</t>
        </is>
      </c>
      <c r="N171" s="20" t="inlineStr">
        <is>
          <t xml:space="preserve">         98K            98K             5K</t>
        </is>
      </c>
      <c r="O171" s="20" t="inlineStr">
        <is>
          <t>CqYM3eUQnppnQtPNcHWYdN9tgb5ePnuBpSxkiFDupump</t>
        </is>
      </c>
      <c r="P171" s="20">
        <f>HYPERLINK("https://dexscreener.com/solana/CqYM3eUQnppnQtPNcHWYdN9tgb5ePnuBpSxkiFDupump", "View")</f>
        <v/>
      </c>
    </row>
    <row r="172">
      <c r="A172" s="15" t="inlineStr">
        <is>
          <t>Fiora</t>
        </is>
      </c>
      <c r="B172" s="16" t="n">
        <v>1451150</v>
      </c>
      <c r="C172" s="16" t="n">
        <v>0</v>
      </c>
      <c r="D172" s="16" t="inlineStr">
        <is>
          <t>0.000600</t>
        </is>
      </c>
      <c r="E172" s="16" t="inlineStr">
        <is>
          <t>1.000 SOL</t>
        </is>
      </c>
      <c r="F172" s="16" t="inlineStr">
        <is>
          <t>0.000 SOL</t>
        </is>
      </c>
      <c r="G172" s="17" t="inlineStr">
        <is>
          <t>-1.001 SOL</t>
        </is>
      </c>
      <c r="H172" s="17" t="inlineStr">
        <is>
          <t>0.00%</t>
        </is>
      </c>
      <c r="I172" s="16" t="inlineStr">
        <is>
          <t>1,451,150</t>
        </is>
      </c>
      <c r="J172" s="16" t="n">
        <v>1</v>
      </c>
      <c r="K172" s="16" t="n">
        <v>0</v>
      </c>
      <c r="L172" s="16" t="inlineStr">
        <is>
          <t>19.10.2024 12:06:35</t>
        </is>
      </c>
      <c r="M172" s="18" t="inlineStr">
        <is>
          <t>0 sec</t>
        </is>
      </c>
      <c r="N172" s="16" t="inlineStr">
        <is>
          <t xml:space="preserve">        121K           121K             6K</t>
        </is>
      </c>
      <c r="O172" s="16" t="inlineStr">
        <is>
          <t>HkQ2TgynP3gWZr13qfhHLMmwS4TmXUnFU3GafaL1pump</t>
        </is>
      </c>
      <c r="P172" s="16">
        <f>HYPERLINK("https://dexscreener.com/solana/HkQ2TgynP3gWZr13qfhHLMmwS4TmXUnFU3GafaL1pump", "View")</f>
        <v/>
      </c>
    </row>
    <row r="173">
      <c r="A173" s="19" t="inlineStr">
        <is>
          <t>CHIRPY</t>
        </is>
      </c>
      <c r="B173" s="20" t="n">
        <v>1571</v>
      </c>
      <c r="C173" s="20" t="n">
        <v>0</v>
      </c>
      <c r="D173" s="20" t="inlineStr">
        <is>
          <t>0.000600</t>
        </is>
      </c>
      <c r="E173" s="20" t="inlineStr">
        <is>
          <t>1.000 SOL</t>
        </is>
      </c>
      <c r="F173" s="20" t="inlineStr">
        <is>
          <t>0.000 SOL</t>
        </is>
      </c>
      <c r="G173" s="17" t="inlineStr">
        <is>
          <t>-1.001 SOL</t>
        </is>
      </c>
      <c r="H173" s="17" t="inlineStr">
        <is>
          <t>0.00%</t>
        </is>
      </c>
      <c r="I173" s="20" t="inlineStr">
        <is>
          <t>1,571</t>
        </is>
      </c>
      <c r="J173" s="20" t="n">
        <v>1</v>
      </c>
      <c r="K173" s="20" t="n">
        <v>0</v>
      </c>
      <c r="L173" s="20" t="inlineStr">
        <is>
          <t>19.10.2024 11:00:42</t>
        </is>
      </c>
      <c r="M173" s="18" t="inlineStr">
        <is>
          <t>0 sec</t>
        </is>
      </c>
      <c r="N173" s="20" t="inlineStr">
        <is>
          <t xml:space="preserve">         67M            67M             47</t>
        </is>
      </c>
      <c r="O173" s="20" t="inlineStr">
        <is>
          <t>Cvo4GdT1VCb3wp4vinVEyj2yBfQ2BNLvR5sUPhV2pump</t>
        </is>
      </c>
      <c r="P173" s="20">
        <f>HYPERLINK("https://dexscreener.com/solana/Cvo4GdT1VCb3wp4vinVEyj2yBfQ2BNLvR5sUPhV2pump", "View")</f>
        <v/>
      </c>
    </row>
    <row r="174">
      <c r="A174" s="15" t="inlineStr">
        <is>
          <t>x982a{j:+.</t>
        </is>
      </c>
      <c r="B174" s="16" t="n">
        <v>520977</v>
      </c>
      <c r="C174" s="16" t="n">
        <v>0</v>
      </c>
      <c r="D174" s="16" t="inlineStr">
        <is>
          <t>0.000600</t>
        </is>
      </c>
      <c r="E174" s="16" t="inlineStr">
        <is>
          <t>1.000 SOL</t>
        </is>
      </c>
      <c r="F174" s="16" t="inlineStr">
        <is>
          <t>0.000 SOL</t>
        </is>
      </c>
      <c r="G174" s="17" t="inlineStr">
        <is>
          <t>-1.001 SOL</t>
        </is>
      </c>
      <c r="H174" s="17" t="inlineStr">
        <is>
          <t>0.00%</t>
        </is>
      </c>
      <c r="I174" s="16" t="inlineStr">
        <is>
          <t>520,977</t>
        </is>
      </c>
      <c r="J174" s="16" t="n">
        <v>1</v>
      </c>
      <c r="K174" s="16" t="n">
        <v>0</v>
      </c>
      <c r="L174" s="16" t="inlineStr">
        <is>
          <t>19.10.2024 10:45:26</t>
        </is>
      </c>
      <c r="M174" s="18" t="inlineStr">
        <is>
          <t>0 sec</t>
        </is>
      </c>
      <c r="N174" s="16" t="inlineStr">
        <is>
          <t xml:space="preserve">        337K           337K             5K</t>
        </is>
      </c>
      <c r="O174" s="16" t="inlineStr">
        <is>
          <t>8uCydBTEBHsNULSu3gwMKS5U1EKcGD4Ky5kzju65pump</t>
        </is>
      </c>
      <c r="P174" s="16">
        <f>HYPERLINK("https://dexscreener.com/solana/8uCydBTEBHsNULSu3gwMKS5U1EKcGD4Ky5kzju65pump", "View")</f>
        <v/>
      </c>
    </row>
    <row r="175">
      <c r="A175" s="19" t="inlineStr">
        <is>
          <t>PaST</t>
        </is>
      </c>
      <c r="B175" s="20" t="n">
        <v>1737451</v>
      </c>
      <c r="C175" s="20" t="n">
        <v>0</v>
      </c>
      <c r="D175" s="20" t="inlineStr">
        <is>
          <t>0.000600</t>
        </is>
      </c>
      <c r="E175" s="20" t="inlineStr">
        <is>
          <t>1.000 SOL</t>
        </is>
      </c>
      <c r="F175" s="20" t="inlineStr">
        <is>
          <t>0.000 SOL</t>
        </is>
      </c>
      <c r="G175" s="17" t="inlineStr">
        <is>
          <t>-1.001 SOL</t>
        </is>
      </c>
      <c r="H175" s="17" t="inlineStr">
        <is>
          <t>0.00%</t>
        </is>
      </c>
      <c r="I175" s="20" t="inlineStr">
        <is>
          <t>1,737,451</t>
        </is>
      </c>
      <c r="J175" s="20" t="n">
        <v>1</v>
      </c>
      <c r="K175" s="20" t="n">
        <v>0</v>
      </c>
      <c r="L175" s="20" t="inlineStr">
        <is>
          <t>19.10.2024 09:51:34</t>
        </is>
      </c>
      <c r="M175" s="18" t="inlineStr">
        <is>
          <t>0 sec</t>
        </is>
      </c>
      <c r="N175" s="20" t="inlineStr">
        <is>
          <t xml:space="preserve">        102K           102K             4K</t>
        </is>
      </c>
      <c r="O175" s="20" t="inlineStr">
        <is>
          <t>7NsY3ZqGrY3suPaPvJLYncTfoPF3Ef4JDcRHVig4pump</t>
        </is>
      </c>
      <c r="P175" s="20">
        <f>HYPERLINK("https://dexscreener.com/solana/7NsY3ZqGrY3suPaPvJLYncTfoPF3Ef4JDcRHVig4pump", "View")</f>
        <v/>
      </c>
    </row>
    <row r="176">
      <c r="A176" s="15" t="inlineStr">
        <is>
          <t>LLMtheism</t>
        </is>
      </c>
      <c r="B176" s="16" t="n">
        <v>509866</v>
      </c>
      <c r="C176" s="16" t="n">
        <v>475704</v>
      </c>
      <c r="D176" s="16" t="inlineStr">
        <is>
          <t>0.001610</t>
        </is>
      </c>
      <c r="E176" s="16" t="inlineStr">
        <is>
          <t>1.000 SOL</t>
        </is>
      </c>
      <c r="F176" s="16" t="inlineStr">
        <is>
          <t>0.493 SOL</t>
        </is>
      </c>
      <c r="G176" s="24" t="inlineStr">
        <is>
          <t>-0.508 SOL</t>
        </is>
      </c>
      <c r="H176" s="24" t="inlineStr">
        <is>
          <t>-50.75%</t>
        </is>
      </c>
      <c r="I176" s="16" t="inlineStr">
        <is>
          <t>N/A</t>
        </is>
      </c>
      <c r="J176" s="16" t="n">
        <v>1</v>
      </c>
      <c r="K176" s="16" t="n">
        <v>2</v>
      </c>
      <c r="L176" s="16" t="inlineStr">
        <is>
          <t>19.10.2024 09:40:24</t>
        </is>
      </c>
      <c r="M176" s="16" t="inlineStr">
        <is>
          <t>7 hours</t>
        </is>
      </c>
      <c r="N176" s="16" t="inlineStr">
        <is>
          <t xml:space="preserve">        344K           344K            22K</t>
        </is>
      </c>
      <c r="O176" s="16" t="inlineStr">
        <is>
          <t>8XgSvP4iMbBeQDnC9i4odSGeG4h3QoLJ58avjLBnpump</t>
        </is>
      </c>
      <c r="P176" s="16">
        <f>HYPERLINK("https://dexscreener.com/solana/8XgSvP4iMbBeQDnC9i4odSGeG4h3QoLJ58avjLBnpump", "View")</f>
        <v/>
      </c>
    </row>
    <row r="177">
      <c r="A177" s="19" t="inlineStr">
        <is>
          <t>Cyborgism</t>
        </is>
      </c>
      <c r="B177" s="20" t="n">
        <v>846538</v>
      </c>
      <c r="C177" s="20" t="n">
        <v>279357</v>
      </c>
      <c r="D177" s="20" t="inlineStr">
        <is>
          <t>0.001110</t>
        </is>
      </c>
      <c r="E177" s="20" t="inlineStr">
        <is>
          <t>1.000 SOL</t>
        </is>
      </c>
      <c r="F177" s="20" t="inlineStr">
        <is>
          <t>0.950 SOL</t>
        </is>
      </c>
      <c r="G177" s="21" t="inlineStr">
        <is>
          <t>-0.051 SOL</t>
        </is>
      </c>
      <c r="H177" s="21" t="inlineStr">
        <is>
          <t>-5.10%</t>
        </is>
      </c>
      <c r="I177" s="20" t="inlineStr">
        <is>
          <t>N/A</t>
        </is>
      </c>
      <c r="J177" s="20" t="n">
        <v>1</v>
      </c>
      <c r="K177" s="20" t="n">
        <v>1</v>
      </c>
      <c r="L177" s="20" t="inlineStr">
        <is>
          <t>19.10.2024 09:35:27</t>
        </is>
      </c>
      <c r="M177" s="20" t="inlineStr">
        <is>
          <t>49 min</t>
        </is>
      </c>
      <c r="N177" s="20" t="inlineStr">
        <is>
          <t xml:space="preserve">        207K           207K            20K</t>
        </is>
      </c>
      <c r="O177" s="20" t="inlineStr">
        <is>
          <t>8X7emJy8CV5pK7UjyBKCywdfc4MTKShpUddqrqyepump</t>
        </is>
      </c>
      <c r="P177" s="20">
        <f>HYPERLINK("https://dexscreener.com/solana/8X7emJy8CV5pK7UjyBKCywdfc4MTKShpUddqrqyepump", "View")</f>
        <v/>
      </c>
    </row>
    <row r="178">
      <c r="A178" s="15" t="inlineStr">
        <is>
          <t xml:space="preserve">GASPODE </t>
        </is>
      </c>
      <c r="B178" s="16" t="n">
        <v>2228560</v>
      </c>
      <c r="C178" s="16" t="n">
        <v>2161531</v>
      </c>
      <c r="D178" s="16" t="inlineStr">
        <is>
          <t>0.002620</t>
        </is>
      </c>
      <c r="E178" s="16" t="inlineStr">
        <is>
          <t>1.000 SOL</t>
        </is>
      </c>
      <c r="F178" s="16" t="inlineStr">
        <is>
          <t>0.953 SOL</t>
        </is>
      </c>
      <c r="G178" s="21" t="inlineStr">
        <is>
          <t>-0.050 SOL</t>
        </is>
      </c>
      <c r="H178" s="21" t="inlineStr">
        <is>
          <t>-4.95%</t>
        </is>
      </c>
      <c r="I178" s="16" t="inlineStr">
        <is>
          <t>N/A</t>
        </is>
      </c>
      <c r="J178" s="16" t="n">
        <v>1</v>
      </c>
      <c r="K178" s="16" t="n">
        <v>4</v>
      </c>
      <c r="L178" s="16" t="inlineStr">
        <is>
          <t>19.10.2024 09:20:33</t>
        </is>
      </c>
      <c r="M178" s="16" t="inlineStr">
        <is>
          <t>19 hours</t>
        </is>
      </c>
      <c r="N178" s="16" t="inlineStr">
        <is>
          <t xml:space="preserve">         79K            79K            25K</t>
        </is>
      </c>
      <c r="O178" s="16" t="inlineStr">
        <is>
          <t>CLmkmdeeDqZRciDPrpVS8JtFj2g1hh8U4XQmQishpump</t>
        </is>
      </c>
      <c r="P178" s="16">
        <f>HYPERLINK("https://dexscreener.com/solana/CLmkmdeeDqZRciDPrpVS8JtFj2g1hh8U4XQmQishpump", "View")</f>
        <v/>
      </c>
    </row>
    <row r="179">
      <c r="A179" s="19" t="inlineStr">
        <is>
          <t>SONNET</t>
        </is>
      </c>
      <c r="B179" s="20" t="n">
        <v>1376087</v>
      </c>
      <c r="C179" s="20" t="n">
        <v>1334698</v>
      </c>
      <c r="D179" s="20" t="inlineStr">
        <is>
          <t>0.002620</t>
        </is>
      </c>
      <c r="E179" s="20" t="inlineStr">
        <is>
          <t>1.000 SOL</t>
        </is>
      </c>
      <c r="F179" s="20" t="inlineStr">
        <is>
          <t>0.516 SOL</t>
        </is>
      </c>
      <c r="G179" s="21" t="inlineStr">
        <is>
          <t>-0.487 SOL</t>
        </is>
      </c>
      <c r="H179" s="21" t="inlineStr">
        <is>
          <t>-48.54%</t>
        </is>
      </c>
      <c r="I179" s="20" t="inlineStr">
        <is>
          <t>N/A</t>
        </is>
      </c>
      <c r="J179" s="20" t="n">
        <v>1</v>
      </c>
      <c r="K179" s="20" t="n">
        <v>4</v>
      </c>
      <c r="L179" s="20" t="inlineStr">
        <is>
          <t>19.10.2024 09:05:36</t>
        </is>
      </c>
      <c r="M179" s="20" t="inlineStr">
        <is>
          <t>9 hours</t>
        </is>
      </c>
      <c r="N179" s="20" t="inlineStr">
        <is>
          <t xml:space="preserve">        128K            28K            58K</t>
        </is>
      </c>
      <c r="O179" s="20" t="inlineStr">
        <is>
          <t>A6J6iU22H4dzFsHiSRcPdwYCGtJLNFupDotwhKgfpump</t>
        </is>
      </c>
      <c r="P179" s="20">
        <f>HYPERLINK("https://dexscreener.com/solana/A6J6iU22H4dzFsHiSRcPdwYCGtJLNFupDotwhKgfpump", "View")</f>
        <v/>
      </c>
    </row>
    <row r="180">
      <c r="A180" s="15" t="inlineStr">
        <is>
          <t>TEAPOT</t>
        </is>
      </c>
      <c r="B180" s="16" t="n">
        <v>720451</v>
      </c>
      <c r="C180" s="16" t="n">
        <v>0</v>
      </c>
      <c r="D180" s="16" t="inlineStr">
        <is>
          <t>0.000600</t>
        </is>
      </c>
      <c r="E180" s="16" t="inlineStr">
        <is>
          <t>1.000 SOL</t>
        </is>
      </c>
      <c r="F180" s="16" t="inlineStr">
        <is>
          <t>0.000 SOL</t>
        </is>
      </c>
      <c r="G180" s="17" t="inlineStr">
        <is>
          <t>-1.001 SOL</t>
        </is>
      </c>
      <c r="H180" s="17" t="inlineStr">
        <is>
          <t>0.00%</t>
        </is>
      </c>
      <c r="I180" s="16" t="inlineStr">
        <is>
          <t>720,451</t>
        </is>
      </c>
      <c r="J180" s="16" t="n">
        <v>1</v>
      </c>
      <c r="K180" s="16" t="n">
        <v>0</v>
      </c>
      <c r="L180" s="16" t="inlineStr">
        <is>
          <t>19.10.2024 09:03:20</t>
        </is>
      </c>
      <c r="M180" s="18" t="inlineStr">
        <is>
          <t>0 sec</t>
        </is>
      </c>
      <c r="N180" s="16" t="inlineStr">
        <is>
          <t xml:space="preserve">        244K           244K            37K</t>
        </is>
      </c>
      <c r="O180" s="16" t="inlineStr">
        <is>
          <t>9wtFqbMCFDLwgEboVs3WJhVG2VgwdFBo3osqtqgXpump</t>
        </is>
      </c>
      <c r="P180" s="16">
        <f>HYPERLINK("https://dexscreener.com/solana/9wtFqbMCFDLwgEboVs3WJhVG2VgwdFBo3osqtqgXpump", "View")</f>
        <v/>
      </c>
    </row>
    <row r="181">
      <c r="A181" s="19" t="inlineStr">
        <is>
          <t>LLMtheism</t>
        </is>
      </c>
      <c r="B181" s="20" t="n">
        <v>4454506</v>
      </c>
      <c r="C181" s="20" t="n">
        <v>4254542</v>
      </c>
      <c r="D181" s="20" t="inlineStr">
        <is>
          <t>0.002120</t>
        </is>
      </c>
      <c r="E181" s="20" t="inlineStr">
        <is>
          <t>1.000 SOL</t>
        </is>
      </c>
      <c r="F181" s="20" t="inlineStr">
        <is>
          <t>1.609 SOL</t>
        </is>
      </c>
      <c r="G181" s="23" t="inlineStr">
        <is>
          <t>0.607 SOL</t>
        </is>
      </c>
      <c r="H181" s="23" t="inlineStr">
        <is>
          <t>60.55%</t>
        </is>
      </c>
      <c r="I181" s="20" t="inlineStr">
        <is>
          <t>N/A</t>
        </is>
      </c>
      <c r="J181" s="20" t="n">
        <v>1</v>
      </c>
      <c r="K181" s="20" t="n">
        <v>3</v>
      </c>
      <c r="L181" s="20" t="inlineStr">
        <is>
          <t>19.10.2024 08:10:29</t>
        </is>
      </c>
      <c r="M181" s="20" t="inlineStr">
        <is>
          <t>6 hours</t>
        </is>
      </c>
      <c r="N181" s="20" t="inlineStr">
        <is>
          <t xml:space="preserve">         39K            98K             9K</t>
        </is>
      </c>
      <c r="O181" s="20" t="inlineStr">
        <is>
          <t>2jfmsGtcBpF4qQxztyBqhZmrtTf8tCNv7o98kwwSpump</t>
        </is>
      </c>
      <c r="P181" s="20">
        <f>HYPERLINK("https://dexscreener.com/solana/2jfmsGtcBpF4qQxztyBqhZmrtTf8tCNv7o98kwwSpump", "View")</f>
        <v/>
      </c>
    </row>
    <row r="182">
      <c r="A182" s="15" t="inlineStr">
        <is>
          <t>LOOM</t>
        </is>
      </c>
      <c r="B182" s="16" t="n">
        <v>1626913</v>
      </c>
      <c r="C182" s="16" t="n">
        <v>1604946</v>
      </c>
      <c r="D182" s="16" t="inlineStr">
        <is>
          <t>0.003640</t>
        </is>
      </c>
      <c r="E182" s="16" t="inlineStr">
        <is>
          <t>1.000 SOL</t>
        </is>
      </c>
      <c r="F182" s="16" t="inlineStr">
        <is>
          <t>2.058 SOL</t>
        </is>
      </c>
      <c r="G182" s="23" t="inlineStr">
        <is>
          <t>1.054 SOL</t>
        </is>
      </c>
      <c r="H182" s="23" t="inlineStr">
        <is>
          <t>105.04%</t>
        </is>
      </c>
      <c r="I182" s="16" t="inlineStr">
        <is>
          <t>N/A</t>
        </is>
      </c>
      <c r="J182" s="16" t="n">
        <v>1</v>
      </c>
      <c r="K182" s="16" t="n">
        <v>6</v>
      </c>
      <c r="L182" s="16" t="inlineStr">
        <is>
          <t>19.10.2024 07:50:21</t>
        </is>
      </c>
      <c r="M182" s="16" t="inlineStr">
        <is>
          <t>19 hours</t>
        </is>
      </c>
      <c r="N182" s="16" t="inlineStr">
        <is>
          <t xml:space="preserve">        107K           107K           147K</t>
        </is>
      </c>
      <c r="O182" s="16" t="inlineStr">
        <is>
          <t>D57CP6MA7G5idNmxAuigU6W8uPeiGvDVuuwh4z2ypump</t>
        </is>
      </c>
      <c r="P182" s="16">
        <f>HYPERLINK("https://dexscreener.com/solana/D57CP6MA7G5idNmxAuigU6W8uPeiGvDVuuwh4z2ypump", "View")</f>
        <v/>
      </c>
    </row>
    <row r="183">
      <c r="A183" s="19" t="inlineStr">
        <is>
          <t>SGON</t>
        </is>
      </c>
      <c r="B183" s="20" t="n">
        <v>1255754</v>
      </c>
      <c r="C183" s="20" t="n">
        <v>0</v>
      </c>
      <c r="D183" s="20" t="inlineStr">
        <is>
          <t>0.000600</t>
        </is>
      </c>
      <c r="E183" s="20" t="inlineStr">
        <is>
          <t>1.000 SOL</t>
        </is>
      </c>
      <c r="F183" s="20" t="inlineStr">
        <is>
          <t>0.000 SOL</t>
        </is>
      </c>
      <c r="G183" s="17" t="inlineStr">
        <is>
          <t>-1.001 SOL</t>
        </is>
      </c>
      <c r="H183" s="17" t="inlineStr">
        <is>
          <t>0.00%</t>
        </is>
      </c>
      <c r="I183" s="20" t="inlineStr">
        <is>
          <t>1,255,754</t>
        </is>
      </c>
      <c r="J183" s="20" t="n">
        <v>1</v>
      </c>
      <c r="K183" s="20" t="n">
        <v>0</v>
      </c>
      <c r="L183" s="20" t="inlineStr">
        <is>
          <t>19.10.2024 07:48:24</t>
        </is>
      </c>
      <c r="M183" s="18" t="inlineStr">
        <is>
          <t>0 sec</t>
        </is>
      </c>
      <c r="N183" s="20" t="inlineStr">
        <is>
          <t xml:space="preserve">        140K           140K             4K</t>
        </is>
      </c>
      <c r="O183" s="20" t="inlineStr">
        <is>
          <t>5cnfnDNVssoccP2T1sG1ie5Wfk9jSnG3ruMQcPS4pump</t>
        </is>
      </c>
      <c r="P183" s="20">
        <f>HYPERLINK("https://dexscreener.com/solana/5cnfnDNVssoccP2T1sG1ie5Wfk9jSnG3ruMQcPS4pump", "View")</f>
        <v/>
      </c>
    </row>
    <row r="184">
      <c r="A184" s="15" t="inlineStr">
        <is>
          <t>SLINK</t>
        </is>
      </c>
      <c r="B184" s="16" t="n">
        <v>751</v>
      </c>
      <c r="C184" s="16" t="n">
        <v>0</v>
      </c>
      <c r="D184" s="16" t="inlineStr">
        <is>
          <t>0.000600</t>
        </is>
      </c>
      <c r="E184" s="16" t="inlineStr">
        <is>
          <t>1.000 SOL</t>
        </is>
      </c>
      <c r="F184" s="16" t="inlineStr">
        <is>
          <t>0.000 SOL</t>
        </is>
      </c>
      <c r="G184" s="17" t="inlineStr">
        <is>
          <t>-1.001 SOL</t>
        </is>
      </c>
      <c r="H184" s="17" t="inlineStr">
        <is>
          <t>0.00%</t>
        </is>
      </c>
      <c r="I184" s="16" t="inlineStr">
        <is>
          <t>751</t>
        </is>
      </c>
      <c r="J184" s="16" t="n">
        <v>1</v>
      </c>
      <c r="K184" s="16" t="n">
        <v>0</v>
      </c>
      <c r="L184" s="16" t="inlineStr">
        <is>
          <t>19.10.2024 07:03:22</t>
        </is>
      </c>
      <c r="M184" s="18" t="inlineStr">
        <is>
          <t>0 sec</t>
        </is>
      </c>
      <c r="N184" s="16" t="inlineStr">
        <is>
          <t xml:space="preserve">        232M           232M            132</t>
        </is>
      </c>
      <c r="O184" s="16" t="inlineStr">
        <is>
          <t>HRfsUNJiePHqU9pxkWtES6ECEHszthyv6Jg9ZY7bpump</t>
        </is>
      </c>
      <c r="P184" s="16">
        <f>HYPERLINK("https://dexscreener.com/solana/HRfsUNJiePHqU9pxkWtES6ECEHszthyv6Jg9ZY7bpump", "View")</f>
        <v/>
      </c>
    </row>
    <row r="185">
      <c r="A185" s="19" t="inlineStr">
        <is>
          <t>AMANO</t>
        </is>
      </c>
      <c r="B185" s="20" t="n">
        <v>1712500</v>
      </c>
      <c r="C185" s="20" t="n">
        <v>0</v>
      </c>
      <c r="D185" s="20" t="inlineStr">
        <is>
          <t>0.000600</t>
        </is>
      </c>
      <c r="E185" s="20" t="inlineStr">
        <is>
          <t>1.000 SOL</t>
        </is>
      </c>
      <c r="F185" s="20" t="inlineStr">
        <is>
          <t>0.000 SOL</t>
        </is>
      </c>
      <c r="G185" s="17" t="inlineStr">
        <is>
          <t>-1.001 SOL</t>
        </is>
      </c>
      <c r="H185" s="17" t="inlineStr">
        <is>
          <t>0.00%</t>
        </is>
      </c>
      <c r="I185" s="20" t="inlineStr">
        <is>
          <t>1,712,500</t>
        </is>
      </c>
      <c r="J185" s="20" t="n">
        <v>1</v>
      </c>
      <c r="K185" s="20" t="n">
        <v>0</v>
      </c>
      <c r="L185" s="20" t="inlineStr">
        <is>
          <t>19.10.2024 06:18:20</t>
        </is>
      </c>
      <c r="M185" s="18" t="inlineStr">
        <is>
          <t>0 sec</t>
        </is>
      </c>
      <c r="N185" s="20" t="inlineStr">
        <is>
          <t xml:space="preserve">        102K           102K             4K</t>
        </is>
      </c>
      <c r="O185" s="20" t="inlineStr">
        <is>
          <t>DL7eHjziBjJ4aDVCRuz41nM2SceQvrUfREYmRQYHpump</t>
        </is>
      </c>
      <c r="P185" s="20">
        <f>HYPERLINK("https://dexscreener.com/solana/DL7eHjziBjJ4aDVCRuz41nM2SceQvrUfREYmRQYHpump", "View")</f>
        <v/>
      </c>
    </row>
    <row r="186">
      <c r="A186" s="15" t="inlineStr">
        <is>
          <t>Thebes</t>
        </is>
      </c>
      <c r="B186" s="16" t="n">
        <v>2245025</v>
      </c>
      <c r="C186" s="16" t="n">
        <v>2020522</v>
      </c>
      <c r="D186" s="16" t="inlineStr">
        <is>
          <t>0.001110</t>
        </is>
      </c>
      <c r="E186" s="16" t="inlineStr">
        <is>
          <t>1.000 SOL</t>
        </is>
      </c>
      <c r="F186" s="16" t="inlineStr">
        <is>
          <t>0.467 SOL</t>
        </is>
      </c>
      <c r="G186" s="24" t="inlineStr">
        <is>
          <t>-0.534 SOL</t>
        </is>
      </c>
      <c r="H186" s="24" t="inlineStr">
        <is>
          <t>-53.31%</t>
        </is>
      </c>
      <c r="I186" s="16" t="inlineStr">
        <is>
          <t>N/A</t>
        </is>
      </c>
      <c r="J186" s="16" t="n">
        <v>1</v>
      </c>
      <c r="K186" s="16" t="n">
        <v>1</v>
      </c>
      <c r="L186" s="16" t="inlineStr">
        <is>
          <t>19.10.2024 04:56:11</t>
        </is>
      </c>
      <c r="M186" s="16" t="inlineStr">
        <is>
          <t>52 min</t>
        </is>
      </c>
      <c r="N186" s="16" t="inlineStr">
        <is>
          <t xml:space="preserve">         79K            79K             5K</t>
        </is>
      </c>
      <c r="O186" s="16" t="inlineStr">
        <is>
          <t>79zER84VHcQKmmnsjaHtZ6T5sDFsejy9z6YWR5smpump</t>
        </is>
      </c>
      <c r="P186" s="16">
        <f>HYPERLINK("https://dexscreener.com/solana/79zER84VHcQKmmnsjaHtZ6T5sDFsejy9z6YWR5smpump", "View")</f>
        <v/>
      </c>
    </row>
    <row r="187">
      <c r="A187" s="19" t="inlineStr">
        <is>
          <t>GMC</t>
        </is>
      </c>
      <c r="B187" s="20" t="n">
        <v>2056654</v>
      </c>
      <c r="C187" s="20" t="n">
        <v>1850988</v>
      </c>
      <c r="D187" s="20" t="inlineStr">
        <is>
          <t>0.001110</t>
        </is>
      </c>
      <c r="E187" s="20" t="inlineStr">
        <is>
          <t>1.000 SOL</t>
        </is>
      </c>
      <c r="F187" s="20" t="inlineStr">
        <is>
          <t>0.214 SOL</t>
        </is>
      </c>
      <c r="G187" s="24" t="inlineStr">
        <is>
          <t>-0.787 SOL</t>
        </is>
      </c>
      <c r="H187" s="24" t="inlineStr">
        <is>
          <t>-78.66%</t>
        </is>
      </c>
      <c r="I187" s="20" t="inlineStr">
        <is>
          <t>N/A</t>
        </is>
      </c>
      <c r="J187" s="20" t="n">
        <v>1</v>
      </c>
      <c r="K187" s="20" t="n">
        <v>1</v>
      </c>
      <c r="L187" s="20" t="inlineStr">
        <is>
          <t>19.10.2024 04:54:09</t>
        </is>
      </c>
      <c r="M187" s="20" t="inlineStr">
        <is>
          <t>20 min</t>
        </is>
      </c>
      <c r="N187" s="20" t="inlineStr">
        <is>
          <t xml:space="preserve">         86K            86K             5K</t>
        </is>
      </c>
      <c r="O187" s="20" t="inlineStr">
        <is>
          <t>8q83Vvfu9ShcREvQ6TGi34VrJH9y2uSPygGzTtYWpump</t>
        </is>
      </c>
      <c r="P187" s="20">
        <f>HYPERLINK("https://dexscreener.com/solana/8q83Vvfu9ShcREvQ6TGi34VrJH9y2uSPygGzTtYWpump", "View")</f>
        <v/>
      </c>
    </row>
    <row r="188">
      <c r="A188" s="15" t="inlineStr">
        <is>
          <t>j⧉nus</t>
        </is>
      </c>
      <c r="B188" s="16" t="n">
        <v>3228256</v>
      </c>
      <c r="C188" s="16" t="n">
        <v>2905430</v>
      </c>
      <c r="D188" s="16" t="inlineStr">
        <is>
          <t>0.001110</t>
        </is>
      </c>
      <c r="E188" s="16" t="inlineStr">
        <is>
          <t>1.000 SOL</t>
        </is>
      </c>
      <c r="F188" s="16" t="inlineStr">
        <is>
          <t>0.392 SOL</t>
        </is>
      </c>
      <c r="G188" s="24" t="inlineStr">
        <is>
          <t>-0.609 SOL</t>
        </is>
      </c>
      <c r="H188" s="24" t="inlineStr">
        <is>
          <t>-60.84%</t>
        </is>
      </c>
      <c r="I188" s="16" t="inlineStr">
        <is>
          <t>N/A</t>
        </is>
      </c>
      <c r="J188" s="16" t="n">
        <v>1</v>
      </c>
      <c r="K188" s="16" t="n">
        <v>1</v>
      </c>
      <c r="L188" s="16" t="inlineStr">
        <is>
          <t>19.10.2024 03:58:12</t>
        </is>
      </c>
      <c r="M188" s="16" t="inlineStr">
        <is>
          <t>48 min</t>
        </is>
      </c>
      <c r="N188" s="16" t="inlineStr">
        <is>
          <t xml:space="preserve">         54K            54K             9K</t>
        </is>
      </c>
      <c r="O188" s="16" t="inlineStr">
        <is>
          <t>EVRWBUYGN5BdJcwagB7sYHy9cAo6xPUqD1j5VHv6pump</t>
        </is>
      </c>
      <c r="P188" s="16">
        <f>HYPERLINK("https://dexscreener.com/solana/EVRWBUYGN5BdJcwagB7sYHy9cAo6xPUqD1j5VHv6pump", "View")</f>
        <v/>
      </c>
    </row>
    <row r="189">
      <c r="A189" s="19" t="inlineStr">
        <is>
          <t>GOTE</t>
        </is>
      </c>
      <c r="B189" s="20" t="n">
        <v>261978</v>
      </c>
      <c r="C189" s="20" t="n">
        <v>235780</v>
      </c>
      <c r="D189" s="20" t="inlineStr">
        <is>
          <t>0.001110</t>
        </is>
      </c>
      <c r="E189" s="20" t="inlineStr">
        <is>
          <t>1.000 SOL</t>
        </is>
      </c>
      <c r="F189" s="20" t="inlineStr">
        <is>
          <t>0.494 SOL</t>
        </is>
      </c>
      <c r="G189" s="24" t="inlineStr">
        <is>
          <t>-0.507 SOL</t>
        </is>
      </c>
      <c r="H189" s="24" t="inlineStr">
        <is>
          <t>-50.66%</t>
        </is>
      </c>
      <c r="I189" s="20" t="inlineStr">
        <is>
          <t>N/A</t>
        </is>
      </c>
      <c r="J189" s="20" t="n">
        <v>1</v>
      </c>
      <c r="K189" s="20" t="n">
        <v>1</v>
      </c>
      <c r="L189" s="20" t="inlineStr">
        <is>
          <t>19.10.2024 03:25:20</t>
        </is>
      </c>
      <c r="M189" s="20" t="inlineStr">
        <is>
          <t>5 hours</t>
        </is>
      </c>
      <c r="N189" s="20" t="inlineStr">
        <is>
          <t xml:space="preserve">        671K           671K            22K</t>
        </is>
      </c>
      <c r="O189" s="20" t="inlineStr">
        <is>
          <t>Fgn3y5zLZTfi5UxP59yHbLmryWgWnHS4BFJHcsuVpump</t>
        </is>
      </c>
      <c r="P189" s="20">
        <f>HYPERLINK("https://dexscreener.com/solana/Fgn3y5zLZTfi5UxP59yHbLmryWgWnHS4BFJHcsuVpump", "View")</f>
        <v/>
      </c>
    </row>
    <row r="190">
      <c r="A190" s="15" t="inlineStr">
        <is>
          <t>Red</t>
        </is>
      </c>
      <c r="B190" s="16" t="n">
        <v>4866977</v>
      </c>
      <c r="C190" s="16" t="n">
        <v>0</v>
      </c>
      <c r="D190" s="16" t="inlineStr">
        <is>
          <t>0.000600</t>
        </is>
      </c>
      <c r="E190" s="16" t="inlineStr">
        <is>
          <t>1.000 SOL</t>
        </is>
      </c>
      <c r="F190" s="16" t="inlineStr">
        <is>
          <t>0.000 SOL</t>
        </is>
      </c>
      <c r="G190" s="17" t="inlineStr">
        <is>
          <t>-1.001 SOL</t>
        </is>
      </c>
      <c r="H190" s="17" t="inlineStr">
        <is>
          <t>0.00%</t>
        </is>
      </c>
      <c r="I190" s="16" t="inlineStr">
        <is>
          <t>4,866,977</t>
        </is>
      </c>
      <c r="J190" s="16" t="n">
        <v>1</v>
      </c>
      <c r="K190" s="16" t="n">
        <v>0</v>
      </c>
      <c r="L190" s="16" t="inlineStr">
        <is>
          <t>19.10.2024 03:24:17</t>
        </is>
      </c>
      <c r="M190" s="18" t="inlineStr">
        <is>
          <t>0 sec</t>
        </is>
      </c>
      <c r="N190" s="16" t="inlineStr">
        <is>
          <t xml:space="preserve">         37K            37K             4K</t>
        </is>
      </c>
      <c r="O190" s="16" t="inlineStr">
        <is>
          <t>AgQtbsiNfuaviLF7xzxSQFnfWBDu7ekhkNBStxaRpump</t>
        </is>
      </c>
      <c r="P190" s="16">
        <f>HYPERLINK("https://dexscreener.com/solana/AgQtbsiNfuaviLF7xzxSQFnfWBDu7ekhkNBStxaRpump", "View")</f>
        <v/>
      </c>
    </row>
    <row r="191">
      <c r="A191" s="19" t="inlineStr">
        <is>
          <t>CTG</t>
        </is>
      </c>
      <c r="B191" s="20" t="n">
        <v>682655</v>
      </c>
      <c r="C191" s="20" t="n">
        <v>636917</v>
      </c>
      <c r="D191" s="20" t="inlineStr">
        <is>
          <t>0.001610</t>
        </is>
      </c>
      <c r="E191" s="20" t="inlineStr">
        <is>
          <t>1.000 SOL</t>
        </is>
      </c>
      <c r="F191" s="20" t="inlineStr">
        <is>
          <t>1.530 SOL</t>
        </is>
      </c>
      <c r="G191" s="23" t="inlineStr">
        <is>
          <t>0.528 SOL</t>
        </is>
      </c>
      <c r="H191" s="23" t="inlineStr">
        <is>
          <t>52.74%</t>
        </is>
      </c>
      <c r="I191" s="20" t="inlineStr">
        <is>
          <t>N/A</t>
        </is>
      </c>
      <c r="J191" s="20" t="n">
        <v>1</v>
      </c>
      <c r="K191" s="20" t="n">
        <v>2</v>
      </c>
      <c r="L191" s="20" t="inlineStr">
        <is>
          <t>19.10.2024 02:46:11</t>
        </is>
      </c>
      <c r="M191" s="20" t="inlineStr">
        <is>
          <t>1 hours</t>
        </is>
      </c>
      <c r="N191" s="20" t="inlineStr">
        <is>
          <t xml:space="preserve">        256K           824K             7K</t>
        </is>
      </c>
      <c r="O191" s="20" t="inlineStr">
        <is>
          <t>BfUfnLMCNwKYamhJXzaxgUmFjrGFHdkjRLAxeaxqpump</t>
        </is>
      </c>
      <c r="P191" s="20">
        <f>HYPERLINK("https://dexscreener.com/solana/BfUfnLMCNwKYamhJXzaxgUmFjrGFHdkjRLAxeaxqpump", "View")</f>
        <v/>
      </c>
    </row>
    <row r="192">
      <c r="A192" s="15" t="inlineStr">
        <is>
          <t>Suiman</t>
        </is>
      </c>
      <c r="B192" s="16" t="n">
        <v>514</v>
      </c>
      <c r="C192" s="16" t="n">
        <v>0</v>
      </c>
      <c r="D192" s="16" t="inlineStr">
        <is>
          <t>0.000600</t>
        </is>
      </c>
      <c r="E192" s="16" t="inlineStr">
        <is>
          <t>1.000 SOL</t>
        </is>
      </c>
      <c r="F192" s="16" t="inlineStr">
        <is>
          <t>0.000 SOL</t>
        </is>
      </c>
      <c r="G192" s="17" t="inlineStr">
        <is>
          <t>-1.001 SOL</t>
        </is>
      </c>
      <c r="H192" s="17" t="inlineStr">
        <is>
          <t>0.00%</t>
        </is>
      </c>
      <c r="I192" s="16" t="inlineStr">
        <is>
          <t>514</t>
        </is>
      </c>
      <c r="J192" s="16" t="n">
        <v>1</v>
      </c>
      <c r="K192" s="16" t="n">
        <v>0</v>
      </c>
      <c r="L192" s="16" t="inlineStr">
        <is>
          <t>19.10.2024 02:24:19</t>
        </is>
      </c>
      <c r="M192" s="18" t="inlineStr">
        <is>
          <t>0 sec</t>
        </is>
      </c>
      <c r="N192" s="16" t="inlineStr">
        <is>
          <t xml:space="preserve">        199M           199M             46</t>
        </is>
      </c>
      <c r="O192" s="16" t="inlineStr">
        <is>
          <t>AdNys9Un2czgmEpxJJSWnJxic7EXtzbxAxQ9ByBGpump</t>
        </is>
      </c>
      <c r="P192" s="16">
        <f>HYPERLINK("https://dexscreener.com/solana/AdNys9Un2czgmEpxJJSWnJxic7EXtzbxAxQ9ByBGpump", "View")</f>
        <v/>
      </c>
    </row>
    <row r="193">
      <c r="A193" s="19" t="inlineStr">
        <is>
          <t>AI</t>
        </is>
      </c>
      <c r="B193" s="20" t="n">
        <v>1235116</v>
      </c>
      <c r="C193" s="20" t="n">
        <v>1111604</v>
      </c>
      <c r="D193" s="20" t="inlineStr">
        <is>
          <t>0.001110</t>
        </is>
      </c>
      <c r="E193" s="20" t="inlineStr">
        <is>
          <t>1.000 SOL</t>
        </is>
      </c>
      <c r="F193" s="20" t="inlineStr">
        <is>
          <t>0.557 SOL</t>
        </is>
      </c>
      <c r="G193" s="21" t="inlineStr">
        <is>
          <t>-0.444 SOL</t>
        </is>
      </c>
      <c r="H193" s="21" t="inlineStr">
        <is>
          <t>-44.36%</t>
        </is>
      </c>
      <c r="I193" s="20" t="inlineStr">
        <is>
          <t>N/A</t>
        </is>
      </c>
      <c r="J193" s="20" t="n">
        <v>1</v>
      </c>
      <c r="K193" s="20" t="n">
        <v>1</v>
      </c>
      <c r="L193" s="20" t="inlineStr">
        <is>
          <t>19.10.2024 02:00:20</t>
        </is>
      </c>
      <c r="M193" s="20" t="inlineStr">
        <is>
          <t>24 min</t>
        </is>
      </c>
      <c r="N193" s="20" t="inlineStr">
        <is>
          <t xml:space="preserve">        142K            88K             8K</t>
        </is>
      </c>
      <c r="O193" s="20" t="inlineStr">
        <is>
          <t>9gxfYASoTq3RMejwrdpNBNzN1Af8Pn1jsWx9w7a4pump</t>
        </is>
      </c>
      <c r="P193" s="20">
        <f>HYPERLINK("https://dexscreener.com/solana/9gxfYASoTq3RMejwrdpNBNzN1Af8Pn1jsWx9w7a4pump", "View")</f>
        <v/>
      </c>
    </row>
    <row r="194">
      <c r="A194" s="15" t="inlineStr">
        <is>
          <t>AirheadFun</t>
        </is>
      </c>
      <c r="B194" s="16" t="n">
        <v>457589</v>
      </c>
      <c r="C194" s="16" t="n">
        <v>0</v>
      </c>
      <c r="D194" s="16" t="inlineStr">
        <is>
          <t>0.000600</t>
        </is>
      </c>
      <c r="E194" s="16" t="inlineStr">
        <is>
          <t>1.000 SOL</t>
        </is>
      </c>
      <c r="F194" s="16" t="inlineStr">
        <is>
          <t>0.000 SOL</t>
        </is>
      </c>
      <c r="G194" s="17" t="inlineStr">
        <is>
          <t>-1.001 SOL</t>
        </is>
      </c>
      <c r="H194" s="17" t="inlineStr">
        <is>
          <t>0.00%</t>
        </is>
      </c>
      <c r="I194" s="16" t="inlineStr">
        <is>
          <t>457,589</t>
        </is>
      </c>
      <c r="J194" s="16" t="n">
        <v>1</v>
      </c>
      <c r="K194" s="16" t="n">
        <v>0</v>
      </c>
      <c r="L194" s="16" t="inlineStr">
        <is>
          <t>19.10.2024 01:57:34</t>
        </is>
      </c>
      <c r="M194" s="18" t="inlineStr">
        <is>
          <t>0 sec</t>
        </is>
      </c>
      <c r="N194" s="16" t="inlineStr">
        <is>
          <t xml:space="preserve">        384K           384K             7K</t>
        </is>
      </c>
      <c r="O194" s="16" t="inlineStr">
        <is>
          <t>FCGDDio5DuhujHcRQCDbXHnrcSA4pUGg2haNt7S2pump</t>
        </is>
      </c>
      <c r="P194" s="16">
        <f>HYPERLINK("https://dexscreener.com/solana/FCGDDio5DuhujHcRQCDbXHnrcSA4pUGg2haNt7S2pump", "View")</f>
        <v/>
      </c>
    </row>
    <row r="195">
      <c r="A195" s="19" t="inlineStr">
        <is>
          <t>CLANKER</t>
        </is>
      </c>
      <c r="B195" s="20" t="n">
        <v>100102</v>
      </c>
      <c r="C195" s="20" t="n">
        <v>66567</v>
      </c>
      <c r="D195" s="20" t="inlineStr">
        <is>
          <t>0.001610</t>
        </is>
      </c>
      <c r="E195" s="20" t="inlineStr">
        <is>
          <t>1.000 SOL</t>
        </is>
      </c>
      <c r="F195" s="20" t="inlineStr">
        <is>
          <t>1.149 SOL</t>
        </is>
      </c>
      <c r="G195" s="22" t="inlineStr">
        <is>
          <t>0.148 SOL</t>
        </is>
      </c>
      <c r="H195" s="22" t="inlineStr">
        <is>
          <t>14.73%</t>
        </is>
      </c>
      <c r="I195" s="20" t="inlineStr">
        <is>
          <t>N/A</t>
        </is>
      </c>
      <c r="J195" s="20" t="n">
        <v>1</v>
      </c>
      <c r="K195" s="20" t="n">
        <v>2</v>
      </c>
      <c r="L195" s="20" t="inlineStr">
        <is>
          <t>19.10.2024 01:50:34</t>
        </is>
      </c>
      <c r="M195" s="20" t="inlineStr">
        <is>
          <t>2 days</t>
        </is>
      </c>
      <c r="N195" s="20" t="inlineStr">
        <is>
          <t xml:space="preserve">          2M             2M             3M</t>
        </is>
      </c>
      <c r="O195" s="20" t="inlineStr">
        <is>
          <t>3qq54YqAKG3TcrwNHXFSpMCWoL8gmMuPceJ4FG9npump</t>
        </is>
      </c>
      <c r="P195" s="20">
        <f>HYPERLINK("https://dexscreener.com/solana/3qq54YqAKG3TcrwNHXFSpMCWoL8gmMuPceJ4FG9npump", "View")</f>
        <v/>
      </c>
    </row>
    <row r="196">
      <c r="A196" s="15" t="inlineStr">
        <is>
          <t>BwO</t>
        </is>
      </c>
      <c r="B196" s="16" t="n">
        <v>511488</v>
      </c>
      <c r="C196" s="16" t="n">
        <v>460339</v>
      </c>
      <c r="D196" s="16" t="inlineStr">
        <is>
          <t>0.001110</t>
        </is>
      </c>
      <c r="E196" s="16" t="inlineStr">
        <is>
          <t>1.000 SOL</t>
        </is>
      </c>
      <c r="F196" s="16" t="inlineStr">
        <is>
          <t>0.274 SOL</t>
        </is>
      </c>
      <c r="G196" s="24" t="inlineStr">
        <is>
          <t>-0.727 SOL</t>
        </is>
      </c>
      <c r="H196" s="24" t="inlineStr">
        <is>
          <t>-72.63%</t>
        </is>
      </c>
      <c r="I196" s="16" t="inlineStr">
        <is>
          <t>N/A</t>
        </is>
      </c>
      <c r="J196" s="16" t="n">
        <v>1</v>
      </c>
      <c r="K196" s="16" t="n">
        <v>1</v>
      </c>
      <c r="L196" s="16" t="inlineStr">
        <is>
          <t>19.10.2024 01:17:10</t>
        </is>
      </c>
      <c r="M196" s="16" t="inlineStr">
        <is>
          <t>43 min</t>
        </is>
      </c>
      <c r="N196" s="16" t="inlineStr">
        <is>
          <t xml:space="preserve">        344K           105K             8K</t>
        </is>
      </c>
      <c r="O196" s="16" t="inlineStr">
        <is>
          <t>5SGt7iwPqxLYrsQiCcUpN3NASstzpsjwAutuPV2Tpump</t>
        </is>
      </c>
      <c r="P196" s="16">
        <f>HYPERLINK("https://dexscreener.com/solana/5SGt7iwPqxLYrsQiCcUpN3NASstzpsjwAutuPV2Tpump", "View")</f>
        <v/>
      </c>
    </row>
    <row r="197">
      <c r="A197" s="19" t="inlineStr">
        <is>
          <t>STAR</t>
        </is>
      </c>
      <c r="B197" s="20" t="n">
        <v>554726</v>
      </c>
      <c r="C197" s="20" t="n">
        <v>499253</v>
      </c>
      <c r="D197" s="20" t="inlineStr">
        <is>
          <t>0.001110</t>
        </is>
      </c>
      <c r="E197" s="20" t="inlineStr">
        <is>
          <t>1.000 SOL</t>
        </is>
      </c>
      <c r="F197" s="20" t="inlineStr">
        <is>
          <t>0.227 SOL</t>
        </is>
      </c>
      <c r="G197" s="24" t="inlineStr">
        <is>
          <t>-0.774 SOL</t>
        </is>
      </c>
      <c r="H197" s="24" t="inlineStr">
        <is>
          <t>-77.35%</t>
        </is>
      </c>
      <c r="I197" s="20" t="inlineStr">
        <is>
          <t>N/A</t>
        </is>
      </c>
      <c r="J197" s="20" t="n">
        <v>1</v>
      </c>
      <c r="K197" s="20" t="n">
        <v>1</v>
      </c>
      <c r="L197" s="20" t="inlineStr">
        <is>
          <t>19.10.2024 01:04:09</t>
        </is>
      </c>
      <c r="M197" s="20" t="inlineStr">
        <is>
          <t>3 hours</t>
        </is>
      </c>
      <c r="N197" s="20" t="inlineStr">
        <is>
          <t xml:space="preserve">        316K           316K             6K</t>
        </is>
      </c>
      <c r="O197" s="20" t="inlineStr">
        <is>
          <t>6cLLXCTW48EdneJKWhc7vzE4VB3XMcJVEjsocQRHpump</t>
        </is>
      </c>
      <c r="P197" s="20">
        <f>HYPERLINK("https://dexscreener.com/solana/6cLLXCTW48EdneJKWhc7vzE4VB3XMcJVEjsocQRHpump", "View")</f>
        <v/>
      </c>
    </row>
    <row r="198">
      <c r="A198" s="15" t="inlineStr">
        <is>
          <t>Taylor</t>
        </is>
      </c>
      <c r="B198" s="16" t="n">
        <v>1029907</v>
      </c>
      <c r="C198" s="16" t="n">
        <v>914324</v>
      </c>
      <c r="D198" s="16" t="inlineStr">
        <is>
          <t>0.002620</t>
        </is>
      </c>
      <c r="E198" s="16" t="inlineStr">
        <is>
          <t>1.000 SOL</t>
        </is>
      </c>
      <c r="F198" s="16" t="inlineStr">
        <is>
          <t>8.329 SOL</t>
        </is>
      </c>
      <c r="G198" s="23" t="inlineStr">
        <is>
          <t>7.326 SOL</t>
        </is>
      </c>
      <c r="H198" s="23" t="inlineStr">
        <is>
          <t>730.71%</t>
        </is>
      </c>
      <c r="I198" s="16" t="inlineStr">
        <is>
          <t>N/A</t>
        </is>
      </c>
      <c r="J198" s="16" t="n">
        <v>1</v>
      </c>
      <c r="K198" s="16" t="n">
        <v>4</v>
      </c>
      <c r="L198" s="16" t="inlineStr">
        <is>
          <t>19.10.2024 01:02:24</t>
        </is>
      </c>
      <c r="M198" s="16" t="inlineStr">
        <is>
          <t>2 days</t>
        </is>
      </c>
      <c r="N198" s="16" t="inlineStr">
        <is>
          <t xml:space="preserve">        170K           170K            52K</t>
        </is>
      </c>
      <c r="O198" s="16" t="inlineStr">
        <is>
          <t>umgcPr2uQHzmCerCu6kSPBiaUdMWZewRRQmQ54Apump</t>
        </is>
      </c>
      <c r="P198" s="16">
        <f>HYPERLINK("https://dexscreener.com/solana/umgcPr2uQHzmCerCu6kSPBiaUdMWZewRRQmQ54Apump", "View")</f>
        <v/>
      </c>
    </row>
    <row r="199">
      <c r="A199" s="19" t="inlineStr">
        <is>
          <t>AUTER</t>
        </is>
      </c>
      <c r="B199" s="20" t="n">
        <v>143791</v>
      </c>
      <c r="C199" s="20" t="n">
        <v>0</v>
      </c>
      <c r="D199" s="20" t="inlineStr">
        <is>
          <t>0.000600</t>
        </is>
      </c>
      <c r="E199" s="20" t="inlineStr">
        <is>
          <t>1.000 SOL</t>
        </is>
      </c>
      <c r="F199" s="20" t="inlineStr">
        <is>
          <t>0.000 SOL</t>
        </is>
      </c>
      <c r="G199" s="17" t="inlineStr">
        <is>
          <t>-1.001 SOL</t>
        </is>
      </c>
      <c r="H199" s="17" t="inlineStr">
        <is>
          <t>0.00%</t>
        </is>
      </c>
      <c r="I199" s="20" t="inlineStr">
        <is>
          <t>143,791</t>
        </is>
      </c>
      <c r="J199" s="20" t="n">
        <v>1</v>
      </c>
      <c r="K199" s="20" t="n">
        <v>0</v>
      </c>
      <c r="L199" s="20" t="inlineStr">
        <is>
          <t>19.10.2024 00:48:20</t>
        </is>
      </c>
      <c r="M199" s="18" t="inlineStr">
        <is>
          <t>0 sec</t>
        </is>
      </c>
      <c r="N199" s="20" t="inlineStr">
        <is>
          <t xml:space="preserve">          1M             1M            14K</t>
        </is>
      </c>
      <c r="O199" s="20" t="inlineStr">
        <is>
          <t>NmpfpJ7s7UBA4dLbrHVe8utkZqGjCEf2w552uZ5pump</t>
        </is>
      </c>
      <c r="P199" s="20">
        <f>HYPERLINK("https://dexscreener.com/solana/NmpfpJ7s7UBA4dLbrHVe8utkZqGjCEf2w552uZ5pump", "View")</f>
        <v/>
      </c>
    </row>
    <row r="200">
      <c r="A200" s="15" t="inlineStr">
        <is>
          <t>YOBBY</t>
        </is>
      </c>
      <c r="B200" s="16" t="n">
        <v>1522399</v>
      </c>
      <c r="C200" s="16" t="n">
        <v>1370158</v>
      </c>
      <c r="D200" s="16" t="inlineStr">
        <is>
          <t>0.001110</t>
        </is>
      </c>
      <c r="E200" s="16" t="inlineStr">
        <is>
          <t>1.000 SOL</t>
        </is>
      </c>
      <c r="F200" s="16" t="inlineStr">
        <is>
          <t>0.172 SOL</t>
        </is>
      </c>
      <c r="G200" s="24" t="inlineStr">
        <is>
          <t>-0.829 SOL</t>
        </is>
      </c>
      <c r="H200" s="24" t="inlineStr">
        <is>
          <t>-82.85%</t>
        </is>
      </c>
      <c r="I200" s="16" t="inlineStr">
        <is>
          <t>N/A</t>
        </is>
      </c>
      <c r="J200" s="16" t="n">
        <v>1</v>
      </c>
      <c r="K200" s="16" t="n">
        <v>1</v>
      </c>
      <c r="L200" s="16" t="inlineStr">
        <is>
          <t>19.10.2024 00:44:16</t>
        </is>
      </c>
      <c r="M200" s="16" t="inlineStr">
        <is>
          <t>1 hours</t>
        </is>
      </c>
      <c r="N200" s="16" t="inlineStr">
        <is>
          <t xml:space="preserve">        116K           116K             5K</t>
        </is>
      </c>
      <c r="O200" s="16" t="inlineStr">
        <is>
          <t>BEEDc4Stve62qB8zNad6kkEdEHFVB44xAEVQpvypump</t>
        </is>
      </c>
      <c r="P200" s="16">
        <f>HYPERLINK("https://dexscreener.com/solana/BEEDc4Stve62qB8zNad6kkEdEHFVB44xAEVQpvypump", "View")</f>
        <v/>
      </c>
    </row>
    <row r="201">
      <c r="A201" s="19" t="inlineStr">
        <is>
          <t>NEURAL</t>
        </is>
      </c>
      <c r="B201" s="20" t="n">
        <v>3043383</v>
      </c>
      <c r="C201" s="20" t="n">
        <v>2739044</v>
      </c>
      <c r="D201" s="20" t="inlineStr">
        <is>
          <t>0.001110</t>
        </is>
      </c>
      <c r="E201" s="20" t="inlineStr">
        <is>
          <t>1.000 SOL</t>
        </is>
      </c>
      <c r="F201" s="20" t="inlineStr">
        <is>
          <t>0.183 SOL</t>
        </is>
      </c>
      <c r="G201" s="24" t="inlineStr">
        <is>
          <t>-0.818 SOL</t>
        </is>
      </c>
      <c r="H201" s="24" t="inlineStr">
        <is>
          <t>-81.68%</t>
        </is>
      </c>
      <c r="I201" s="20" t="inlineStr">
        <is>
          <t>N/A</t>
        </is>
      </c>
      <c r="J201" s="20" t="n">
        <v>1</v>
      </c>
      <c r="K201" s="20" t="n">
        <v>1</v>
      </c>
      <c r="L201" s="20" t="inlineStr">
        <is>
          <t>18.10.2024 22:16:15</t>
        </is>
      </c>
      <c r="M201" s="20" t="inlineStr">
        <is>
          <t>33 min</t>
        </is>
      </c>
      <c r="N201" s="20" t="inlineStr">
        <is>
          <t xml:space="preserve">         58K            12K             4K</t>
        </is>
      </c>
      <c r="O201" s="20" t="inlineStr">
        <is>
          <t>ErRwWvxh6iEszet5ahmypjRTcQHyX4GDn7zGEukMpump</t>
        </is>
      </c>
      <c r="P201" s="20">
        <f>HYPERLINK("https://dexscreener.com/solana/ErRwWvxh6iEszet5ahmypjRTcQHyX4GDn7zGEukMpump", "View")</f>
        <v/>
      </c>
    </row>
    <row r="202">
      <c r="A202" s="15" t="inlineStr">
        <is>
          <t>SOS</t>
        </is>
      </c>
      <c r="B202" s="16" t="n">
        <v>380379</v>
      </c>
      <c r="C202" s="16" t="n">
        <v>342340</v>
      </c>
      <c r="D202" s="16" t="inlineStr">
        <is>
          <t>0.001110</t>
        </is>
      </c>
      <c r="E202" s="16" t="inlineStr">
        <is>
          <t>1.000 SOL</t>
        </is>
      </c>
      <c r="F202" s="16" t="inlineStr">
        <is>
          <t>0.010 SOL</t>
        </is>
      </c>
      <c r="G202" s="24" t="inlineStr">
        <is>
          <t>-0.992 SOL</t>
        </is>
      </c>
      <c r="H202" s="24" t="inlineStr">
        <is>
          <t>-99.04%</t>
        </is>
      </c>
      <c r="I202" s="16" t="inlineStr">
        <is>
          <t>N/A</t>
        </is>
      </c>
      <c r="J202" s="16" t="n">
        <v>1</v>
      </c>
      <c r="K202" s="16" t="n">
        <v>1</v>
      </c>
      <c r="L202" s="16" t="inlineStr">
        <is>
          <t>18.10.2024 22:05:12</t>
        </is>
      </c>
      <c r="M202" s="16" t="inlineStr">
        <is>
          <t>49 min</t>
        </is>
      </c>
      <c r="N202" s="16" t="inlineStr">
        <is>
          <t xml:space="preserve">        462K           462K             5K</t>
        </is>
      </c>
      <c r="O202" s="16" t="inlineStr">
        <is>
          <t>7J5rZx7BpMWmrVhUAMAHs28DBn7GxSYZZ6dMnLXjpump</t>
        </is>
      </c>
      <c r="P202" s="16">
        <f>HYPERLINK("https://dexscreener.com/solana/7J5rZx7BpMWmrVhUAMAHs28DBn7GxSYZZ6dMnLXjpump", "View")</f>
        <v/>
      </c>
    </row>
    <row r="203">
      <c r="A203" s="19" t="inlineStr">
        <is>
          <t>🤰</t>
        </is>
      </c>
      <c r="B203" s="20" t="n">
        <v>2492285</v>
      </c>
      <c r="C203" s="20" t="n">
        <v>0</v>
      </c>
      <c r="D203" s="20" t="inlineStr">
        <is>
          <t>0.000600</t>
        </is>
      </c>
      <c r="E203" s="20" t="inlineStr">
        <is>
          <t>1.000 SOL</t>
        </is>
      </c>
      <c r="F203" s="20" t="inlineStr">
        <is>
          <t>0.000 SOL</t>
        </is>
      </c>
      <c r="G203" s="17" t="inlineStr">
        <is>
          <t>-1.001 SOL</t>
        </is>
      </c>
      <c r="H203" s="17" t="inlineStr">
        <is>
          <t>0.00%</t>
        </is>
      </c>
      <c r="I203" s="20" t="inlineStr">
        <is>
          <t>2,492,285</t>
        </is>
      </c>
      <c r="J203" s="20" t="n">
        <v>1</v>
      </c>
      <c r="K203" s="20" t="n">
        <v>0</v>
      </c>
      <c r="L203" s="20" t="inlineStr">
        <is>
          <t>18.10.2024 21:54:36</t>
        </is>
      </c>
      <c r="M203" s="18" t="inlineStr">
        <is>
          <t>0 sec</t>
        </is>
      </c>
      <c r="N203" s="20" t="inlineStr">
        <is>
          <t xml:space="preserve">         70K            70K            14K</t>
        </is>
      </c>
      <c r="O203" s="20" t="inlineStr">
        <is>
          <t>BqudbvgHFdeTvPCv9Y1G9TGKwgrskP4izfkv5SFpump</t>
        </is>
      </c>
      <c r="P203" s="20">
        <f>HYPERLINK("https://dexscreener.com/solana/BqudbvgHFdeTvPCv9Y1G9TGKwgrskP4izfkv5SFpump", "View")</f>
        <v/>
      </c>
    </row>
    <row r="204">
      <c r="A204" s="15" t="inlineStr">
        <is>
          <t>ivy</t>
        </is>
      </c>
      <c r="B204" s="16" t="n">
        <v>1364899</v>
      </c>
      <c r="C204" s="16" t="n">
        <v>0</v>
      </c>
      <c r="D204" s="16" t="inlineStr">
        <is>
          <t>0.000600</t>
        </is>
      </c>
      <c r="E204" s="16" t="inlineStr">
        <is>
          <t>1.000 SOL</t>
        </is>
      </c>
      <c r="F204" s="16" t="inlineStr">
        <is>
          <t>0.000 SOL</t>
        </is>
      </c>
      <c r="G204" s="17" t="inlineStr">
        <is>
          <t>-1.001 SOL</t>
        </is>
      </c>
      <c r="H204" s="17" t="inlineStr">
        <is>
          <t>0.00%</t>
        </is>
      </c>
      <c r="I204" s="16" t="inlineStr">
        <is>
          <t>1,364,899</t>
        </is>
      </c>
      <c r="J204" s="16" t="n">
        <v>1</v>
      </c>
      <c r="K204" s="16" t="n">
        <v>0</v>
      </c>
      <c r="L204" s="16" t="inlineStr">
        <is>
          <t>18.10.2024 21:24:21</t>
        </is>
      </c>
      <c r="M204" s="18" t="inlineStr">
        <is>
          <t>0 sec</t>
        </is>
      </c>
      <c r="N204" s="16" t="inlineStr">
        <is>
          <t xml:space="preserve">        128K           128K             4K</t>
        </is>
      </c>
      <c r="O204" s="16" t="inlineStr">
        <is>
          <t>6URDrfkefQRVyNuvjA5R2Z24jQ8eE9MesKVZb73qpump</t>
        </is>
      </c>
      <c r="P204" s="16">
        <f>HYPERLINK("https://dexscreener.com/solana/6URDrfkefQRVyNuvjA5R2Z24jQ8eE9MesKVZb73qpump", "View")</f>
        <v/>
      </c>
    </row>
    <row r="205">
      <c r="A205" s="19" t="inlineStr">
        <is>
          <t>bees</t>
        </is>
      </c>
      <c r="B205" s="20" t="n">
        <v>377091</v>
      </c>
      <c r="C205" s="20" t="n">
        <v>339382</v>
      </c>
      <c r="D205" s="20" t="inlineStr">
        <is>
          <t>0.001110</t>
        </is>
      </c>
      <c r="E205" s="20" t="inlineStr">
        <is>
          <t>1.000 SOL</t>
        </is>
      </c>
      <c r="F205" s="20" t="inlineStr">
        <is>
          <t>0.246 SOL</t>
        </is>
      </c>
      <c r="G205" s="24" t="inlineStr">
        <is>
          <t>-0.756 SOL</t>
        </is>
      </c>
      <c r="H205" s="24" t="inlineStr">
        <is>
          <t>-75.47%</t>
        </is>
      </c>
      <c r="I205" s="20" t="inlineStr">
        <is>
          <t>N/A</t>
        </is>
      </c>
      <c r="J205" s="20" t="n">
        <v>1</v>
      </c>
      <c r="K205" s="20" t="n">
        <v>1</v>
      </c>
      <c r="L205" s="20" t="inlineStr">
        <is>
          <t>18.10.2024 19:13:16</t>
        </is>
      </c>
      <c r="M205" s="20" t="inlineStr">
        <is>
          <t>6 min</t>
        </is>
      </c>
      <c r="N205" s="20" t="inlineStr">
        <is>
          <t xml:space="preserve">        465K           465K            11K</t>
        </is>
      </c>
      <c r="O205" s="20" t="inlineStr">
        <is>
          <t>DCrPFBDZBVdVaiu98Jr9woaPRT5BUqZwSNr9Chdgpump</t>
        </is>
      </c>
      <c r="P205" s="20">
        <f>HYPERLINK("https://dexscreener.com/solana/DCrPFBDZBVdVaiu98Jr9woaPRT5BUqZwSNr9Chdgpump", "View")</f>
        <v/>
      </c>
    </row>
    <row r="206">
      <c r="A206" s="15" t="inlineStr">
        <is>
          <t>NORVID</t>
        </is>
      </c>
      <c r="B206" s="16" t="n">
        <v>2850548</v>
      </c>
      <c r="C206" s="16" t="n">
        <v>0</v>
      </c>
      <c r="D206" s="16" t="inlineStr">
        <is>
          <t>0.000600</t>
        </is>
      </c>
      <c r="E206" s="16" t="inlineStr">
        <is>
          <t>1.000 SOL</t>
        </is>
      </c>
      <c r="F206" s="16" t="inlineStr">
        <is>
          <t>0.000 SOL</t>
        </is>
      </c>
      <c r="G206" s="17" t="inlineStr">
        <is>
          <t>-1.001 SOL</t>
        </is>
      </c>
      <c r="H206" s="17" t="inlineStr">
        <is>
          <t>0.00%</t>
        </is>
      </c>
      <c r="I206" s="16" t="inlineStr">
        <is>
          <t>2,850,548</t>
        </is>
      </c>
      <c r="J206" s="16" t="n">
        <v>1</v>
      </c>
      <c r="K206" s="16" t="n">
        <v>0</v>
      </c>
      <c r="L206" s="16" t="inlineStr">
        <is>
          <t>18.10.2024 18:22:09</t>
        </is>
      </c>
      <c r="M206" s="18" t="inlineStr">
        <is>
          <t>0 sec</t>
        </is>
      </c>
      <c r="N206" s="16" t="inlineStr">
        <is>
          <t xml:space="preserve">         61K            61K             9K</t>
        </is>
      </c>
      <c r="O206" s="16" t="inlineStr">
        <is>
          <t>5bMiFxQUwqex6d4QEQB5LJfEK8B3fV1DVr7PADnupump</t>
        </is>
      </c>
      <c r="P206" s="16">
        <f>HYPERLINK("https://dexscreener.com/solana/5bMiFxQUwqex6d4QEQB5LJfEK8B3fV1DVr7PADnupump", "View")</f>
        <v/>
      </c>
    </row>
    <row r="207">
      <c r="A207" s="19" t="inlineStr">
        <is>
          <t>$Waifu</t>
        </is>
      </c>
      <c r="B207" s="20" t="n">
        <v>1239636</v>
      </c>
      <c r="C207" s="20" t="n">
        <v>1135816</v>
      </c>
      <c r="D207" s="20" t="inlineStr">
        <is>
          <t>0.007030</t>
        </is>
      </c>
      <c r="E207" s="20" t="inlineStr">
        <is>
          <t>0.998 SOL</t>
        </is>
      </c>
      <c r="F207" s="20" t="inlineStr">
        <is>
          <t>7.151 SOL</t>
        </is>
      </c>
      <c r="G207" s="23" t="inlineStr">
        <is>
          <t>6.146 SOL</t>
        </is>
      </c>
      <c r="H207" s="23" t="inlineStr">
        <is>
          <t>611.56%</t>
        </is>
      </c>
      <c r="I207" s="20" t="inlineStr">
        <is>
          <t>N/A</t>
        </is>
      </c>
      <c r="J207" s="20" t="n">
        <v>1</v>
      </c>
      <c r="K207" s="20" t="n">
        <v>4</v>
      </c>
      <c r="L207" s="20" t="inlineStr">
        <is>
          <t>18.10.2024 16:20:42</t>
        </is>
      </c>
      <c r="M207" s="20" t="inlineStr">
        <is>
          <t>3 days</t>
        </is>
      </c>
      <c r="N207" s="20" t="inlineStr">
        <is>
          <t xml:space="preserve">        142K           142K           109K</t>
        </is>
      </c>
      <c r="O207" s="20" t="inlineStr">
        <is>
          <t>3gqBzYggchmzxCBq5v4BGT4TfmZcm8agsaRqv8bkpump</t>
        </is>
      </c>
      <c r="P207" s="20">
        <f>HYPERLINK("https://dexscreener.com/solana/3gqBzYggchmzxCBq5v4BGT4TfmZcm8agsaRqv8bkpump", "View")</f>
        <v/>
      </c>
    </row>
    <row r="208">
      <c r="A208" s="15" t="inlineStr">
        <is>
          <t>BUNNY</t>
        </is>
      </c>
      <c r="B208" s="16" t="n">
        <v>50999</v>
      </c>
      <c r="C208" s="16" t="n">
        <v>45899</v>
      </c>
      <c r="D208" s="16" t="inlineStr">
        <is>
          <t>0.001110</t>
        </is>
      </c>
      <c r="E208" s="16" t="inlineStr">
        <is>
          <t>1.000 SOL</t>
        </is>
      </c>
      <c r="F208" s="16" t="inlineStr">
        <is>
          <t>0.182 SOL</t>
        </is>
      </c>
      <c r="G208" s="24" t="inlineStr">
        <is>
          <t>-0.819 SOL</t>
        </is>
      </c>
      <c r="H208" s="24" t="inlineStr">
        <is>
          <t>-81.80%</t>
        </is>
      </c>
      <c r="I208" s="16" t="inlineStr">
        <is>
          <t>N/A</t>
        </is>
      </c>
      <c r="J208" s="16" t="n">
        <v>1</v>
      </c>
      <c r="K208" s="16" t="n">
        <v>1</v>
      </c>
      <c r="L208" s="16" t="inlineStr">
        <is>
          <t>18.10.2024 15:58:25</t>
        </is>
      </c>
      <c r="M208" s="16" t="inlineStr">
        <is>
          <t>1 hours</t>
        </is>
      </c>
      <c r="N208" s="16" t="inlineStr">
        <is>
          <t xml:space="preserve">         34K            34K             2K</t>
        </is>
      </c>
      <c r="O208" s="16" t="inlineStr">
        <is>
          <t>6B5ukkLoUPqoXoz7UMD9jJUFazU7neSwgrkEK7LfvvGh</t>
        </is>
      </c>
      <c r="P208" s="16">
        <f>HYPERLINK("https://dexscreener.com/solana/6B5ukkLoUPqoXoz7UMD9jJUFazU7neSwgrkEK7LfvvGh", "View")</f>
        <v/>
      </c>
    </row>
    <row r="209">
      <c r="A209" s="19" t="inlineStr">
        <is>
          <t>exOS</t>
        </is>
      </c>
      <c r="B209" s="20" t="n">
        <v>3074153</v>
      </c>
      <c r="C209" s="20" t="n">
        <v>2766738</v>
      </c>
      <c r="D209" s="20" t="inlineStr">
        <is>
          <t>0.001110</t>
        </is>
      </c>
      <c r="E209" s="20" t="inlineStr">
        <is>
          <t>1.000 SOL</t>
        </is>
      </c>
      <c r="F209" s="20" t="inlineStr">
        <is>
          <t>0.197 SOL</t>
        </is>
      </c>
      <c r="G209" s="24" t="inlineStr">
        <is>
          <t>-0.804 SOL</t>
        </is>
      </c>
      <c r="H209" s="24" t="inlineStr">
        <is>
          <t>-80.32%</t>
        </is>
      </c>
      <c r="I209" s="20" t="inlineStr">
        <is>
          <t>N/A</t>
        </is>
      </c>
      <c r="J209" s="20" t="n">
        <v>1</v>
      </c>
      <c r="K209" s="20" t="n">
        <v>1</v>
      </c>
      <c r="L209" s="20" t="inlineStr">
        <is>
          <t>18.10.2024 14:04:24</t>
        </is>
      </c>
      <c r="M209" s="20" t="inlineStr">
        <is>
          <t>9 min</t>
        </is>
      </c>
      <c r="N209" s="20" t="inlineStr">
        <is>
          <t xml:space="preserve">         58K            12K             6K</t>
        </is>
      </c>
      <c r="O209" s="20" t="inlineStr">
        <is>
          <t>vG552RpYUsGyo5C8B1NewkTgnjQCTE2vSyFaLgkpump</t>
        </is>
      </c>
      <c r="P209" s="20">
        <f>HYPERLINK("https://dexscreener.com/solana/vG552RpYUsGyo5C8B1NewkTgnjQCTE2vSyFaLgkpump", "View")</f>
        <v/>
      </c>
    </row>
    <row r="210">
      <c r="A210" s="15" t="inlineStr">
        <is>
          <t>KABOSU</t>
        </is>
      </c>
      <c r="B210" s="16" t="n">
        <v>3676</v>
      </c>
      <c r="C210" s="16" t="n">
        <v>1212</v>
      </c>
      <c r="D210" s="16" t="inlineStr">
        <is>
          <t>0.001110</t>
        </is>
      </c>
      <c r="E210" s="16" t="inlineStr">
        <is>
          <t>1.000 SOL</t>
        </is>
      </c>
      <c r="F210" s="16" t="inlineStr">
        <is>
          <t>1.189 SOL</t>
        </is>
      </c>
      <c r="G210" s="22" t="inlineStr">
        <is>
          <t>0.188 SOL</t>
        </is>
      </c>
      <c r="H210" s="22" t="inlineStr">
        <is>
          <t>18.75%</t>
        </is>
      </c>
      <c r="I210" s="16" t="inlineStr">
        <is>
          <t>N/A</t>
        </is>
      </c>
      <c r="J210" s="16" t="n">
        <v>1</v>
      </c>
      <c r="K210" s="16" t="n">
        <v>1</v>
      </c>
      <c r="L210" s="16" t="inlineStr">
        <is>
          <t>18.10.2024 12:23:09</t>
        </is>
      </c>
      <c r="M210" s="16" t="inlineStr">
        <is>
          <t>15 hours</t>
        </is>
      </c>
      <c r="N210" s="16" t="inlineStr">
        <is>
          <t xml:space="preserve">        472K           472K            30K</t>
        </is>
      </c>
      <c r="O210" s="16" t="inlineStr">
        <is>
          <t>92EcDYWSA9YRhtmPWzUFqPyzDfkjF7AkF8AxVJt5LXYM</t>
        </is>
      </c>
      <c r="P210" s="16">
        <f>HYPERLINK("https://dexscreener.com/solana/92EcDYWSA9YRhtmPWzUFqPyzDfkjF7AkF8AxVJt5LXYM", "View")</f>
        <v/>
      </c>
    </row>
    <row r="211">
      <c r="A211" s="19" t="inlineStr">
        <is>
          <t>SYDNEY</t>
        </is>
      </c>
      <c r="B211" s="20" t="n">
        <v>77658</v>
      </c>
      <c r="C211" s="20" t="n">
        <v>42797</v>
      </c>
      <c r="D211" s="20" t="inlineStr">
        <is>
          <t>0.001610</t>
        </is>
      </c>
      <c r="E211" s="20" t="inlineStr">
        <is>
          <t>1.000 SOL</t>
        </is>
      </c>
      <c r="F211" s="20" t="inlineStr">
        <is>
          <t>2.597 SOL</t>
        </is>
      </c>
      <c r="G211" s="23" t="inlineStr">
        <is>
          <t>1.595 SOL</t>
        </is>
      </c>
      <c r="H211" s="23" t="inlineStr">
        <is>
          <t>159.29%</t>
        </is>
      </c>
      <c r="I211" s="20" t="inlineStr">
        <is>
          <t>N/A</t>
        </is>
      </c>
      <c r="J211" s="20" t="n">
        <v>1</v>
      </c>
      <c r="K211" s="20" t="n">
        <v>2</v>
      </c>
      <c r="L211" s="20" t="inlineStr">
        <is>
          <t>18.10.2024 12:20:19</t>
        </is>
      </c>
      <c r="M211" s="20" t="inlineStr">
        <is>
          <t>22 hours</t>
        </is>
      </c>
      <c r="N211" s="20" t="inlineStr">
        <is>
          <t xml:space="preserve">          2M             2M           290K</t>
        </is>
      </c>
      <c r="O211" s="20" t="inlineStr">
        <is>
          <t>CUzSRjBvqFFq45mg6j9oyQrDxyUTHEKM2xqKzDkZpump</t>
        </is>
      </c>
      <c r="P211" s="20">
        <f>HYPERLINK("https://dexscreener.com/solana/CUzSRjBvqFFq45mg6j9oyQrDxyUTHEKM2xqKzDkZpump", "View")</f>
        <v/>
      </c>
    </row>
    <row r="212">
      <c r="A212" s="15" t="inlineStr">
        <is>
          <t>TLOT</t>
        </is>
      </c>
      <c r="B212" s="16" t="n">
        <v>2060138</v>
      </c>
      <c r="C212" s="16" t="n">
        <v>1854124</v>
      </c>
      <c r="D212" s="16" t="inlineStr">
        <is>
          <t>0.001110</t>
        </is>
      </c>
      <c r="E212" s="16" t="inlineStr">
        <is>
          <t>1.000 SOL</t>
        </is>
      </c>
      <c r="F212" s="16" t="inlineStr">
        <is>
          <t>0.334 SOL</t>
        </is>
      </c>
      <c r="G212" s="24" t="inlineStr">
        <is>
          <t>-0.668 SOL</t>
        </is>
      </c>
      <c r="H212" s="24" t="inlineStr">
        <is>
          <t>-66.68%</t>
        </is>
      </c>
      <c r="I212" s="16" t="inlineStr">
        <is>
          <t>N/A</t>
        </is>
      </c>
      <c r="J212" s="16" t="n">
        <v>1</v>
      </c>
      <c r="K212" s="16" t="n">
        <v>1</v>
      </c>
      <c r="L212" s="16" t="inlineStr">
        <is>
          <t>18.10.2024 11:43:12</t>
        </is>
      </c>
      <c r="M212" s="16" t="inlineStr">
        <is>
          <t>33 min</t>
        </is>
      </c>
      <c r="N212" s="16" t="inlineStr">
        <is>
          <t xml:space="preserve">         86K            86K             5K</t>
        </is>
      </c>
      <c r="O212" s="16" t="inlineStr">
        <is>
          <t>9qd7AxTtsZSXi86j1BKENFhoA3fPFs8gU89Stu3ipump</t>
        </is>
      </c>
      <c r="P212" s="16">
        <f>HYPERLINK("https://dexscreener.com/solana/9qd7AxTtsZSXi86j1BKENFhoA3fPFs8gU89Stu3ipump", "View")</f>
        <v/>
      </c>
    </row>
    <row r="213">
      <c r="A213" s="19" t="inlineStr">
        <is>
          <t>Pierre</t>
        </is>
      </c>
      <c r="B213" s="20" t="n">
        <v>3453135</v>
      </c>
      <c r="C213" s="20" t="n">
        <v>0</v>
      </c>
      <c r="D213" s="20" t="inlineStr">
        <is>
          <t>0.000600</t>
        </is>
      </c>
      <c r="E213" s="20" t="inlineStr">
        <is>
          <t>1.000 SOL</t>
        </is>
      </c>
      <c r="F213" s="20" t="inlineStr">
        <is>
          <t>0.000 SOL</t>
        </is>
      </c>
      <c r="G213" s="17" t="inlineStr">
        <is>
          <t>-1.001 SOL</t>
        </is>
      </c>
      <c r="H213" s="17" t="inlineStr">
        <is>
          <t>0.00%</t>
        </is>
      </c>
      <c r="I213" s="20" t="inlineStr">
        <is>
          <t>3,453,135</t>
        </is>
      </c>
      <c r="J213" s="20" t="n">
        <v>1</v>
      </c>
      <c r="K213" s="20" t="n">
        <v>0</v>
      </c>
      <c r="L213" s="20" t="inlineStr">
        <is>
          <t>18.10.2024 11:12:23</t>
        </is>
      </c>
      <c r="M213" s="18" t="inlineStr">
        <is>
          <t>0 sec</t>
        </is>
      </c>
      <c r="N213" s="20" t="inlineStr">
        <is>
          <t xml:space="preserve">         51K            51K             5K</t>
        </is>
      </c>
      <c r="O213" s="20" t="inlineStr">
        <is>
          <t>Hmq5xGFTZsP7xpP4XseV7yy6xW7dJNzeaX1oBiZ9pump</t>
        </is>
      </c>
      <c r="P213" s="20">
        <f>HYPERLINK("https://dexscreener.com/solana/Hmq5xGFTZsP7xpP4XseV7yy6xW7dJNzeaX1oBiZ9pump", "View")</f>
        <v/>
      </c>
    </row>
    <row r="214">
      <c r="A214" s="15" t="inlineStr">
        <is>
          <t>cat</t>
        </is>
      </c>
      <c r="B214" s="16" t="n">
        <v>1066277</v>
      </c>
      <c r="C214" s="16" t="n">
        <v>0</v>
      </c>
      <c r="D214" s="16" t="inlineStr">
        <is>
          <t>0.000600</t>
        </is>
      </c>
      <c r="E214" s="16" t="inlineStr">
        <is>
          <t>1.000 SOL</t>
        </is>
      </c>
      <c r="F214" s="16" t="inlineStr">
        <is>
          <t>0.000 SOL</t>
        </is>
      </c>
      <c r="G214" s="17" t="inlineStr">
        <is>
          <t>-1.001 SOL</t>
        </is>
      </c>
      <c r="H214" s="17" t="inlineStr">
        <is>
          <t>0.00%</t>
        </is>
      </c>
      <c r="I214" s="16" t="inlineStr">
        <is>
          <t>1,066,277</t>
        </is>
      </c>
      <c r="J214" s="16" t="n">
        <v>1</v>
      </c>
      <c r="K214" s="16" t="n">
        <v>0</v>
      </c>
      <c r="L214" s="16" t="inlineStr">
        <is>
          <t>18.10.2024 09:33:23</t>
        </is>
      </c>
      <c r="M214" s="18" t="inlineStr">
        <is>
          <t>0 sec</t>
        </is>
      </c>
      <c r="N214" s="16" t="inlineStr">
        <is>
          <t xml:space="preserve">        165K           165K             6K</t>
        </is>
      </c>
      <c r="O214" s="16" t="inlineStr">
        <is>
          <t>Ft2DavuS1ctcUV3cBJWB1BvD6v1zjjXMJD16VRBEpump</t>
        </is>
      </c>
      <c r="P214" s="16">
        <f>HYPERLINK("https://dexscreener.com/solana/Ft2DavuS1ctcUV3cBJWB1BvD6v1zjjXMJD16VRBEpump", "View")</f>
        <v/>
      </c>
    </row>
    <row r="215">
      <c r="A215" s="19" t="inlineStr">
        <is>
          <t>Remilia</t>
        </is>
      </c>
      <c r="B215" s="20" t="n">
        <v>495139</v>
      </c>
      <c r="C215" s="20" t="n">
        <v>384004</v>
      </c>
      <c r="D215" s="20" t="inlineStr">
        <is>
          <t>0.002120</t>
        </is>
      </c>
      <c r="E215" s="20" t="inlineStr">
        <is>
          <t>1.000 SOL</t>
        </is>
      </c>
      <c r="F215" s="20" t="inlineStr">
        <is>
          <t>9.956 SOL</t>
        </is>
      </c>
      <c r="G215" s="23" t="inlineStr">
        <is>
          <t>8.954 SOL</t>
        </is>
      </c>
      <c r="H215" s="23" t="inlineStr">
        <is>
          <t>893.54%</t>
        </is>
      </c>
      <c r="I215" s="20" t="inlineStr">
        <is>
          <t>N/A</t>
        </is>
      </c>
      <c r="J215" s="20" t="n">
        <v>1</v>
      </c>
      <c r="K215" s="20" t="n">
        <v>3</v>
      </c>
      <c r="L215" s="20" t="inlineStr">
        <is>
          <t>18.10.2024 04:19:45</t>
        </is>
      </c>
      <c r="M215" s="20" t="inlineStr">
        <is>
          <t>1 days</t>
        </is>
      </c>
      <c r="N215" s="20" t="inlineStr">
        <is>
          <t xml:space="preserve">        355K           355K           618K</t>
        </is>
      </c>
      <c r="O215" s="20" t="inlineStr">
        <is>
          <t>8wZvGcGePvWEa8tKQUYctMXFSkqS39scozVU9xBVrUjY</t>
        </is>
      </c>
      <c r="P215" s="20">
        <f>HYPERLINK("https://dexscreener.com/solana/8wZvGcGePvWEa8tKQUYctMXFSkqS39scozVU9xBVrUjY", "View")</f>
        <v/>
      </c>
    </row>
    <row r="216">
      <c r="A216" s="15" t="inlineStr">
        <is>
          <t>WYAD</t>
        </is>
      </c>
      <c r="B216" s="16" t="n">
        <v>6751026</v>
      </c>
      <c r="C216" s="16" t="n">
        <v>0</v>
      </c>
      <c r="D216" s="16" t="inlineStr">
        <is>
          <t>0.000600</t>
        </is>
      </c>
      <c r="E216" s="16" t="inlineStr">
        <is>
          <t>1.000 SOL</t>
        </is>
      </c>
      <c r="F216" s="16" t="inlineStr">
        <is>
          <t>0.000 SOL</t>
        </is>
      </c>
      <c r="G216" s="17" t="inlineStr">
        <is>
          <t>-1.001 SOL</t>
        </is>
      </c>
      <c r="H216" s="17" t="inlineStr">
        <is>
          <t>0.00%</t>
        </is>
      </c>
      <c r="I216" s="16" t="inlineStr">
        <is>
          <t>6,751,026</t>
        </is>
      </c>
      <c r="J216" s="16" t="n">
        <v>1</v>
      </c>
      <c r="K216" s="16" t="n">
        <v>0</v>
      </c>
      <c r="L216" s="16" t="inlineStr">
        <is>
          <t>18.10.2024 02:39:23</t>
        </is>
      </c>
      <c r="M216" s="18" t="inlineStr">
        <is>
          <t>0 sec</t>
        </is>
      </c>
      <c r="N216" s="16" t="inlineStr">
        <is>
          <t xml:space="preserve">         26K            26K             5K</t>
        </is>
      </c>
      <c r="O216" s="16" t="inlineStr">
        <is>
          <t>bAD7tmAHY6Tv9BvDdyFEHWDNHGpHkoQ4zepno3Ypump</t>
        </is>
      </c>
      <c r="P216" s="16">
        <f>HYPERLINK("https://dexscreener.com/solana/bAD7tmAHY6Tv9BvDdyFEHWDNHGpHkoQ4zepno3Ypump", "View")</f>
        <v/>
      </c>
    </row>
    <row r="217">
      <c r="A217" s="19" t="inlineStr">
        <is>
          <t>XENO</t>
        </is>
      </c>
      <c r="B217" s="20" t="n">
        <v>2852948</v>
      </c>
      <c r="C217" s="20" t="n">
        <v>0</v>
      </c>
      <c r="D217" s="20" t="inlineStr">
        <is>
          <t>0.000600</t>
        </is>
      </c>
      <c r="E217" s="20" t="inlineStr">
        <is>
          <t>1.000 SOL</t>
        </is>
      </c>
      <c r="F217" s="20" t="inlineStr">
        <is>
          <t>0.000 SOL</t>
        </is>
      </c>
      <c r="G217" s="17" t="inlineStr">
        <is>
          <t>-1.001 SOL</t>
        </is>
      </c>
      <c r="H217" s="17" t="inlineStr">
        <is>
          <t>0.00%</t>
        </is>
      </c>
      <c r="I217" s="20" t="inlineStr">
        <is>
          <t>2,852,948</t>
        </is>
      </c>
      <c r="J217" s="20" t="n">
        <v>1</v>
      </c>
      <c r="K217" s="20" t="n">
        <v>0</v>
      </c>
      <c r="L217" s="20" t="inlineStr">
        <is>
          <t>17.10.2024 20:57:26</t>
        </is>
      </c>
      <c r="M217" s="18" t="inlineStr">
        <is>
          <t>0 sec</t>
        </is>
      </c>
      <c r="N217" s="20" t="inlineStr">
        <is>
          <t xml:space="preserve">         61K            61K             7K</t>
        </is>
      </c>
      <c r="O217" s="20" t="inlineStr">
        <is>
          <t>8Xx9WENxx63nnAYURytFEz7E1RSoccAgnX6dJPZrpump</t>
        </is>
      </c>
      <c r="P217" s="20">
        <f>HYPERLINK("https://dexscreener.com/solana/8Xx9WENxx63nnAYURytFEz7E1RSoccAgnX6dJPZrpump", "View")</f>
        <v/>
      </c>
    </row>
    <row r="218">
      <c r="A218" s="15" t="inlineStr">
        <is>
          <t>Tilly</t>
        </is>
      </c>
      <c r="B218" s="16" t="n">
        <v>1644255</v>
      </c>
      <c r="C218" s="16" t="n">
        <v>1233191</v>
      </c>
      <c r="D218" s="16" t="inlineStr">
        <is>
          <t>0.001210</t>
        </is>
      </c>
      <c r="E218" s="16" t="inlineStr">
        <is>
          <t>1.000 SOL</t>
        </is>
      </c>
      <c r="F218" s="16" t="inlineStr">
        <is>
          <t>13.059 SOL</t>
        </is>
      </c>
      <c r="G218" s="23" t="inlineStr">
        <is>
          <t>12.058 SOL</t>
        </is>
      </c>
      <c r="H218" s="23" t="inlineStr">
        <is>
          <t>1204.36%</t>
        </is>
      </c>
      <c r="I218" s="16" t="inlineStr">
        <is>
          <t>N/A</t>
        </is>
      </c>
      <c r="J218" s="16" t="n">
        <v>1</v>
      </c>
      <c r="K218" s="16" t="n">
        <v>2</v>
      </c>
      <c r="L218" s="16" t="inlineStr">
        <is>
          <t>17.10.2024 17:10:32</t>
        </is>
      </c>
      <c r="M218" s="16" t="inlineStr">
        <is>
          <t>1 days</t>
        </is>
      </c>
      <c r="N218" s="16" t="inlineStr">
        <is>
          <t xml:space="preserve">        107K           107K           198K</t>
        </is>
      </c>
      <c r="O218" s="16" t="inlineStr">
        <is>
          <t>HuiVprCHCucHUb5bX6EXFJd7wuwvdASFzzge4ahXpump</t>
        </is>
      </c>
      <c r="P218" s="16">
        <f>HYPERLINK("https://dexscreener.com/solana/HuiVprCHCucHUb5bX6EXFJd7wuwvdASFzzge4ahXpump", "View")</f>
        <v/>
      </c>
    </row>
    <row r="219">
      <c r="A219" s="19" t="inlineStr">
        <is>
          <t>ARLO</t>
        </is>
      </c>
      <c r="B219" s="20" t="n">
        <v>885585</v>
      </c>
      <c r="C219" s="20" t="n">
        <v>0</v>
      </c>
      <c r="D219" s="20" t="inlineStr">
        <is>
          <t>0.000600</t>
        </is>
      </c>
      <c r="E219" s="20" t="inlineStr">
        <is>
          <t>1.000 SOL</t>
        </is>
      </c>
      <c r="F219" s="20" t="inlineStr">
        <is>
          <t>0.000 SOL</t>
        </is>
      </c>
      <c r="G219" s="17" t="inlineStr">
        <is>
          <t>-1.001 SOL</t>
        </is>
      </c>
      <c r="H219" s="17" t="inlineStr">
        <is>
          <t>0.00%</t>
        </is>
      </c>
      <c r="I219" s="20" t="inlineStr">
        <is>
          <t>885,585</t>
        </is>
      </c>
      <c r="J219" s="20" t="n">
        <v>1</v>
      </c>
      <c r="K219" s="20" t="n">
        <v>0</v>
      </c>
      <c r="L219" s="20" t="inlineStr">
        <is>
          <t>17.10.2024 17:00:42</t>
        </is>
      </c>
      <c r="M219" s="18" t="inlineStr">
        <is>
          <t>0 sec</t>
        </is>
      </c>
      <c r="N219" s="20" t="inlineStr">
        <is>
          <t xml:space="preserve">        198K           198K             8K</t>
        </is>
      </c>
      <c r="O219" s="20" t="inlineStr">
        <is>
          <t>DB3M5ggNLurVeSezKKJb68wEZrnodcPN4jCCFoBdcKG7</t>
        </is>
      </c>
      <c r="P219" s="20">
        <f>HYPERLINK("https://dexscreener.com/solana/DB3M5ggNLurVeSezKKJb68wEZrnodcPN4jCCFoBdcKG7", "View")</f>
        <v/>
      </c>
    </row>
    <row r="220">
      <c r="A220" s="15" t="inlineStr">
        <is>
          <t>BELUGA</t>
        </is>
      </c>
      <c r="B220" s="16" t="n">
        <v>385563</v>
      </c>
      <c r="C220" s="16" t="n">
        <v>0</v>
      </c>
      <c r="D220" s="16" t="inlineStr">
        <is>
          <t>0.000600</t>
        </is>
      </c>
      <c r="E220" s="16" t="inlineStr">
        <is>
          <t>1.000 SOL</t>
        </is>
      </c>
      <c r="F220" s="16" t="inlineStr">
        <is>
          <t>0.000 SOL</t>
        </is>
      </c>
      <c r="G220" s="17" t="inlineStr">
        <is>
          <t>-1.001 SOL</t>
        </is>
      </c>
      <c r="H220" s="17" t="inlineStr">
        <is>
          <t>0.00%</t>
        </is>
      </c>
      <c r="I220" s="16" t="inlineStr">
        <is>
          <t>385,563</t>
        </is>
      </c>
      <c r="J220" s="16" t="n">
        <v>1</v>
      </c>
      <c r="K220" s="16" t="n">
        <v>0</v>
      </c>
      <c r="L220" s="16" t="inlineStr">
        <is>
          <t>17.10.2024 16:24:24</t>
        </is>
      </c>
      <c r="M220" s="18" t="inlineStr">
        <is>
          <t>0 sec</t>
        </is>
      </c>
      <c r="N220" s="16" t="inlineStr">
        <is>
          <t xml:space="preserve">        409K           409K             8K</t>
        </is>
      </c>
      <c r="O220" s="16" t="inlineStr">
        <is>
          <t>EcLwiJG3tvraFRG798JaUADgHcCn5zSVreHqxssUPCHd</t>
        </is>
      </c>
      <c r="P220" s="16">
        <f>HYPERLINK("https://dexscreener.com/solana/EcLwiJG3tvraFRG798JaUADgHcCn5zSVreHqxssUPCHd", "View")</f>
        <v/>
      </c>
    </row>
    <row r="221">
      <c r="A221" s="19" t="inlineStr">
        <is>
          <t>PWENG</t>
        </is>
      </c>
      <c r="B221" s="20" t="n">
        <v>458445</v>
      </c>
      <c r="C221" s="20" t="n">
        <v>0</v>
      </c>
      <c r="D221" s="20" t="inlineStr">
        <is>
          <t>0.000600</t>
        </is>
      </c>
      <c r="E221" s="20" t="inlineStr">
        <is>
          <t>1.000 SOL</t>
        </is>
      </c>
      <c r="F221" s="20" t="inlineStr">
        <is>
          <t>0.000 SOL</t>
        </is>
      </c>
      <c r="G221" s="17" t="inlineStr">
        <is>
          <t>-1.001 SOL</t>
        </is>
      </c>
      <c r="H221" s="17" t="inlineStr">
        <is>
          <t>0.00%</t>
        </is>
      </c>
      <c r="I221" s="20" t="inlineStr">
        <is>
          <t>458,445</t>
        </is>
      </c>
      <c r="J221" s="20" t="n">
        <v>1</v>
      </c>
      <c r="K221" s="20" t="n">
        <v>0</v>
      </c>
      <c r="L221" s="20" t="inlineStr">
        <is>
          <t>17.10.2024 14:12:36</t>
        </is>
      </c>
      <c r="M221" s="18" t="inlineStr">
        <is>
          <t>0 sec</t>
        </is>
      </c>
      <c r="N221" s="20" t="inlineStr">
        <is>
          <t xml:space="preserve">        382K           382K            29K</t>
        </is>
      </c>
      <c r="O221" s="20" t="inlineStr">
        <is>
          <t>BwFLAzM1syXYCN7AjgAcHWvtsUzKjsyFGm7osxgXpump</t>
        </is>
      </c>
      <c r="P221" s="20">
        <f>HYPERLINK("https://dexscreener.com/solana/BwFLAzM1syXYCN7AjgAcHWvtsUzKjsyFGm7osxgXpump", "View")</f>
        <v/>
      </c>
    </row>
    <row r="222">
      <c r="A222" s="15" t="inlineStr">
        <is>
          <t>visionary</t>
        </is>
      </c>
      <c r="B222" s="16" t="n">
        <v>2578729</v>
      </c>
      <c r="C222" s="16" t="n">
        <v>0</v>
      </c>
      <c r="D222" s="16" t="inlineStr">
        <is>
          <t>0.000600</t>
        </is>
      </c>
      <c r="E222" s="16" t="inlineStr">
        <is>
          <t>1.000 SOL</t>
        </is>
      </c>
      <c r="F222" s="16" t="inlineStr">
        <is>
          <t>0.000 SOL</t>
        </is>
      </c>
      <c r="G222" s="17" t="inlineStr">
        <is>
          <t>-1.001 SOL</t>
        </is>
      </c>
      <c r="H222" s="17" t="inlineStr">
        <is>
          <t>0.00%</t>
        </is>
      </c>
      <c r="I222" s="16" t="inlineStr">
        <is>
          <t>2,578,729</t>
        </is>
      </c>
      <c r="J222" s="16" t="n">
        <v>1</v>
      </c>
      <c r="K222" s="16" t="n">
        <v>0</v>
      </c>
      <c r="L222" s="16" t="inlineStr">
        <is>
          <t>17.10.2024 13:06:22</t>
        </is>
      </c>
      <c r="M222" s="18" t="inlineStr">
        <is>
          <t>0 sec</t>
        </is>
      </c>
      <c r="N222" s="16" t="inlineStr">
        <is>
          <t xml:space="preserve">         68K            68K             5K</t>
        </is>
      </c>
      <c r="O222" s="16" t="inlineStr">
        <is>
          <t>HpHBvmVd9kaH1Pbowdtd2NvV22YrLHN4gdaXsWcrpump</t>
        </is>
      </c>
      <c r="P222" s="16">
        <f>HYPERLINK("https://dexscreener.com/solana/HpHBvmVd9kaH1Pbowdtd2NvV22YrLHN4gdaXsWcrpump", "View")</f>
        <v/>
      </c>
    </row>
    <row r="223">
      <c r="A223" s="19" t="inlineStr">
        <is>
          <t>DOGEAI</t>
        </is>
      </c>
      <c r="B223" s="20" t="n">
        <v>10259516</v>
      </c>
      <c r="C223" s="20" t="n">
        <v>0</v>
      </c>
      <c r="D223" s="20" t="inlineStr">
        <is>
          <t>0.000600</t>
        </is>
      </c>
      <c r="E223" s="20" t="inlineStr">
        <is>
          <t>1.000 SOL</t>
        </is>
      </c>
      <c r="F223" s="20" t="inlineStr">
        <is>
          <t>0.000 SOL</t>
        </is>
      </c>
      <c r="G223" s="17" t="inlineStr">
        <is>
          <t>-1.001 SOL</t>
        </is>
      </c>
      <c r="H223" s="17" t="inlineStr">
        <is>
          <t>0.00%</t>
        </is>
      </c>
      <c r="I223" s="20" t="inlineStr">
        <is>
          <t>10,259,516</t>
        </is>
      </c>
      <c r="J223" s="20" t="n">
        <v>1</v>
      </c>
      <c r="K223" s="20" t="n">
        <v>0</v>
      </c>
      <c r="L223" s="20" t="inlineStr">
        <is>
          <t>17.10.2024 09:15:31</t>
        </is>
      </c>
      <c r="M223" s="18" t="inlineStr">
        <is>
          <t>0 sec</t>
        </is>
      </c>
      <c r="N223" s="20" t="inlineStr">
        <is>
          <t xml:space="preserve">         18K            18K             2K</t>
        </is>
      </c>
      <c r="O223" s="20" t="inlineStr">
        <is>
          <t>2q6rHzSoFjX5vaSVZZpwF6my5kRqKzuS4Fq6KepsVw5X</t>
        </is>
      </c>
      <c r="P223" s="20">
        <f>HYPERLINK("https://dexscreener.com/solana/2q6rHzSoFjX5vaSVZZpwF6my5kRqKzuS4Fq6KepsVw5X", "View")</f>
        <v/>
      </c>
    </row>
    <row r="224">
      <c r="A224" s="15" t="inlineStr">
        <is>
          <t>PRIMATE</t>
        </is>
      </c>
      <c r="B224" s="16" t="n">
        <v>346213</v>
      </c>
      <c r="C224" s="16" t="n">
        <v>0</v>
      </c>
      <c r="D224" s="16" t="inlineStr">
        <is>
          <t>0.000600</t>
        </is>
      </c>
      <c r="E224" s="16" t="inlineStr">
        <is>
          <t>1.000 SOL</t>
        </is>
      </c>
      <c r="F224" s="16" t="inlineStr">
        <is>
          <t>0.000 SOL</t>
        </is>
      </c>
      <c r="G224" s="17" t="inlineStr">
        <is>
          <t>-1.001 SOL</t>
        </is>
      </c>
      <c r="H224" s="17" t="inlineStr">
        <is>
          <t>0.00%</t>
        </is>
      </c>
      <c r="I224" s="16" t="inlineStr">
        <is>
          <t>346,213</t>
        </is>
      </c>
      <c r="J224" s="16" t="n">
        <v>1</v>
      </c>
      <c r="K224" s="16" t="n">
        <v>0</v>
      </c>
      <c r="L224" s="16" t="inlineStr">
        <is>
          <t>17.10.2024 05:57:23</t>
        </is>
      </c>
      <c r="M224" s="18" t="inlineStr">
        <is>
          <t>0 sec</t>
        </is>
      </c>
      <c r="N224" s="16" t="inlineStr">
        <is>
          <t xml:space="preserve">        508K           508K            21K</t>
        </is>
      </c>
      <c r="O224" s="16" t="inlineStr">
        <is>
          <t>AoXEBwwGfwHxjQmBKKTADYLQXRPm8MRBKbaSEyzppump</t>
        </is>
      </c>
      <c r="P224" s="16">
        <f>HYPERLINK("https://dexscreener.com/solana/AoXEBwwGfwHxjQmBKKTADYLQXRPm8MRBKbaSEyzppump", "View")</f>
        <v/>
      </c>
    </row>
    <row r="225">
      <c r="A225" s="19" t="inlineStr">
        <is>
          <t>FOREST</t>
        </is>
      </c>
      <c r="B225" s="20" t="n">
        <v>2939764</v>
      </c>
      <c r="C225" s="20" t="n">
        <v>0</v>
      </c>
      <c r="D225" s="20" t="inlineStr">
        <is>
          <t>0.000600</t>
        </is>
      </c>
      <c r="E225" s="20" t="inlineStr">
        <is>
          <t>1.000 SOL</t>
        </is>
      </c>
      <c r="F225" s="20" t="inlineStr">
        <is>
          <t>0.000 SOL</t>
        </is>
      </c>
      <c r="G225" s="17" t="inlineStr">
        <is>
          <t>-1.001 SOL</t>
        </is>
      </c>
      <c r="H225" s="17" t="inlineStr">
        <is>
          <t>0.00%</t>
        </is>
      </c>
      <c r="I225" s="20" t="inlineStr">
        <is>
          <t>2,939,764</t>
        </is>
      </c>
      <c r="J225" s="20" t="n">
        <v>1</v>
      </c>
      <c r="K225" s="20" t="n">
        <v>0</v>
      </c>
      <c r="L225" s="20" t="inlineStr">
        <is>
          <t>17.10.2024 02:09:21</t>
        </is>
      </c>
      <c r="M225" s="18" t="inlineStr">
        <is>
          <t>0 sec</t>
        </is>
      </c>
      <c r="N225" s="20" t="inlineStr">
        <is>
          <t xml:space="preserve">         60K            60K             6K</t>
        </is>
      </c>
      <c r="O225" s="20" t="inlineStr">
        <is>
          <t>3EGgCWdws6XBbR5Xd4wwsm9V4Xe4Zbmgf2uBG4rnpump</t>
        </is>
      </c>
      <c r="P225" s="20">
        <f>HYPERLINK("https://dexscreener.com/solana/3EGgCWdws6XBbR5Xd4wwsm9V4Xe4Zbmgf2uBG4rnpump", "View")</f>
        <v/>
      </c>
    </row>
    <row r="226">
      <c r="A226" s="15" t="inlineStr">
        <is>
          <t>luna</t>
        </is>
      </c>
      <c r="B226" s="16" t="n">
        <v>1242459</v>
      </c>
      <c r="C226" s="16" t="n">
        <v>621229</v>
      </c>
      <c r="D226" s="16" t="inlineStr">
        <is>
          <t>0.001110</t>
        </is>
      </c>
      <c r="E226" s="16" t="inlineStr">
        <is>
          <t>1.000 SOL</t>
        </is>
      </c>
      <c r="F226" s="16" t="inlineStr">
        <is>
          <t>0.801 SOL</t>
        </is>
      </c>
      <c r="G226" s="21" t="inlineStr">
        <is>
          <t>-0.200 SOL</t>
        </is>
      </c>
      <c r="H226" s="21" t="inlineStr">
        <is>
          <t>-20.01%</t>
        </is>
      </c>
      <c r="I226" s="16" t="inlineStr">
        <is>
          <t>N/A</t>
        </is>
      </c>
      <c r="J226" s="16" t="n">
        <v>1</v>
      </c>
      <c r="K226" s="16" t="n">
        <v>1</v>
      </c>
      <c r="L226" s="16" t="inlineStr">
        <is>
          <t>17.10.2024 01:32:33</t>
        </is>
      </c>
      <c r="M226" s="16" t="inlineStr">
        <is>
          <t>1 days</t>
        </is>
      </c>
      <c r="N226" s="16" t="inlineStr">
        <is>
          <t xml:space="preserve">        140K           140K            14K</t>
        </is>
      </c>
      <c r="O226" s="16" t="inlineStr">
        <is>
          <t>5cvA4oDAWVErN7cV2hen6We5pZ2hWEAzuLw9TSKbpump</t>
        </is>
      </c>
      <c r="P226" s="16">
        <f>HYPERLINK("https://dexscreener.com/solana/5cvA4oDAWVErN7cV2hen6We5pZ2hWEAzuLw9TSKbpump", "View")</f>
        <v/>
      </c>
    </row>
    <row r="227">
      <c r="A227" s="19" t="inlineStr">
        <is>
          <t>CLIMP</t>
        </is>
      </c>
      <c r="B227" s="20" t="n">
        <v>1117661</v>
      </c>
      <c r="C227" s="20" t="n">
        <v>838245</v>
      </c>
      <c r="D227" s="20" t="inlineStr">
        <is>
          <t>0.001610</t>
        </is>
      </c>
      <c r="E227" s="20" t="inlineStr">
        <is>
          <t>1.000 SOL</t>
        </is>
      </c>
      <c r="F227" s="20" t="inlineStr">
        <is>
          <t>4.492 SOL</t>
        </is>
      </c>
      <c r="G227" s="23" t="inlineStr">
        <is>
          <t>3.490 SOL</t>
        </is>
      </c>
      <c r="H227" s="23" t="inlineStr">
        <is>
          <t>348.44%</t>
        </is>
      </c>
      <c r="I227" s="20" t="inlineStr">
        <is>
          <t>N/A</t>
        </is>
      </c>
      <c r="J227" s="20" t="n">
        <v>1</v>
      </c>
      <c r="K227" s="20" t="n">
        <v>2</v>
      </c>
      <c r="L227" s="20" t="inlineStr">
        <is>
          <t>17.10.2024 01:32:22</t>
        </is>
      </c>
      <c r="M227" s="20" t="inlineStr">
        <is>
          <t>17 hours</t>
        </is>
      </c>
      <c r="N227" s="20" t="inlineStr">
        <is>
          <t xml:space="preserve">        156K           156K            86K</t>
        </is>
      </c>
      <c r="O227" s="20" t="inlineStr">
        <is>
          <t>GQaDVLoi9xe2eQcKqC5c11vRxJWu5askVty1dmzmoy8k</t>
        </is>
      </c>
      <c r="P227" s="20">
        <f>HYPERLINK("https://dexscreener.com/solana/GQaDVLoi9xe2eQcKqC5c11vRxJWu5askVty1dmzmoy8k", "View")</f>
        <v/>
      </c>
    </row>
    <row r="228">
      <c r="A228" s="15" t="inlineStr">
        <is>
          <t>isaac</t>
        </is>
      </c>
      <c r="B228" s="16" t="n">
        <v>1966420</v>
      </c>
      <c r="C228" s="16" t="n">
        <v>983210</v>
      </c>
      <c r="D228" s="16" t="inlineStr">
        <is>
          <t>0.001110</t>
        </is>
      </c>
      <c r="E228" s="16" t="inlineStr">
        <is>
          <t>1.000 SOL</t>
        </is>
      </c>
      <c r="F228" s="16" t="inlineStr">
        <is>
          <t>0.994 SOL</t>
        </is>
      </c>
      <c r="G228" s="21" t="inlineStr">
        <is>
          <t>-0.007 SOL</t>
        </is>
      </c>
      <c r="H228" s="21" t="inlineStr">
        <is>
          <t>-0.68%</t>
        </is>
      </c>
      <c r="I228" s="16" t="inlineStr">
        <is>
          <t>N/A</t>
        </is>
      </c>
      <c r="J228" s="16" t="n">
        <v>1</v>
      </c>
      <c r="K228" s="16" t="n">
        <v>1</v>
      </c>
      <c r="L228" s="16" t="inlineStr">
        <is>
          <t>17.10.2024 01:29:54</t>
        </is>
      </c>
      <c r="M228" s="16" t="inlineStr">
        <is>
          <t>5 hours</t>
        </is>
      </c>
      <c r="N228" s="16" t="inlineStr">
        <is>
          <t xml:space="preserve">         90K            90K            10K</t>
        </is>
      </c>
      <c r="O228" s="16" t="inlineStr">
        <is>
          <t>GTiMaW6FNPLrWNVLYk5KkLApxiHvCwbGr9KdueGypump</t>
        </is>
      </c>
      <c r="P228" s="16">
        <f>HYPERLINK("https://dexscreener.com/solana/GTiMaW6FNPLrWNVLYk5KkLApxiHvCwbGr9KdueGypump", "View")</f>
        <v/>
      </c>
    </row>
    <row r="229">
      <c r="A229" s="19" t="inlineStr">
        <is>
          <t>SOLTARD</t>
        </is>
      </c>
      <c r="B229" s="20" t="n">
        <v>154006</v>
      </c>
      <c r="C229" s="20" t="n">
        <v>0</v>
      </c>
      <c r="D229" s="20" t="inlineStr">
        <is>
          <t>0.000600</t>
        </is>
      </c>
      <c r="E229" s="20" t="inlineStr">
        <is>
          <t>1.000 SOL</t>
        </is>
      </c>
      <c r="F229" s="20" t="inlineStr">
        <is>
          <t>0.000 SOL</t>
        </is>
      </c>
      <c r="G229" s="17" t="inlineStr">
        <is>
          <t>-1.001 SOL</t>
        </is>
      </c>
      <c r="H229" s="17" t="inlineStr">
        <is>
          <t>0.00%</t>
        </is>
      </c>
      <c r="I229" s="20" t="inlineStr">
        <is>
          <t>154,006</t>
        </is>
      </c>
      <c r="J229" s="20" t="n">
        <v>1</v>
      </c>
      <c r="K229" s="20" t="n">
        <v>0</v>
      </c>
      <c r="L229" s="20" t="inlineStr">
        <is>
          <t>17.10.2024 00:03:23</t>
        </is>
      </c>
      <c r="M229" s="18" t="inlineStr">
        <is>
          <t>0 sec</t>
        </is>
      </c>
      <c r="N229" s="20" t="inlineStr">
        <is>
          <t xml:space="preserve">        114K           114K             2K</t>
        </is>
      </c>
      <c r="O229" s="20" t="inlineStr">
        <is>
          <t>67BmfpqPw8Z26FKgiGqVvBi7s2DpHuM5qQjE5RQMzUxW</t>
        </is>
      </c>
      <c r="P229" s="20">
        <f>HYPERLINK("https://dexscreener.com/solana/67BmfpqPw8Z26FKgiGqVvBi7s2DpHuM5qQjE5RQMzUxW", "View")</f>
        <v/>
      </c>
    </row>
    <row r="230">
      <c r="A230" s="15" t="inlineStr">
        <is>
          <t>PUPTOBER</t>
        </is>
      </c>
      <c r="B230" s="16" t="n">
        <v>821693</v>
      </c>
      <c r="C230" s="16" t="n">
        <v>0</v>
      </c>
      <c r="D230" s="16" t="inlineStr">
        <is>
          <t>0.000600</t>
        </is>
      </c>
      <c r="E230" s="16" t="inlineStr">
        <is>
          <t>1.000 SOL</t>
        </is>
      </c>
      <c r="F230" s="16" t="inlineStr">
        <is>
          <t>0.000 SOL</t>
        </is>
      </c>
      <c r="G230" s="17" t="inlineStr">
        <is>
          <t>-1.001 SOL</t>
        </is>
      </c>
      <c r="H230" s="17" t="inlineStr">
        <is>
          <t>0.00%</t>
        </is>
      </c>
      <c r="I230" s="16" t="inlineStr">
        <is>
          <t>821,693</t>
        </is>
      </c>
      <c r="J230" s="16" t="n">
        <v>1</v>
      </c>
      <c r="K230" s="16" t="n">
        <v>0</v>
      </c>
      <c r="L230" s="16" t="inlineStr">
        <is>
          <t>16.10.2024 23:36:29</t>
        </is>
      </c>
      <c r="M230" s="18" t="inlineStr">
        <is>
          <t>0 sec</t>
        </is>
      </c>
      <c r="N230" s="16" t="inlineStr">
        <is>
          <t xml:space="preserve">        214K           214K             4K</t>
        </is>
      </c>
      <c r="O230" s="16" t="inlineStr">
        <is>
          <t>XrD13DAb5gYfgUMcHXbXqZqtFQo5XgNRj8jwzeLpump</t>
        </is>
      </c>
      <c r="P230" s="16">
        <f>HYPERLINK("https://dexscreener.com/solana/XrD13DAb5gYfgUMcHXbXqZqtFQo5XgNRj8jwzeLpump", "View")</f>
        <v/>
      </c>
    </row>
    <row r="231">
      <c r="A231" s="19" t="inlineStr">
        <is>
          <t>Payne</t>
        </is>
      </c>
      <c r="B231" s="20" t="n">
        <v>1034449</v>
      </c>
      <c r="C231" s="20" t="n">
        <v>0</v>
      </c>
      <c r="D231" s="20" t="inlineStr">
        <is>
          <t>0.000600</t>
        </is>
      </c>
      <c r="E231" s="20" t="inlineStr">
        <is>
          <t>1.000 SOL</t>
        </is>
      </c>
      <c r="F231" s="20" t="inlineStr">
        <is>
          <t>0.000 SOL</t>
        </is>
      </c>
      <c r="G231" s="17" t="inlineStr">
        <is>
          <t>-1.001 SOL</t>
        </is>
      </c>
      <c r="H231" s="17" t="inlineStr">
        <is>
          <t>0.00%</t>
        </is>
      </c>
      <c r="I231" s="20" t="inlineStr">
        <is>
          <t>1,034,449</t>
        </is>
      </c>
      <c r="J231" s="20" t="n">
        <v>1</v>
      </c>
      <c r="K231" s="20" t="n">
        <v>0</v>
      </c>
      <c r="L231" s="20" t="inlineStr">
        <is>
          <t>16.10.2024 22:45:27</t>
        </is>
      </c>
      <c r="M231" s="18" t="inlineStr">
        <is>
          <t>0 sec</t>
        </is>
      </c>
      <c r="N231" s="20" t="inlineStr">
        <is>
          <t xml:space="preserve">        170K           170K             5K</t>
        </is>
      </c>
      <c r="O231" s="20" t="inlineStr">
        <is>
          <t>HmzD3xcEcc7X8QWXYTyPK6aZnYxAb93tDRdzQEPYY7Hi</t>
        </is>
      </c>
      <c r="P231" s="20">
        <f>HYPERLINK("https://dexscreener.com/solana/HmzD3xcEcc7X8QWXYTyPK6aZnYxAb93tDRdzQEPYY7Hi", "View")</f>
        <v/>
      </c>
    </row>
    <row r="232">
      <c r="A232" s="15" t="inlineStr">
        <is>
          <t>HORSEBIZ</t>
        </is>
      </c>
      <c r="B232" s="16" t="n">
        <v>869618</v>
      </c>
      <c r="C232" s="16" t="n">
        <v>0</v>
      </c>
      <c r="D232" s="16" t="inlineStr">
        <is>
          <t>0.000600</t>
        </is>
      </c>
      <c r="E232" s="16" t="inlineStr">
        <is>
          <t>1.000 SOL</t>
        </is>
      </c>
      <c r="F232" s="16" t="inlineStr">
        <is>
          <t>0.000 SOL</t>
        </is>
      </c>
      <c r="G232" s="17" t="inlineStr">
        <is>
          <t>-1.001 SOL</t>
        </is>
      </c>
      <c r="H232" s="17" t="inlineStr">
        <is>
          <t>0.00%</t>
        </is>
      </c>
      <c r="I232" s="16" t="inlineStr">
        <is>
          <t>869,618</t>
        </is>
      </c>
      <c r="J232" s="16" t="n">
        <v>1</v>
      </c>
      <c r="K232" s="16" t="n">
        <v>0</v>
      </c>
      <c r="L232" s="16" t="inlineStr">
        <is>
          <t>16.10.2024 21:15:32</t>
        </is>
      </c>
      <c r="M232" s="18" t="inlineStr">
        <is>
          <t>0 sec</t>
        </is>
      </c>
      <c r="N232" s="16" t="inlineStr">
        <is>
          <t xml:space="preserve">        200K           200K            36K</t>
        </is>
      </c>
      <c r="O232" s="16" t="inlineStr">
        <is>
          <t>5Pbbcu14NJ1QVnVoyUPLeZQFvXunavL4AACFaXLpw47B</t>
        </is>
      </c>
      <c r="P232" s="16">
        <f>HYPERLINK("https://dexscreener.com/solana/5Pbbcu14NJ1QVnVoyUPLeZQFvXunavL4AACFaXLpw47B", "View")</f>
        <v/>
      </c>
    </row>
    <row r="233">
      <c r="A233" s="19" t="inlineStr">
        <is>
          <t>TAIL</t>
        </is>
      </c>
      <c r="B233" s="20" t="n">
        <v>5879</v>
      </c>
      <c r="C233" s="20" t="n">
        <v>0</v>
      </c>
      <c r="D233" s="20" t="inlineStr">
        <is>
          <t>0.000600</t>
        </is>
      </c>
      <c r="E233" s="20" t="inlineStr">
        <is>
          <t>1.000 SOL</t>
        </is>
      </c>
      <c r="F233" s="20" t="inlineStr">
        <is>
          <t>0.000 SOL</t>
        </is>
      </c>
      <c r="G233" s="17" t="inlineStr">
        <is>
          <t>-1.001 SOL</t>
        </is>
      </c>
      <c r="H233" s="17" t="inlineStr">
        <is>
          <t>0.00%</t>
        </is>
      </c>
      <c r="I233" s="20" t="inlineStr">
        <is>
          <t>5,879</t>
        </is>
      </c>
      <c r="J233" s="20" t="n">
        <v>1</v>
      </c>
      <c r="K233" s="20" t="n">
        <v>0</v>
      </c>
      <c r="L233" s="20" t="inlineStr">
        <is>
          <t>16.10.2024 20:57:21</t>
        </is>
      </c>
      <c r="M233" s="18" t="inlineStr">
        <is>
          <t>0 sec</t>
        </is>
      </c>
      <c r="N233" s="20" t="inlineStr">
        <is>
          <t xml:space="preserve">         23M            23M             55</t>
        </is>
      </c>
      <c r="O233" s="20" t="inlineStr">
        <is>
          <t>66hSCYqzkKmRzA1NLXbyLQwcWWgkTi4cT8riSgvPCyV6</t>
        </is>
      </c>
      <c r="P233" s="20">
        <f>HYPERLINK("https://dexscreener.com/solana/66hSCYqzkKmRzA1NLXbyLQwcWWgkTi4cT8riSgvPCyV6", "View")</f>
        <v/>
      </c>
    </row>
    <row r="234">
      <c r="A234" s="15" t="inlineStr">
        <is>
          <t>MSGA</t>
        </is>
      </c>
      <c r="B234" s="16" t="n">
        <v>866530</v>
      </c>
      <c r="C234" s="16" t="n">
        <v>0</v>
      </c>
      <c r="D234" s="16" t="inlineStr">
        <is>
          <t>0.000600</t>
        </is>
      </c>
      <c r="E234" s="16" t="inlineStr">
        <is>
          <t>1.000 SOL</t>
        </is>
      </c>
      <c r="F234" s="16" t="inlineStr">
        <is>
          <t>0.000 SOL</t>
        </is>
      </c>
      <c r="G234" s="17" t="inlineStr">
        <is>
          <t>-1.001 SOL</t>
        </is>
      </c>
      <c r="H234" s="17" t="inlineStr">
        <is>
          <t>0.00%</t>
        </is>
      </c>
      <c r="I234" s="16" t="inlineStr">
        <is>
          <t>866,530</t>
        </is>
      </c>
      <c r="J234" s="16" t="n">
        <v>1</v>
      </c>
      <c r="K234" s="16" t="n">
        <v>0</v>
      </c>
      <c r="L234" s="16" t="inlineStr">
        <is>
          <t>16.10.2024 20:27:30</t>
        </is>
      </c>
      <c r="M234" s="18" t="inlineStr">
        <is>
          <t>0 sec</t>
        </is>
      </c>
      <c r="N234" s="16" t="inlineStr">
        <is>
          <t xml:space="preserve">        202K           202K             3K</t>
        </is>
      </c>
      <c r="O234" s="16" t="inlineStr">
        <is>
          <t>MsgauVazmaYiCa8MLxUoG6owtUCNBgPk5Ntozd6Qawa</t>
        </is>
      </c>
      <c r="P234" s="16">
        <f>HYPERLINK("https://dexscreener.com/solana/MsgauVazmaYiCa8MLxUoG6owtUCNBgPk5Ntozd6Qawa", "View")</f>
        <v/>
      </c>
    </row>
    <row r="235">
      <c r="A235" s="19" t="inlineStr">
        <is>
          <t>CDS</t>
        </is>
      </c>
      <c r="B235" s="20" t="n">
        <v>442164</v>
      </c>
      <c r="C235" s="20" t="n">
        <v>0</v>
      </c>
      <c r="D235" s="20" t="inlineStr">
        <is>
          <t>0.000600</t>
        </is>
      </c>
      <c r="E235" s="20" t="inlineStr">
        <is>
          <t>1.000 SOL</t>
        </is>
      </c>
      <c r="F235" s="20" t="inlineStr">
        <is>
          <t>0.000 SOL</t>
        </is>
      </c>
      <c r="G235" s="17" t="inlineStr">
        <is>
          <t>-1.001 SOL</t>
        </is>
      </c>
      <c r="H235" s="17" t="inlineStr">
        <is>
          <t>0.00%</t>
        </is>
      </c>
      <c r="I235" s="20" t="inlineStr">
        <is>
          <t>442,164</t>
        </is>
      </c>
      <c r="J235" s="20" t="n">
        <v>1</v>
      </c>
      <c r="K235" s="20" t="n">
        <v>0</v>
      </c>
      <c r="L235" s="20" t="inlineStr">
        <is>
          <t>16.10.2024 19:12:23</t>
        </is>
      </c>
      <c r="M235" s="18" t="inlineStr">
        <is>
          <t>0 sec</t>
        </is>
      </c>
      <c r="N235" s="20" t="inlineStr">
        <is>
          <t xml:space="preserve">        397K           397K             6K</t>
        </is>
      </c>
      <c r="O235" s="20" t="inlineStr">
        <is>
          <t>HNZwnNQqoTvnS452UF8BPmRHetu3xvySuQCAEP7npump</t>
        </is>
      </c>
      <c r="P235" s="20">
        <f>HYPERLINK("https://dexscreener.com/solana/HNZwnNQqoTvnS452UF8BPmRHetu3xvySuQCAEP7npump", "View")</f>
        <v/>
      </c>
    </row>
    <row r="236">
      <c r="A236" s="15" t="inlineStr">
        <is>
          <t>CLANKA</t>
        </is>
      </c>
      <c r="B236" s="16" t="n">
        <v>4110509</v>
      </c>
      <c r="C236" s="16" t="n">
        <v>0</v>
      </c>
      <c r="D236" s="16" t="inlineStr">
        <is>
          <t>0.000600</t>
        </is>
      </c>
      <c r="E236" s="16" t="inlineStr">
        <is>
          <t>1.000 SOL</t>
        </is>
      </c>
      <c r="F236" s="16" t="inlineStr">
        <is>
          <t>0.000 SOL</t>
        </is>
      </c>
      <c r="G236" s="17" t="inlineStr">
        <is>
          <t>-1.001 SOL</t>
        </is>
      </c>
      <c r="H236" s="17" t="inlineStr">
        <is>
          <t>0.00%</t>
        </is>
      </c>
      <c r="I236" s="16" t="inlineStr">
        <is>
          <t>4,110,509</t>
        </is>
      </c>
      <c r="J236" s="16" t="n">
        <v>1</v>
      </c>
      <c r="K236" s="16" t="n">
        <v>0</v>
      </c>
      <c r="L236" s="16" t="inlineStr">
        <is>
          <t>16.10.2024 19:03:25</t>
        </is>
      </c>
      <c r="M236" s="18" t="inlineStr">
        <is>
          <t>0 sec</t>
        </is>
      </c>
      <c r="N236" s="16" t="inlineStr">
        <is>
          <t xml:space="preserve">         42K            42K            17K</t>
        </is>
      </c>
      <c r="O236" s="16" t="inlineStr">
        <is>
          <t>E4zf5YrNZJzd5U8L57wqTnCR7ftCasFyGKUMpCTdpump</t>
        </is>
      </c>
      <c r="P236" s="16">
        <f>HYPERLINK("https://dexscreener.com/solana/E4zf5YrNZJzd5U8L57wqTnCR7ftCasFyGKUMpCTdpump", "View")</f>
        <v/>
      </c>
    </row>
    <row r="237">
      <c r="A237" s="19" t="inlineStr">
        <is>
          <t>stinkgen</t>
        </is>
      </c>
      <c r="B237" s="20" t="n">
        <v>994351</v>
      </c>
      <c r="C237" s="20" t="n">
        <v>745762</v>
      </c>
      <c r="D237" s="20" t="inlineStr">
        <is>
          <t>0.001610</t>
        </is>
      </c>
      <c r="E237" s="20" t="inlineStr">
        <is>
          <t>1.000 SOL</t>
        </is>
      </c>
      <c r="F237" s="20" t="inlineStr">
        <is>
          <t>5.803 SOL</t>
        </is>
      </c>
      <c r="G237" s="23" t="inlineStr">
        <is>
          <t>4.801 SOL</t>
        </is>
      </c>
      <c r="H237" s="23" t="inlineStr">
        <is>
          <t>479.37%</t>
        </is>
      </c>
      <c r="I237" s="20" t="inlineStr">
        <is>
          <t>N/A</t>
        </is>
      </c>
      <c r="J237" s="20" t="n">
        <v>1</v>
      </c>
      <c r="K237" s="20" t="n">
        <v>2</v>
      </c>
      <c r="L237" s="20" t="inlineStr">
        <is>
          <t>16.10.2024 18:20:44</t>
        </is>
      </c>
      <c r="M237" s="20" t="inlineStr">
        <is>
          <t>12 hours</t>
        </is>
      </c>
      <c r="N237" s="20" t="inlineStr">
        <is>
          <t xml:space="preserve">        177K           177K            18K</t>
        </is>
      </c>
      <c r="O237" s="20" t="inlineStr">
        <is>
          <t>5PHGgTLR82QS66HGbRrJDr6GxbgNFHLJ4fwJD3rdpump</t>
        </is>
      </c>
      <c r="P237" s="20">
        <f>HYPERLINK("https://dexscreener.com/solana/5PHGgTLR82QS66HGbRrJDr6GxbgNFHLJ4fwJD3rdpump", "View")</f>
        <v/>
      </c>
    </row>
    <row r="238">
      <c r="A238" s="15" t="inlineStr">
        <is>
          <t>$MOBY</t>
        </is>
      </c>
      <c r="B238" s="16" t="n">
        <v>17242</v>
      </c>
      <c r="C238" s="16" t="n">
        <v>0</v>
      </c>
      <c r="D238" s="16" t="inlineStr">
        <is>
          <t>0.000600</t>
        </is>
      </c>
      <c r="E238" s="16" t="inlineStr">
        <is>
          <t>1.000 SOL</t>
        </is>
      </c>
      <c r="F238" s="16" t="inlineStr">
        <is>
          <t>0.000 SOL</t>
        </is>
      </c>
      <c r="G238" s="17" t="inlineStr">
        <is>
          <t>-1.001 SOL</t>
        </is>
      </c>
      <c r="H238" s="17" t="inlineStr">
        <is>
          <t>0.00%</t>
        </is>
      </c>
      <c r="I238" s="16" t="inlineStr">
        <is>
          <t>17,242</t>
        </is>
      </c>
      <c r="J238" s="16" t="n">
        <v>1</v>
      </c>
      <c r="K238" s="16" t="n">
        <v>0</v>
      </c>
      <c r="L238" s="16" t="inlineStr">
        <is>
          <t>16.10.2024 18:03:22</t>
        </is>
      </c>
      <c r="M238" s="18" t="inlineStr">
        <is>
          <t>0 sec</t>
        </is>
      </c>
      <c r="N238" s="16" t="inlineStr">
        <is>
          <t xml:space="preserve">        N/A           N/A           N/A</t>
        </is>
      </c>
      <c r="O238" s="16" t="inlineStr">
        <is>
          <t>D24McsHsXN14EfPKEzFvDm65ujwVYWk5PNWVuJNWzLHe</t>
        </is>
      </c>
      <c r="P238" s="16">
        <f>HYPERLINK("https://dexscreener.com/solana/D24McsHsXN14EfPKEzFvDm65ujwVYWk5PNWVuJNWzLHe", "View")</f>
        <v/>
      </c>
    </row>
    <row r="239">
      <c r="A239" s="19" t="inlineStr">
        <is>
          <t>CHIRPY</t>
        </is>
      </c>
      <c r="B239" s="20" t="n">
        <v>5829</v>
      </c>
      <c r="C239" s="20" t="n">
        <v>0</v>
      </c>
      <c r="D239" s="20" t="inlineStr">
        <is>
          <t>0.000600</t>
        </is>
      </c>
      <c r="E239" s="20" t="inlineStr">
        <is>
          <t>1.000 SOL</t>
        </is>
      </c>
      <c r="F239" s="20" t="inlineStr">
        <is>
          <t>0.000 SOL</t>
        </is>
      </c>
      <c r="G239" s="17" t="inlineStr">
        <is>
          <t>-1.001 SOL</t>
        </is>
      </c>
      <c r="H239" s="17" t="inlineStr">
        <is>
          <t>0.00%</t>
        </is>
      </c>
      <c r="I239" s="20" t="inlineStr">
        <is>
          <t>5,829</t>
        </is>
      </c>
      <c r="J239" s="20" t="n">
        <v>1</v>
      </c>
      <c r="K239" s="20" t="n">
        <v>0</v>
      </c>
      <c r="L239" s="20" t="inlineStr">
        <is>
          <t>16.10.2024 17:46:13</t>
        </is>
      </c>
      <c r="M239" s="18" t="inlineStr">
        <is>
          <t>0 sec</t>
        </is>
      </c>
      <c r="N239" s="20" t="inlineStr">
        <is>
          <t xml:space="preserve">        N/A           N/A           N/A</t>
        </is>
      </c>
      <c r="O239" s="20" t="inlineStr">
        <is>
          <t>EaYfc2165CGCdX73xibTu7xGYhjKJCbs9todS5EtejtH</t>
        </is>
      </c>
      <c r="P239" s="20">
        <f>HYPERLINK("https://dexscreener.com/solana/EaYfc2165CGCdX73xibTu7xGYhjKJCbs9todS5EtejtH", "View")</f>
        <v/>
      </c>
    </row>
    <row r="240">
      <c r="A240" s="15" t="inlineStr">
        <is>
          <t>MVP</t>
        </is>
      </c>
      <c r="B240" s="16" t="n">
        <v>3963828</v>
      </c>
      <c r="C240" s="16" t="n">
        <v>0</v>
      </c>
      <c r="D240" s="16" t="inlineStr">
        <is>
          <t>0.000600</t>
        </is>
      </c>
      <c r="E240" s="16" t="inlineStr">
        <is>
          <t>1.000 SOL</t>
        </is>
      </c>
      <c r="F240" s="16" t="inlineStr">
        <is>
          <t>0.000 SOL</t>
        </is>
      </c>
      <c r="G240" s="17" t="inlineStr">
        <is>
          <t>-1.001 SOL</t>
        </is>
      </c>
      <c r="H240" s="17" t="inlineStr">
        <is>
          <t>0.00%</t>
        </is>
      </c>
      <c r="I240" s="16" t="inlineStr">
        <is>
          <t>3,963,828</t>
        </is>
      </c>
      <c r="J240" s="16" t="n">
        <v>1</v>
      </c>
      <c r="K240" s="16" t="n">
        <v>0</v>
      </c>
      <c r="L240" s="16" t="inlineStr">
        <is>
          <t>16.10.2024 16:45:34</t>
        </is>
      </c>
      <c r="M240" s="18" t="inlineStr">
        <is>
          <t>0 sec</t>
        </is>
      </c>
      <c r="N240" s="16" t="inlineStr">
        <is>
          <t xml:space="preserve">         44K            44K             4K</t>
        </is>
      </c>
      <c r="O240" s="16" t="inlineStr">
        <is>
          <t>FkFj73tdxwR5qVrp2WxaYmEkesEV2sf7KVs4HQjEpump</t>
        </is>
      </c>
      <c r="P240" s="16">
        <f>HYPERLINK("https://dexscreener.com/solana/FkFj73tdxwR5qVrp2WxaYmEkesEV2sf7KVs4HQjEpump", "View")</f>
        <v/>
      </c>
    </row>
    <row r="241">
      <c r="A241" s="19" t="inlineStr">
        <is>
          <t>OI</t>
        </is>
      </c>
      <c r="B241" s="20" t="n">
        <v>2796314</v>
      </c>
      <c r="C241" s="20" t="n">
        <v>0</v>
      </c>
      <c r="D241" s="20" t="inlineStr">
        <is>
          <t>0.000600</t>
        </is>
      </c>
      <c r="E241" s="20" t="inlineStr">
        <is>
          <t>1.000 SOL</t>
        </is>
      </c>
      <c r="F241" s="20" t="inlineStr">
        <is>
          <t>0.000 SOL</t>
        </is>
      </c>
      <c r="G241" s="17" t="inlineStr">
        <is>
          <t>-1.001 SOL</t>
        </is>
      </c>
      <c r="H241" s="17" t="inlineStr">
        <is>
          <t>0.00%</t>
        </is>
      </c>
      <c r="I241" s="20" t="inlineStr">
        <is>
          <t>2,796,314</t>
        </is>
      </c>
      <c r="J241" s="20" t="n">
        <v>1</v>
      </c>
      <c r="K241" s="20" t="n">
        <v>0</v>
      </c>
      <c r="L241" s="20" t="inlineStr">
        <is>
          <t>16.10.2024 15:48:25</t>
        </is>
      </c>
      <c r="M241" s="18" t="inlineStr">
        <is>
          <t>0 sec</t>
        </is>
      </c>
      <c r="N241" s="20" t="inlineStr">
        <is>
          <t xml:space="preserve">         63K            63K             5K</t>
        </is>
      </c>
      <c r="O241" s="20" t="inlineStr">
        <is>
          <t>9jXM5YVmVu6D8DVNo7J2cLFWK1MCCWdS3GpGb2HSpump</t>
        </is>
      </c>
      <c r="P241" s="20">
        <f>HYPERLINK("https://dexscreener.com/solana/9jXM5YVmVu6D8DVNo7J2cLFWK1MCCWdS3GpGb2HSpump", "View")</f>
        <v/>
      </c>
    </row>
    <row r="242">
      <c r="A242" s="15" t="inlineStr">
        <is>
          <t>PEPEAI</t>
        </is>
      </c>
      <c r="B242" s="16" t="n">
        <v>667125</v>
      </c>
      <c r="C242" s="16" t="n">
        <v>0</v>
      </c>
      <c r="D242" s="16" t="inlineStr">
        <is>
          <t>0.000600</t>
        </is>
      </c>
      <c r="E242" s="16" t="inlineStr">
        <is>
          <t>1.000 SOL</t>
        </is>
      </c>
      <c r="F242" s="16" t="inlineStr">
        <is>
          <t>0.000 SOL</t>
        </is>
      </c>
      <c r="G242" s="17" t="inlineStr">
        <is>
          <t>-1.001 SOL</t>
        </is>
      </c>
      <c r="H242" s="17" t="inlineStr">
        <is>
          <t>0.00%</t>
        </is>
      </c>
      <c r="I242" s="16" t="inlineStr">
        <is>
          <t>667,125</t>
        </is>
      </c>
      <c r="J242" s="16" t="n">
        <v>1</v>
      </c>
      <c r="K242" s="16" t="n">
        <v>0</v>
      </c>
      <c r="L242" s="16" t="inlineStr">
        <is>
          <t>16.10.2024 13:48:24</t>
        </is>
      </c>
      <c r="M242" s="18" t="inlineStr">
        <is>
          <t>0 sec</t>
        </is>
      </c>
      <c r="N242" s="16" t="inlineStr">
        <is>
          <t xml:space="preserve">        261K           261K             5K</t>
        </is>
      </c>
      <c r="O242" s="16" t="inlineStr">
        <is>
          <t>qWk29vM8KGYKBnBfgXCjThfzzXf6ry6X874bARRpump</t>
        </is>
      </c>
      <c r="P242" s="16">
        <f>HYPERLINK("https://dexscreener.com/solana/qWk29vM8KGYKBnBfgXCjThfzzXf6ry6X874bARRpump", "View")</f>
        <v/>
      </c>
    </row>
    <row r="243">
      <c r="A243" s="19" t="inlineStr">
        <is>
          <t>PETE</t>
        </is>
      </c>
      <c r="B243" s="20" t="n">
        <v>5131409</v>
      </c>
      <c r="C243" s="20" t="n">
        <v>0</v>
      </c>
      <c r="D243" s="20" t="inlineStr">
        <is>
          <t>0.000600</t>
        </is>
      </c>
      <c r="E243" s="20" t="inlineStr">
        <is>
          <t>1.000 SOL</t>
        </is>
      </c>
      <c r="F243" s="20" t="inlineStr">
        <is>
          <t>0.000 SOL</t>
        </is>
      </c>
      <c r="G243" s="17" t="inlineStr">
        <is>
          <t>-1.001 SOL</t>
        </is>
      </c>
      <c r="H243" s="17" t="inlineStr">
        <is>
          <t>0.00%</t>
        </is>
      </c>
      <c r="I243" s="20" t="inlineStr">
        <is>
          <t>5,131,409</t>
        </is>
      </c>
      <c r="J243" s="20" t="n">
        <v>1</v>
      </c>
      <c r="K243" s="20" t="n">
        <v>0</v>
      </c>
      <c r="L243" s="20" t="inlineStr">
        <is>
          <t>16.10.2024 12:51:22</t>
        </is>
      </c>
      <c r="M243" s="18" t="inlineStr">
        <is>
          <t>0 sec</t>
        </is>
      </c>
      <c r="N243" s="20" t="inlineStr">
        <is>
          <t xml:space="preserve">         33K            33K            10K</t>
        </is>
      </c>
      <c r="O243" s="20" t="inlineStr">
        <is>
          <t>2iHPMyLKDwFjYQP4B9nLNQKjX4bPYCMGy2KuRZMmpump</t>
        </is>
      </c>
      <c r="P243" s="20">
        <f>HYPERLINK("https://dexscreener.com/solana/2iHPMyLKDwFjYQP4B9nLNQKjX4bPYCMGy2KuRZMmpump", "View")</f>
        <v/>
      </c>
    </row>
    <row r="244">
      <c r="A244" s="15" t="inlineStr">
        <is>
          <t>TAYLUR</t>
        </is>
      </c>
      <c r="B244" s="16" t="n">
        <v>3598076</v>
      </c>
      <c r="C244" s="16" t="n">
        <v>0</v>
      </c>
      <c r="D244" s="16" t="inlineStr">
        <is>
          <t>0.000600</t>
        </is>
      </c>
      <c r="E244" s="16" t="inlineStr">
        <is>
          <t>1.000 SOL</t>
        </is>
      </c>
      <c r="F244" s="16" t="inlineStr">
        <is>
          <t>0.000 SOL</t>
        </is>
      </c>
      <c r="G244" s="17" t="inlineStr">
        <is>
          <t>-1.001 SOL</t>
        </is>
      </c>
      <c r="H244" s="17" t="inlineStr">
        <is>
          <t>0.00%</t>
        </is>
      </c>
      <c r="I244" s="16" t="inlineStr">
        <is>
          <t>3,598,076</t>
        </is>
      </c>
      <c r="J244" s="16" t="n">
        <v>1</v>
      </c>
      <c r="K244" s="16" t="n">
        <v>0</v>
      </c>
      <c r="L244" s="16" t="inlineStr">
        <is>
          <t>16.10.2024 10:18:22</t>
        </is>
      </c>
      <c r="M244" s="18" t="inlineStr">
        <is>
          <t>0 sec</t>
        </is>
      </c>
      <c r="N244" s="16" t="inlineStr">
        <is>
          <t xml:space="preserve">         49K            49K             5K</t>
        </is>
      </c>
      <c r="O244" s="16" t="inlineStr">
        <is>
          <t>Dtn3jm4mRQdqEMA6Ub96L7agyniJUMTUdEYgVViBpump</t>
        </is>
      </c>
      <c r="P244" s="16">
        <f>HYPERLINK("https://dexscreener.com/solana/Dtn3jm4mRQdqEMA6Ub96L7agyniJUMTUdEYgVViBpump", "View")</f>
        <v/>
      </c>
    </row>
    <row r="245">
      <c r="A245" s="19" t="inlineStr">
        <is>
          <t>CATAI</t>
        </is>
      </c>
      <c r="B245" s="20" t="n">
        <v>443255</v>
      </c>
      <c r="C245" s="20" t="n">
        <v>0</v>
      </c>
      <c r="D245" s="20" t="inlineStr">
        <is>
          <t>0.000600</t>
        </is>
      </c>
      <c r="E245" s="20" t="inlineStr">
        <is>
          <t>1.000 SOL</t>
        </is>
      </c>
      <c r="F245" s="20" t="inlineStr">
        <is>
          <t>0.000 SOL</t>
        </is>
      </c>
      <c r="G245" s="17" t="inlineStr">
        <is>
          <t>-1.001 SOL</t>
        </is>
      </c>
      <c r="H245" s="17" t="inlineStr">
        <is>
          <t>0.00%</t>
        </is>
      </c>
      <c r="I245" s="20" t="inlineStr">
        <is>
          <t>443,255</t>
        </is>
      </c>
      <c r="J245" s="20" t="n">
        <v>1</v>
      </c>
      <c r="K245" s="20" t="n">
        <v>0</v>
      </c>
      <c r="L245" s="20" t="inlineStr">
        <is>
          <t>16.10.2024 10:06:25</t>
        </is>
      </c>
      <c r="M245" s="18" t="inlineStr">
        <is>
          <t>0 sec</t>
        </is>
      </c>
      <c r="N245" s="20" t="inlineStr">
        <is>
          <t xml:space="preserve">        397K           397K            16K</t>
        </is>
      </c>
      <c r="O245" s="20" t="inlineStr">
        <is>
          <t>2T7TigEJc6pAzy4q7GkDZbhLoigmWUS3dJApg6Ropump</t>
        </is>
      </c>
      <c r="P245" s="20">
        <f>HYPERLINK("https://dexscreener.com/solana/2T7TigEJc6pAzy4q7GkDZbhLoigmWUS3dJApg6Ropump", "View")</f>
        <v/>
      </c>
    </row>
    <row r="246">
      <c r="A246" s="15" t="inlineStr">
        <is>
          <t>SULLIVAN</t>
        </is>
      </c>
      <c r="B246" s="16" t="n">
        <v>3755349</v>
      </c>
      <c r="C246" s="16" t="n">
        <v>0</v>
      </c>
      <c r="D246" s="16" t="inlineStr">
        <is>
          <t>0.000600</t>
        </is>
      </c>
      <c r="E246" s="16" t="inlineStr">
        <is>
          <t>1.000 SOL</t>
        </is>
      </c>
      <c r="F246" s="16" t="inlineStr">
        <is>
          <t>0.000 SOL</t>
        </is>
      </c>
      <c r="G246" s="17" t="inlineStr">
        <is>
          <t>-1.001 SOL</t>
        </is>
      </c>
      <c r="H246" s="17" t="inlineStr">
        <is>
          <t>0.00%</t>
        </is>
      </c>
      <c r="I246" s="16" t="inlineStr">
        <is>
          <t>3,755,349</t>
        </is>
      </c>
      <c r="J246" s="16" t="n">
        <v>1</v>
      </c>
      <c r="K246" s="16" t="n">
        <v>0</v>
      </c>
      <c r="L246" s="16" t="inlineStr">
        <is>
          <t>16.10.2024 09:57:17</t>
        </is>
      </c>
      <c r="M246" s="18" t="inlineStr">
        <is>
          <t>0 sec</t>
        </is>
      </c>
      <c r="N246" s="16" t="inlineStr">
        <is>
          <t xml:space="preserve">         47K            47K             6K</t>
        </is>
      </c>
      <c r="O246" s="16" t="inlineStr">
        <is>
          <t>GbKNJGm5pYLX8Kc3qYmh9cozMNK6wWZwjDiBCaqcpump</t>
        </is>
      </c>
      <c r="P246" s="16">
        <f>HYPERLINK("https://dexscreener.com/solana/GbKNJGm5pYLX8Kc3qYmh9cozMNK6wWZwjDiBCaqcpump", "View")</f>
        <v/>
      </c>
    </row>
    <row r="247">
      <c r="A247" s="19" t="inlineStr">
        <is>
          <t>Taylor</t>
        </is>
      </c>
      <c r="B247" s="20" t="n">
        <v>258355</v>
      </c>
      <c r="C247" s="20" t="n">
        <v>0</v>
      </c>
      <c r="D247" s="20" t="inlineStr">
        <is>
          <t>0.000600</t>
        </is>
      </c>
      <c r="E247" s="20" t="inlineStr">
        <is>
          <t>1.000 SOL</t>
        </is>
      </c>
      <c r="F247" s="20" t="inlineStr">
        <is>
          <t>0.000 SOL</t>
        </is>
      </c>
      <c r="G247" s="17" t="inlineStr">
        <is>
          <t>-1.001 SOL</t>
        </is>
      </c>
      <c r="H247" s="17" t="inlineStr">
        <is>
          <t>0.00%</t>
        </is>
      </c>
      <c r="I247" s="20" t="inlineStr">
        <is>
          <t>258,355</t>
        </is>
      </c>
      <c r="J247" s="20" t="n">
        <v>1</v>
      </c>
      <c r="K247" s="20" t="n">
        <v>0</v>
      </c>
      <c r="L247" s="20" t="inlineStr">
        <is>
          <t>16.10.2024 09:42:28</t>
        </is>
      </c>
      <c r="M247" s="18" t="inlineStr">
        <is>
          <t>0 sec</t>
        </is>
      </c>
      <c r="N247" s="20" t="inlineStr">
        <is>
          <t xml:space="preserve">        N/A           N/A           N/A</t>
        </is>
      </c>
      <c r="O247" s="20" t="inlineStr">
        <is>
          <t>73LsT1ay85UgSvbUB3p9ZDxknB7UaWwATGXcg9rMpump</t>
        </is>
      </c>
      <c r="P247" s="20">
        <f>HYPERLINK("https://dexscreener.com/solana/73LsT1ay85UgSvbUB3p9ZDxknB7UaWwATGXcg9rMpump", "View")</f>
        <v/>
      </c>
    </row>
    <row r="248">
      <c r="A248" s="15" t="inlineStr">
        <is>
          <t>GOAT2</t>
        </is>
      </c>
      <c r="B248" s="16" t="n">
        <v>711469</v>
      </c>
      <c r="C248" s="16" t="n">
        <v>0</v>
      </c>
      <c r="D248" s="16" t="inlineStr">
        <is>
          <t>0.000600</t>
        </is>
      </c>
      <c r="E248" s="16" t="inlineStr">
        <is>
          <t>1.000 SOL</t>
        </is>
      </c>
      <c r="F248" s="16" t="inlineStr">
        <is>
          <t>0.000 SOL</t>
        </is>
      </c>
      <c r="G248" s="17" t="inlineStr">
        <is>
          <t>-1.001 SOL</t>
        </is>
      </c>
      <c r="H248" s="17" t="inlineStr">
        <is>
          <t>0.00%</t>
        </is>
      </c>
      <c r="I248" s="16" t="inlineStr">
        <is>
          <t>711,469</t>
        </is>
      </c>
      <c r="J248" s="16" t="n">
        <v>1</v>
      </c>
      <c r="K248" s="16" t="n">
        <v>0</v>
      </c>
      <c r="L248" s="16" t="inlineStr">
        <is>
          <t>16.10.2024 08:03:32</t>
        </is>
      </c>
      <c r="M248" s="18" t="inlineStr">
        <is>
          <t>0 sec</t>
        </is>
      </c>
      <c r="N248" s="16" t="inlineStr">
        <is>
          <t xml:space="preserve">        248K           248K             8K</t>
        </is>
      </c>
      <c r="O248" s="16" t="inlineStr">
        <is>
          <t>EWKCSAyuWFCTKHXnomA3V81drupcj2fKP9yvsdbdpump</t>
        </is>
      </c>
      <c r="P248" s="16">
        <f>HYPERLINK("https://dexscreener.com/solana/EWKCSAyuWFCTKHXnomA3V81drupcj2fKP9yvsdbdpump", "View")</f>
        <v/>
      </c>
    </row>
    <row r="249">
      <c r="A249" s="19" t="inlineStr">
        <is>
          <t>QUACK</t>
        </is>
      </c>
      <c r="B249" s="20" t="n">
        <v>514</v>
      </c>
      <c r="C249" s="20" t="n">
        <v>0</v>
      </c>
      <c r="D249" s="20" t="inlineStr">
        <is>
          <t>0.000600</t>
        </is>
      </c>
      <c r="E249" s="20" t="inlineStr">
        <is>
          <t>1.000 SOL</t>
        </is>
      </c>
      <c r="F249" s="20" t="inlineStr">
        <is>
          <t>0.000 SOL</t>
        </is>
      </c>
      <c r="G249" s="17" t="inlineStr">
        <is>
          <t>-1.001 SOL</t>
        </is>
      </c>
      <c r="H249" s="17" t="inlineStr">
        <is>
          <t>0.00%</t>
        </is>
      </c>
      <c r="I249" s="20" t="inlineStr">
        <is>
          <t>514</t>
        </is>
      </c>
      <c r="J249" s="20" t="n">
        <v>1</v>
      </c>
      <c r="K249" s="20" t="n">
        <v>0</v>
      </c>
      <c r="L249" s="20" t="inlineStr">
        <is>
          <t>16.10.2024 06:33:22</t>
        </is>
      </c>
      <c r="M249" s="18" t="inlineStr">
        <is>
          <t>0 sec</t>
        </is>
      </c>
      <c r="N249" s="20" t="inlineStr">
        <is>
          <t xml:space="preserve">        N/A           N/A           N/A</t>
        </is>
      </c>
      <c r="O249" s="20" t="inlineStr">
        <is>
          <t>EhuPypJBb9ocHn8APiCWEmQjhqBmDkWDGVX7H9p1pump</t>
        </is>
      </c>
      <c r="P249" s="20">
        <f>HYPERLINK("https://dexscreener.com/solana/EhuPypJBb9ocHn8APiCWEmQjhqBmDkWDGVX7H9p1pump", "View")</f>
        <v/>
      </c>
    </row>
    <row r="250">
      <c r="A250" s="15" t="inlineStr">
        <is>
          <t>MOW</t>
        </is>
      </c>
      <c r="B250" s="16" t="n">
        <v>533</v>
      </c>
      <c r="C250" s="16" t="n">
        <v>0</v>
      </c>
      <c r="D250" s="16" t="inlineStr">
        <is>
          <t>0.000600</t>
        </is>
      </c>
      <c r="E250" s="16" t="inlineStr">
        <is>
          <t>1.000 SOL</t>
        </is>
      </c>
      <c r="F250" s="16" t="inlineStr">
        <is>
          <t>0.000 SOL</t>
        </is>
      </c>
      <c r="G250" s="17" t="inlineStr">
        <is>
          <t>-1.001 SOL</t>
        </is>
      </c>
      <c r="H250" s="17" t="inlineStr">
        <is>
          <t>0.00%</t>
        </is>
      </c>
      <c r="I250" s="16" t="inlineStr">
        <is>
          <t>533</t>
        </is>
      </c>
      <c r="J250" s="16" t="n">
        <v>1</v>
      </c>
      <c r="K250" s="16" t="n">
        <v>0</v>
      </c>
      <c r="L250" s="16" t="inlineStr">
        <is>
          <t>16.10.2024 05:15:30</t>
        </is>
      </c>
      <c r="M250" s="18" t="inlineStr">
        <is>
          <t>0 sec</t>
        </is>
      </c>
      <c r="N250" s="16" t="inlineStr">
        <is>
          <t xml:space="preserve">        N/A           N/A           N/A</t>
        </is>
      </c>
      <c r="O250" s="16" t="inlineStr">
        <is>
          <t>4RXz1roYHfv7UMeuKhCCbr8c519ntktkFiArCXCCpump</t>
        </is>
      </c>
      <c r="P250" s="16">
        <f>HYPERLINK("https://dexscreener.com/solana/4RXz1roYHfv7UMeuKhCCbr8c519ntktkFiArCXCCpump", "View")</f>
        <v/>
      </c>
    </row>
    <row r="251">
      <c r="A251" s="19" t="inlineStr">
        <is>
          <t>Gayi</t>
        </is>
      </c>
      <c r="B251" s="20" t="n">
        <v>1894573</v>
      </c>
      <c r="C251" s="20" t="n">
        <v>0</v>
      </c>
      <c r="D251" s="20" t="inlineStr">
        <is>
          <t>0.000600</t>
        </is>
      </c>
      <c r="E251" s="20" t="inlineStr">
        <is>
          <t>1.000 SOL</t>
        </is>
      </c>
      <c r="F251" s="20" t="inlineStr">
        <is>
          <t>0.000 SOL</t>
        </is>
      </c>
      <c r="G251" s="17" t="inlineStr">
        <is>
          <t>-1.001 SOL</t>
        </is>
      </c>
      <c r="H251" s="17" t="inlineStr">
        <is>
          <t>0.00%</t>
        </is>
      </c>
      <c r="I251" s="20" t="inlineStr">
        <is>
          <t>1,894,573</t>
        </is>
      </c>
      <c r="J251" s="20" t="n">
        <v>1</v>
      </c>
      <c r="K251" s="20" t="n">
        <v>0</v>
      </c>
      <c r="L251" s="20" t="inlineStr">
        <is>
          <t>16.10.2024 05:09:20</t>
        </is>
      </c>
      <c r="M251" s="18" t="inlineStr">
        <is>
          <t>0 sec</t>
        </is>
      </c>
      <c r="N251" s="20" t="inlineStr">
        <is>
          <t xml:space="preserve">         93K            93K             4K</t>
        </is>
      </c>
      <c r="O251" s="20" t="inlineStr">
        <is>
          <t>5LDKU2JpdgxUmzQq3aQL3tYCWxKf5iXtEXpkGTdHpump</t>
        </is>
      </c>
      <c r="P251" s="20">
        <f>HYPERLINK("https://dexscreener.com/solana/5LDKU2JpdgxUmzQq3aQL3tYCWxKf5iXtEXpkGTdHpump", "View")</f>
        <v/>
      </c>
    </row>
    <row r="252">
      <c r="A252" s="15" t="inlineStr">
        <is>
          <t>$MONKAS</t>
        </is>
      </c>
      <c r="B252" s="16" t="n">
        <v>2737</v>
      </c>
      <c r="C252" s="16" t="n">
        <v>0</v>
      </c>
      <c r="D252" s="16" t="inlineStr">
        <is>
          <t>0.000600</t>
        </is>
      </c>
      <c r="E252" s="16" t="inlineStr">
        <is>
          <t>1.000 SOL</t>
        </is>
      </c>
      <c r="F252" s="16" t="inlineStr">
        <is>
          <t>0.000 SOL</t>
        </is>
      </c>
      <c r="G252" s="17" t="inlineStr">
        <is>
          <t>-1.001 SOL</t>
        </is>
      </c>
      <c r="H252" s="17" t="inlineStr">
        <is>
          <t>0.00%</t>
        </is>
      </c>
      <c r="I252" s="16" t="inlineStr">
        <is>
          <t>2,737</t>
        </is>
      </c>
      <c r="J252" s="16" t="n">
        <v>1</v>
      </c>
      <c r="K252" s="16" t="n">
        <v>0</v>
      </c>
      <c r="L252" s="16" t="inlineStr">
        <is>
          <t>16.10.2024 04:03:18</t>
        </is>
      </c>
      <c r="M252" s="18" t="inlineStr">
        <is>
          <t>0 sec</t>
        </is>
      </c>
      <c r="N252" s="16" t="inlineStr">
        <is>
          <t xml:space="preserve">        N/A           N/A           N/A</t>
        </is>
      </c>
      <c r="O252" s="16" t="inlineStr">
        <is>
          <t>BQedNRMwBsgMh6wWupC8bFfaS3dLBSNrWF3sFoYKpump</t>
        </is>
      </c>
      <c r="P252" s="16">
        <f>HYPERLINK("https://dexscreener.com/solana/BQedNRMwBsgMh6wWupC8bFfaS3dLBSNrWF3sFoYKpump", "View")</f>
        <v/>
      </c>
    </row>
    <row r="253">
      <c r="A253" s="19" t="inlineStr">
        <is>
          <t>Tamagotchi</t>
        </is>
      </c>
      <c r="B253" s="20" t="n">
        <v>869730</v>
      </c>
      <c r="C253" s="20" t="n">
        <v>0</v>
      </c>
      <c r="D253" s="20" t="inlineStr">
        <is>
          <t>0.000600</t>
        </is>
      </c>
      <c r="E253" s="20" t="inlineStr">
        <is>
          <t>1.000 SOL</t>
        </is>
      </c>
      <c r="F253" s="20" t="inlineStr">
        <is>
          <t>0.000 SOL</t>
        </is>
      </c>
      <c r="G253" s="17" t="inlineStr">
        <is>
          <t>-1.001 SOL</t>
        </is>
      </c>
      <c r="H253" s="17" t="inlineStr">
        <is>
          <t>0.00%</t>
        </is>
      </c>
      <c r="I253" s="20" t="inlineStr">
        <is>
          <t>869,730</t>
        </is>
      </c>
      <c r="J253" s="20" t="n">
        <v>1</v>
      </c>
      <c r="K253" s="20" t="n">
        <v>0</v>
      </c>
      <c r="L253" s="20" t="inlineStr">
        <is>
          <t>16.10.2024 03:27:26</t>
        </is>
      </c>
      <c r="M253" s="18" t="inlineStr">
        <is>
          <t>0 sec</t>
        </is>
      </c>
      <c r="N253" s="20" t="inlineStr">
        <is>
          <t xml:space="preserve">        202K           202K             6K</t>
        </is>
      </c>
      <c r="O253" s="20" t="inlineStr">
        <is>
          <t>ExAmXuCUGSJArR9cFYHTRr3TiA7Jn9cfFZgJcL4Kpump</t>
        </is>
      </c>
      <c r="P253" s="20">
        <f>HYPERLINK("https://dexscreener.com/solana/ExAmXuCUGSJArR9cFYHTRr3TiA7Jn9cfFZgJcL4Kpump", "View")</f>
        <v/>
      </c>
    </row>
    <row r="254">
      <c r="A254" s="15" t="inlineStr">
        <is>
          <t>FDLZ</t>
        </is>
      </c>
      <c r="B254" s="16" t="n">
        <v>647226</v>
      </c>
      <c r="C254" s="16" t="n">
        <v>0</v>
      </c>
      <c r="D254" s="16" t="inlineStr">
        <is>
          <t>0.000600</t>
        </is>
      </c>
      <c r="E254" s="16" t="inlineStr">
        <is>
          <t>1.000 SOL</t>
        </is>
      </c>
      <c r="F254" s="16" t="inlineStr">
        <is>
          <t>0.000 SOL</t>
        </is>
      </c>
      <c r="G254" s="17" t="inlineStr">
        <is>
          <t>-1.001 SOL</t>
        </is>
      </c>
      <c r="H254" s="17" t="inlineStr">
        <is>
          <t>0.00%</t>
        </is>
      </c>
      <c r="I254" s="16" t="inlineStr">
        <is>
          <t>647,226</t>
        </is>
      </c>
      <c r="J254" s="16" t="n">
        <v>1</v>
      </c>
      <c r="K254" s="16" t="n">
        <v>0</v>
      </c>
      <c r="L254" s="16" t="inlineStr">
        <is>
          <t>16.10.2024 03:00:35</t>
        </is>
      </c>
      <c r="M254" s="18" t="inlineStr">
        <is>
          <t>0 sec</t>
        </is>
      </c>
      <c r="N254" s="16" t="inlineStr">
        <is>
          <t xml:space="preserve">        272K           272K            49K</t>
        </is>
      </c>
      <c r="O254" s="16" t="inlineStr">
        <is>
          <t>FGSheu4NuiGqf8zjP9Na5BtdQTmd1SzfcdYZAHHNpump</t>
        </is>
      </c>
      <c r="P254" s="16">
        <f>HYPERLINK("https://dexscreener.com/solana/FGSheu4NuiGqf8zjP9Na5BtdQTmd1SzfcdYZAHHNpump", "View")</f>
        <v/>
      </c>
    </row>
    <row r="255">
      <c r="A255" s="19" t="inlineStr">
        <is>
          <t>PARKSAI</t>
        </is>
      </c>
      <c r="B255" s="20" t="n">
        <v>1205736</v>
      </c>
      <c r="C255" s="20" t="n">
        <v>0</v>
      </c>
      <c r="D255" s="20" t="inlineStr">
        <is>
          <t>0.000600</t>
        </is>
      </c>
      <c r="E255" s="20" t="inlineStr">
        <is>
          <t>1.000 SOL</t>
        </is>
      </c>
      <c r="F255" s="20" t="inlineStr">
        <is>
          <t>0.000 SOL</t>
        </is>
      </c>
      <c r="G255" s="17" t="inlineStr">
        <is>
          <t>-1.001 SOL</t>
        </is>
      </c>
      <c r="H255" s="17" t="inlineStr">
        <is>
          <t>0.00%</t>
        </is>
      </c>
      <c r="I255" s="20" t="inlineStr">
        <is>
          <t>1,205,736</t>
        </is>
      </c>
      <c r="J255" s="20" t="n">
        <v>1</v>
      </c>
      <c r="K255" s="20" t="n">
        <v>0</v>
      </c>
      <c r="L255" s="20" t="inlineStr">
        <is>
          <t>16.10.2024 02:06:30</t>
        </is>
      </c>
      <c r="M255" s="18" t="inlineStr">
        <is>
          <t>0 sec</t>
        </is>
      </c>
      <c r="N255" s="20" t="inlineStr">
        <is>
          <t xml:space="preserve">        146K           146K            10K</t>
        </is>
      </c>
      <c r="O255" s="20" t="inlineStr">
        <is>
          <t>3P975i1iZF5oYrvzpbmdE41CpuHAEbdvGYe5DdTZpump</t>
        </is>
      </c>
      <c r="P255" s="20">
        <f>HYPERLINK("https://dexscreener.com/solana/3P975i1iZF5oYrvzpbmdE41CpuHAEbdvGYe5DdTZpump", "View")</f>
        <v/>
      </c>
    </row>
    <row r="256">
      <c r="A256" s="15" t="inlineStr">
        <is>
          <t>NNN</t>
        </is>
      </c>
      <c r="B256" s="16" t="n">
        <v>10192901</v>
      </c>
      <c r="C256" s="16" t="n">
        <v>0</v>
      </c>
      <c r="D256" s="16" t="inlineStr">
        <is>
          <t>0.000600</t>
        </is>
      </c>
      <c r="E256" s="16" t="inlineStr">
        <is>
          <t>1.000 SOL</t>
        </is>
      </c>
      <c r="F256" s="16" t="inlineStr">
        <is>
          <t>0.000 SOL</t>
        </is>
      </c>
      <c r="G256" s="17" t="inlineStr">
        <is>
          <t>-1.001 SOL</t>
        </is>
      </c>
      <c r="H256" s="17" t="inlineStr">
        <is>
          <t>0.00%</t>
        </is>
      </c>
      <c r="I256" s="16" t="inlineStr">
        <is>
          <t>10,192,901</t>
        </is>
      </c>
      <c r="J256" s="16" t="n">
        <v>1</v>
      </c>
      <c r="K256" s="16" t="n">
        <v>0</v>
      </c>
      <c r="L256" s="16" t="inlineStr">
        <is>
          <t>16.10.2024 01:03:22</t>
        </is>
      </c>
      <c r="M256" s="18" t="inlineStr">
        <is>
          <t>0 sec</t>
        </is>
      </c>
      <c r="N256" s="16" t="inlineStr">
        <is>
          <t xml:space="preserve">         18K            18K             9K</t>
        </is>
      </c>
      <c r="O256" s="16" t="inlineStr">
        <is>
          <t>vwkxnY1gUFMYZpHx4pBvpDAdwbZPQfSc8zLkFczpump</t>
        </is>
      </c>
      <c r="P256" s="16">
        <f>HYPERLINK("https://dexscreener.com/solana/vwkxnY1gUFMYZpHx4pBvpDAdwbZPQfSc8zLkFczpump", "View")</f>
        <v/>
      </c>
    </row>
    <row r="257">
      <c r="A257" s="19" t="inlineStr">
        <is>
          <t>programmed</t>
        </is>
      </c>
      <c r="B257" s="20" t="n">
        <v>781338</v>
      </c>
      <c r="C257" s="20" t="n">
        <v>0</v>
      </c>
      <c r="D257" s="20" t="inlineStr">
        <is>
          <t>0.000600</t>
        </is>
      </c>
      <c r="E257" s="20" t="inlineStr">
        <is>
          <t>1.000 SOL</t>
        </is>
      </c>
      <c r="F257" s="20" t="inlineStr">
        <is>
          <t>0.000 SOL</t>
        </is>
      </c>
      <c r="G257" s="17" t="inlineStr">
        <is>
          <t>-1.001 SOL</t>
        </is>
      </c>
      <c r="H257" s="17" t="inlineStr">
        <is>
          <t>0.00%</t>
        </is>
      </c>
      <c r="I257" s="20" t="inlineStr">
        <is>
          <t>781,338</t>
        </is>
      </c>
      <c r="J257" s="20" t="n">
        <v>1</v>
      </c>
      <c r="K257" s="20" t="n">
        <v>0</v>
      </c>
      <c r="L257" s="20" t="inlineStr">
        <is>
          <t>16.10.2024 00:57:21</t>
        </is>
      </c>
      <c r="M257" s="18" t="inlineStr">
        <is>
          <t>0 sec</t>
        </is>
      </c>
      <c r="N257" s="20" t="inlineStr">
        <is>
          <t xml:space="preserve">        225K           225K             7K</t>
        </is>
      </c>
      <c r="O257" s="20" t="inlineStr">
        <is>
          <t>3AQeACYHAMCA6JLYg7j4VBfHEtMAE5nVq47YSVuRpump</t>
        </is>
      </c>
      <c r="P257" s="20">
        <f>HYPERLINK("https://dexscreener.com/solana/3AQeACYHAMCA6JLYg7j4VBfHEtMAE5nVq47YSVuRpump", "View")</f>
        <v/>
      </c>
    </row>
    <row r="258">
      <c r="A258" s="15" t="inlineStr">
        <is>
          <t>SOUNWIRE</t>
        </is>
      </c>
      <c r="B258" s="16" t="n">
        <v>1988541</v>
      </c>
      <c r="C258" s="16" t="n">
        <v>0</v>
      </c>
      <c r="D258" s="16" t="inlineStr">
        <is>
          <t>0.000600</t>
        </is>
      </c>
      <c r="E258" s="16" t="inlineStr">
        <is>
          <t>1.000 SOL</t>
        </is>
      </c>
      <c r="F258" s="16" t="inlineStr">
        <is>
          <t>0.000 SOL</t>
        </is>
      </c>
      <c r="G258" s="17" t="inlineStr">
        <is>
          <t>-1.001 SOL</t>
        </is>
      </c>
      <c r="H258" s="17" t="inlineStr">
        <is>
          <t>0.00%</t>
        </is>
      </c>
      <c r="I258" s="16" t="inlineStr">
        <is>
          <t>1,988,541</t>
        </is>
      </c>
      <c r="J258" s="16" t="n">
        <v>1</v>
      </c>
      <c r="K258" s="16" t="n">
        <v>0</v>
      </c>
      <c r="L258" s="16" t="inlineStr">
        <is>
          <t>16.10.2024 00:45:28</t>
        </is>
      </c>
      <c r="M258" s="18" t="inlineStr">
        <is>
          <t>0 sec</t>
        </is>
      </c>
      <c r="N258" s="16" t="inlineStr">
        <is>
          <t xml:space="preserve">         88K            88K            11K</t>
        </is>
      </c>
      <c r="O258" s="16" t="inlineStr">
        <is>
          <t>BbakUCxXyqgR5PtuyLHcweDpPSUw8WwysEkL2cUCpump</t>
        </is>
      </c>
      <c r="P258" s="16">
        <f>HYPERLINK("https://dexscreener.com/solana/BbakUCxXyqgR5PtuyLHcweDpPSUw8WwysEkL2cUCpump", "View")</f>
        <v/>
      </c>
    </row>
    <row r="259">
      <c r="A259" s="19" t="inlineStr">
        <is>
          <t>truthcat</t>
        </is>
      </c>
      <c r="B259" s="20" t="n">
        <v>2322493</v>
      </c>
      <c r="C259" s="20" t="n">
        <v>0</v>
      </c>
      <c r="D259" s="20" t="inlineStr">
        <is>
          <t>0.000600</t>
        </is>
      </c>
      <c r="E259" s="20" t="inlineStr">
        <is>
          <t>1.000 SOL</t>
        </is>
      </c>
      <c r="F259" s="20" t="inlineStr">
        <is>
          <t>0.000 SOL</t>
        </is>
      </c>
      <c r="G259" s="17" t="inlineStr">
        <is>
          <t>-1.001 SOL</t>
        </is>
      </c>
      <c r="H259" s="17" t="inlineStr">
        <is>
          <t>0.00%</t>
        </is>
      </c>
      <c r="I259" s="20" t="inlineStr">
        <is>
          <t>2,322,493</t>
        </is>
      </c>
      <c r="J259" s="20" t="n">
        <v>1</v>
      </c>
      <c r="K259" s="20" t="n">
        <v>0</v>
      </c>
      <c r="L259" s="20" t="inlineStr">
        <is>
          <t>15.10.2024 23:57:20</t>
        </is>
      </c>
      <c r="M259" s="18" t="inlineStr">
        <is>
          <t>0 sec</t>
        </is>
      </c>
      <c r="N259" s="20" t="inlineStr">
        <is>
          <t xml:space="preserve">         76K            76K             5K</t>
        </is>
      </c>
      <c r="O259" s="20" t="inlineStr">
        <is>
          <t>5nrA5WTQNHpEjYpyBv8cSM97rM4tWVzSBzuCSdknpump</t>
        </is>
      </c>
      <c r="P259" s="20">
        <f>HYPERLINK("https://dexscreener.com/solana/5nrA5WTQNHpEjYpyBv8cSM97rM4tWVzSBzuCSdknpump", "View")</f>
        <v/>
      </c>
    </row>
    <row r="260">
      <c r="A260" s="15" t="inlineStr">
        <is>
          <t>dogintosh</t>
        </is>
      </c>
      <c r="B260" s="16" t="n">
        <v>7546266</v>
      </c>
      <c r="C260" s="16" t="n">
        <v>0</v>
      </c>
      <c r="D260" s="16" t="inlineStr">
        <is>
          <t>0.000600</t>
        </is>
      </c>
      <c r="E260" s="16" t="inlineStr">
        <is>
          <t>1.000 SOL</t>
        </is>
      </c>
      <c r="F260" s="16" t="inlineStr">
        <is>
          <t>0.000 SOL</t>
        </is>
      </c>
      <c r="G260" s="17" t="inlineStr">
        <is>
          <t>-1.001 SOL</t>
        </is>
      </c>
      <c r="H260" s="17" t="inlineStr">
        <is>
          <t>0.00%</t>
        </is>
      </c>
      <c r="I260" s="16" t="inlineStr">
        <is>
          <t>7,546,266</t>
        </is>
      </c>
      <c r="J260" s="16" t="n">
        <v>1</v>
      </c>
      <c r="K260" s="16" t="n">
        <v>0</v>
      </c>
      <c r="L260" s="16" t="inlineStr">
        <is>
          <t>15.10.2024 21:57:23</t>
        </is>
      </c>
      <c r="M260" s="18" t="inlineStr">
        <is>
          <t>0 sec</t>
        </is>
      </c>
      <c r="N260" s="16" t="inlineStr">
        <is>
          <t xml:space="preserve">         23K            23K             3K</t>
        </is>
      </c>
      <c r="O260" s="16" t="inlineStr">
        <is>
          <t>8YDtbWhnb2qVAaXHkoioPoiB8DmcAQf7BQTqEUSGpump</t>
        </is>
      </c>
      <c r="P260" s="16">
        <f>HYPERLINK("https://dexscreener.com/solana/8YDtbWhnb2qVAaXHkoioPoiB8DmcAQf7BQTqEUSGpump", "View")</f>
        <v/>
      </c>
    </row>
    <row r="261">
      <c r="A261" s="19" t="inlineStr">
        <is>
          <t>pikel</t>
        </is>
      </c>
      <c r="B261" s="20" t="n">
        <v>2626096</v>
      </c>
      <c r="C261" s="20" t="n">
        <v>0</v>
      </c>
      <c r="D261" s="20" t="inlineStr">
        <is>
          <t>0.000600</t>
        </is>
      </c>
      <c r="E261" s="20" t="inlineStr">
        <is>
          <t>1.000 SOL</t>
        </is>
      </c>
      <c r="F261" s="20" t="inlineStr">
        <is>
          <t>0.000 SOL</t>
        </is>
      </c>
      <c r="G261" s="17" t="inlineStr">
        <is>
          <t>-1.001 SOL</t>
        </is>
      </c>
      <c r="H261" s="17" t="inlineStr">
        <is>
          <t>0.00%</t>
        </is>
      </c>
      <c r="I261" s="20" t="inlineStr">
        <is>
          <t>2,626,096</t>
        </is>
      </c>
      <c r="J261" s="20" t="n">
        <v>1</v>
      </c>
      <c r="K261" s="20" t="n">
        <v>0</v>
      </c>
      <c r="L261" s="20" t="inlineStr">
        <is>
          <t>15.10.2024 21:30:35</t>
        </is>
      </c>
      <c r="M261" s="18" t="inlineStr">
        <is>
          <t>0 sec</t>
        </is>
      </c>
      <c r="N261" s="20" t="inlineStr">
        <is>
          <t xml:space="preserve">         67K            67K             8K</t>
        </is>
      </c>
      <c r="O261" s="20" t="inlineStr">
        <is>
          <t>HodgC15hoJtDykKCxfjdz7YntYsoVAUXVyDvSbGYpump</t>
        </is>
      </c>
      <c r="P261" s="20">
        <f>HYPERLINK("https://dexscreener.com/solana/HodgC15hoJtDykKCxfjdz7YntYsoVAUXVyDvSbGYpump", "View")</f>
        <v/>
      </c>
    </row>
    <row r="262">
      <c r="A262" s="15" t="inlineStr">
        <is>
          <t>BWULL</t>
        </is>
      </c>
      <c r="B262" s="16" t="n">
        <v>942863</v>
      </c>
      <c r="C262" s="16" t="n">
        <v>0</v>
      </c>
      <c r="D262" s="16" t="inlineStr">
        <is>
          <t>0.000600</t>
        </is>
      </c>
      <c r="E262" s="16" t="inlineStr">
        <is>
          <t>1.000 SOL</t>
        </is>
      </c>
      <c r="F262" s="16" t="inlineStr">
        <is>
          <t>0.000 SOL</t>
        </is>
      </c>
      <c r="G262" s="17" t="inlineStr">
        <is>
          <t>-1.001 SOL</t>
        </is>
      </c>
      <c r="H262" s="17" t="inlineStr">
        <is>
          <t>0.00%</t>
        </is>
      </c>
      <c r="I262" s="16" t="inlineStr">
        <is>
          <t>942,863</t>
        </is>
      </c>
      <c r="J262" s="16" t="n">
        <v>1</v>
      </c>
      <c r="K262" s="16" t="n">
        <v>0</v>
      </c>
      <c r="L262" s="16" t="inlineStr">
        <is>
          <t>15.10.2024 20:54:33</t>
        </is>
      </c>
      <c r="M262" s="18" t="inlineStr">
        <is>
          <t>0 sec</t>
        </is>
      </c>
      <c r="N262" s="16" t="inlineStr">
        <is>
          <t xml:space="preserve">        186K           186K             4K</t>
        </is>
      </c>
      <c r="O262" s="16" t="inlineStr">
        <is>
          <t>7oKUJj6RVpPdpyDVtqm9L2P5SbzxDeKmQjr2rqeqpump</t>
        </is>
      </c>
      <c r="P262" s="16">
        <f>HYPERLINK("https://dexscreener.com/solana/7oKUJj6RVpPdpyDVtqm9L2P5SbzxDeKmQjr2rqeqpump", "View")</f>
        <v/>
      </c>
    </row>
    <row r="263">
      <c r="A263" s="19" t="inlineStr">
        <is>
          <t>MCAP</t>
        </is>
      </c>
      <c r="B263" s="20" t="n">
        <v>478631</v>
      </c>
      <c r="C263" s="20" t="n">
        <v>0</v>
      </c>
      <c r="D263" s="20" t="inlineStr">
        <is>
          <t>0.000600</t>
        </is>
      </c>
      <c r="E263" s="20" t="inlineStr">
        <is>
          <t>1.000 SOL</t>
        </is>
      </c>
      <c r="F263" s="20" t="inlineStr">
        <is>
          <t>0.000 SOL</t>
        </is>
      </c>
      <c r="G263" s="17" t="inlineStr">
        <is>
          <t>-1.001 SOL</t>
        </is>
      </c>
      <c r="H263" s="17" t="inlineStr">
        <is>
          <t>0.00%</t>
        </is>
      </c>
      <c r="I263" s="20" t="inlineStr">
        <is>
          <t>478,631</t>
        </is>
      </c>
      <c r="J263" s="20" t="n">
        <v>1</v>
      </c>
      <c r="K263" s="20" t="n">
        <v>0</v>
      </c>
      <c r="L263" s="20" t="inlineStr">
        <is>
          <t>15.10.2024 14:12:22</t>
        </is>
      </c>
      <c r="M263" s="18" t="inlineStr">
        <is>
          <t>0 sec</t>
        </is>
      </c>
      <c r="N263" s="20" t="inlineStr">
        <is>
          <t xml:space="preserve">        367K           367K             5K</t>
        </is>
      </c>
      <c r="O263" s="20" t="inlineStr">
        <is>
          <t>D2WgVsM5YycKd9w8oxf7zCDvwYCcYCvhmuj29SWgpump</t>
        </is>
      </c>
      <c r="P263" s="20">
        <f>HYPERLINK("https://dexscreener.com/solana/D2WgVsM5YycKd9w8oxf7zCDvwYCcYCvhmuj29SWgpump", "View")</f>
        <v/>
      </c>
    </row>
    <row r="264">
      <c r="A264" s="15" t="inlineStr">
        <is>
          <t>FEIN</t>
        </is>
      </c>
      <c r="B264" s="16" t="n">
        <v>1652578</v>
      </c>
      <c r="C264" s="16" t="n">
        <v>0</v>
      </c>
      <c r="D264" s="16" t="inlineStr">
        <is>
          <t>0.000600</t>
        </is>
      </c>
      <c r="E264" s="16" t="inlineStr">
        <is>
          <t>1.000 SOL</t>
        </is>
      </c>
      <c r="F264" s="16" t="inlineStr">
        <is>
          <t>0.000 SOL</t>
        </is>
      </c>
      <c r="G264" s="17" t="inlineStr">
        <is>
          <t>-1.001 SOL</t>
        </is>
      </c>
      <c r="H264" s="17" t="inlineStr">
        <is>
          <t>0.00%</t>
        </is>
      </c>
      <c r="I264" s="16" t="inlineStr">
        <is>
          <t>1,652,578</t>
        </is>
      </c>
      <c r="J264" s="16" t="n">
        <v>1</v>
      </c>
      <c r="K264" s="16" t="n">
        <v>0</v>
      </c>
      <c r="L264" s="16" t="inlineStr">
        <is>
          <t>15.10.2024 11:57:29</t>
        </is>
      </c>
      <c r="M264" s="18" t="inlineStr">
        <is>
          <t>0 sec</t>
        </is>
      </c>
      <c r="N264" s="16" t="inlineStr">
        <is>
          <t xml:space="preserve">        107K           107K            19K</t>
        </is>
      </c>
      <c r="O264" s="16" t="inlineStr">
        <is>
          <t>8Y9TgC6vbgDGgsqFBY621Xg7BmdTZfYhqyg397hopump</t>
        </is>
      </c>
      <c r="P264" s="16">
        <f>HYPERLINK("https://dexscreener.com/solana/8Y9TgC6vbgDGgsqFBY621Xg7BmdTZfYhqyg397hopump", "View")</f>
        <v/>
      </c>
    </row>
    <row r="265">
      <c r="A265" s="19" t="inlineStr">
        <is>
          <t>LOL</t>
        </is>
      </c>
      <c r="B265" s="20" t="n">
        <v>2079343</v>
      </c>
      <c r="C265" s="20" t="n">
        <v>0</v>
      </c>
      <c r="D265" s="20" t="inlineStr">
        <is>
          <t>0.000600</t>
        </is>
      </c>
      <c r="E265" s="20" t="inlineStr">
        <is>
          <t>1.000 SOL</t>
        </is>
      </c>
      <c r="F265" s="20" t="inlineStr">
        <is>
          <t>0.000 SOL</t>
        </is>
      </c>
      <c r="G265" s="17" t="inlineStr">
        <is>
          <t>-1.001 SOL</t>
        </is>
      </c>
      <c r="H265" s="17" t="inlineStr">
        <is>
          <t>0.00%</t>
        </is>
      </c>
      <c r="I265" s="20" t="inlineStr">
        <is>
          <t>2,079,343</t>
        </is>
      </c>
      <c r="J265" s="20" t="n">
        <v>1</v>
      </c>
      <c r="K265" s="20" t="n">
        <v>0</v>
      </c>
      <c r="L265" s="20" t="inlineStr">
        <is>
          <t>15.10.2024 10:51:23</t>
        </is>
      </c>
      <c r="M265" s="18" t="inlineStr">
        <is>
          <t>0 sec</t>
        </is>
      </c>
      <c r="N265" s="20" t="inlineStr">
        <is>
          <t xml:space="preserve">         84K            84K             6K</t>
        </is>
      </c>
      <c r="O265" s="20" t="inlineStr">
        <is>
          <t>62vioY8kNCSYsZuhjLhkMNoDcvm2BPDkQ6xqxjG9pump</t>
        </is>
      </c>
      <c r="P265" s="20">
        <f>HYPERLINK("https://dexscreener.com/solana/62vioY8kNCSYsZuhjLhkMNoDcvm2BPDkQ6xqxjG9pump", "View")</f>
        <v/>
      </c>
    </row>
    <row r="266">
      <c r="A266" s="15" t="inlineStr">
        <is>
          <t>Lu</t>
        </is>
      </c>
      <c r="B266" s="16" t="n">
        <v>7286390</v>
      </c>
      <c r="C266" s="16" t="n">
        <v>0</v>
      </c>
      <c r="D266" s="16" t="inlineStr">
        <is>
          <t>0.000600</t>
        </is>
      </c>
      <c r="E266" s="16" t="inlineStr">
        <is>
          <t>1.000 SOL</t>
        </is>
      </c>
      <c r="F266" s="16" t="inlineStr">
        <is>
          <t>0.000 SOL</t>
        </is>
      </c>
      <c r="G266" s="17" t="inlineStr">
        <is>
          <t>-1.001 SOL</t>
        </is>
      </c>
      <c r="H266" s="17" t="inlineStr">
        <is>
          <t>0.00%</t>
        </is>
      </c>
      <c r="I266" s="16" t="inlineStr">
        <is>
          <t>7,286,390</t>
        </is>
      </c>
      <c r="J266" s="16" t="n">
        <v>1</v>
      </c>
      <c r="K266" s="16" t="n">
        <v>0</v>
      </c>
      <c r="L266" s="16" t="inlineStr">
        <is>
          <t>15.10.2024 09:12:24</t>
        </is>
      </c>
      <c r="M266" s="18" t="inlineStr">
        <is>
          <t>0 sec</t>
        </is>
      </c>
      <c r="N266" s="16" t="inlineStr">
        <is>
          <t xml:space="preserve">         25K            25K            11K</t>
        </is>
      </c>
      <c r="O266" s="16" t="inlineStr">
        <is>
          <t>H7jz5tmUxhGzeQZviiuZZXsvH3EBUM83G2PghABNpump</t>
        </is>
      </c>
      <c r="P266" s="16">
        <f>HYPERLINK("https://dexscreener.com/solana/H7jz5tmUxhGzeQZviiuZZXsvH3EBUM83G2PghABNpump", "View")</f>
        <v/>
      </c>
    </row>
    <row r="267">
      <c r="A267" s="19" t="inlineStr">
        <is>
          <t>Faust</t>
        </is>
      </c>
      <c r="B267" s="20" t="n">
        <v>486760</v>
      </c>
      <c r="C267" s="20" t="n">
        <v>0</v>
      </c>
      <c r="D267" s="20" t="inlineStr">
        <is>
          <t>0.000600</t>
        </is>
      </c>
      <c r="E267" s="20" t="inlineStr">
        <is>
          <t>1.000 SOL</t>
        </is>
      </c>
      <c r="F267" s="20" t="inlineStr">
        <is>
          <t>0.000 SOL</t>
        </is>
      </c>
      <c r="G267" s="17" t="inlineStr">
        <is>
          <t>-1.001 SOL</t>
        </is>
      </c>
      <c r="H267" s="17" t="inlineStr">
        <is>
          <t>0.00%</t>
        </is>
      </c>
      <c r="I267" s="20" t="inlineStr">
        <is>
          <t>486,760</t>
        </is>
      </c>
      <c r="J267" s="20" t="n">
        <v>1</v>
      </c>
      <c r="K267" s="20" t="n">
        <v>0</v>
      </c>
      <c r="L267" s="20" t="inlineStr">
        <is>
          <t>15.10.2024 08:27:22</t>
        </is>
      </c>
      <c r="M267" s="18" t="inlineStr">
        <is>
          <t>0 sec</t>
        </is>
      </c>
      <c r="N267" s="20" t="inlineStr">
        <is>
          <t xml:space="preserve">        360K           360K            11K</t>
        </is>
      </c>
      <c r="O267" s="20" t="inlineStr">
        <is>
          <t>A8LoZLyrQ1kdL3iCXrHw39R8PfWBRaMaPSdDpr2rpump</t>
        </is>
      </c>
      <c r="P267" s="20">
        <f>HYPERLINK("https://dexscreener.com/solana/A8LoZLyrQ1kdL3iCXrHw39R8PfWBRaMaPSdDpr2rpump", "View")</f>
        <v/>
      </c>
    </row>
    <row r="268">
      <c r="A268" s="15" t="inlineStr">
        <is>
          <t>SARAH</t>
        </is>
      </c>
      <c r="B268" s="16" t="n">
        <v>2965666</v>
      </c>
      <c r="C268" s="16" t="n">
        <v>0</v>
      </c>
      <c r="D268" s="16" t="inlineStr">
        <is>
          <t>0.000600</t>
        </is>
      </c>
      <c r="E268" s="16" t="inlineStr">
        <is>
          <t>1.000 SOL</t>
        </is>
      </c>
      <c r="F268" s="16" t="inlineStr">
        <is>
          <t>0.000 SOL</t>
        </is>
      </c>
      <c r="G268" s="17" t="inlineStr">
        <is>
          <t>-1.001 SOL</t>
        </is>
      </c>
      <c r="H268" s="17" t="inlineStr">
        <is>
          <t>0.00%</t>
        </is>
      </c>
      <c r="I268" s="16" t="inlineStr">
        <is>
          <t>2,965,666</t>
        </is>
      </c>
      <c r="J268" s="16" t="n">
        <v>1</v>
      </c>
      <c r="K268" s="16" t="n">
        <v>0</v>
      </c>
      <c r="L268" s="16" t="inlineStr">
        <is>
          <t>15.10.2024 08:15:23</t>
        </is>
      </c>
      <c r="M268" s="18" t="inlineStr">
        <is>
          <t>0 sec</t>
        </is>
      </c>
      <c r="N268" s="16" t="inlineStr">
        <is>
          <t xml:space="preserve">         60K            60K             4K</t>
        </is>
      </c>
      <c r="O268" s="16" t="inlineStr">
        <is>
          <t>GaqX4csCa1G22jWbpgVsHHKf5qDM81JLnaE8qCEkpump</t>
        </is>
      </c>
      <c r="P268" s="16">
        <f>HYPERLINK("https://dexscreener.com/solana/GaqX4csCa1G22jWbpgVsHHKf5qDM81JLnaE8qCEkpump", "View")</f>
        <v/>
      </c>
    </row>
    <row r="269">
      <c r="A269" s="19" t="inlineStr">
        <is>
          <t>$DOLAN</t>
        </is>
      </c>
      <c r="B269" s="20" t="n">
        <v>1109</v>
      </c>
      <c r="C269" s="20" t="n">
        <v>0</v>
      </c>
      <c r="D269" s="20" t="inlineStr">
        <is>
          <t>0.000600</t>
        </is>
      </c>
      <c r="E269" s="20" t="inlineStr">
        <is>
          <t>1.000 SOL</t>
        </is>
      </c>
      <c r="F269" s="20" t="inlineStr">
        <is>
          <t>0.000 SOL</t>
        </is>
      </c>
      <c r="G269" s="17" t="inlineStr">
        <is>
          <t>-1.001 SOL</t>
        </is>
      </c>
      <c r="H269" s="17" t="inlineStr">
        <is>
          <t>0.00%</t>
        </is>
      </c>
      <c r="I269" s="20" t="inlineStr">
        <is>
          <t>1,109</t>
        </is>
      </c>
      <c r="J269" s="20" t="n">
        <v>1</v>
      </c>
      <c r="K269" s="20" t="n">
        <v>0</v>
      </c>
      <c r="L269" s="20" t="inlineStr">
        <is>
          <t>15.10.2024 06:12:18</t>
        </is>
      </c>
      <c r="M269" s="18" t="inlineStr">
        <is>
          <t>0 sec</t>
        </is>
      </c>
      <c r="N269" s="20" t="inlineStr">
        <is>
          <t xml:space="preserve">        N/A           N/A           N/A</t>
        </is>
      </c>
      <c r="O269" s="20" t="inlineStr">
        <is>
          <t>r6UMK79ckAJhU5vysdPqwVDFRPBzdRB48orQtmapump</t>
        </is>
      </c>
      <c r="P269" s="20">
        <f>HYPERLINK("https://dexscreener.com/solana/r6UMK79ckAJhU5vysdPqwVDFRPBzdRB48orQtmapump", "View")</f>
        <v/>
      </c>
    </row>
    <row r="270">
      <c r="A270" s="15" t="inlineStr">
        <is>
          <t>IOLY</t>
        </is>
      </c>
      <c r="B270" s="16" t="n">
        <v>500405</v>
      </c>
      <c r="C270" s="16" t="n">
        <v>0</v>
      </c>
      <c r="D270" s="16" t="inlineStr">
        <is>
          <t>0.000600</t>
        </is>
      </c>
      <c r="E270" s="16" t="inlineStr">
        <is>
          <t>1.000 SOL</t>
        </is>
      </c>
      <c r="F270" s="16" t="inlineStr">
        <is>
          <t>0.000 SOL</t>
        </is>
      </c>
      <c r="G270" s="17" t="inlineStr">
        <is>
          <t>-1.001 SOL</t>
        </is>
      </c>
      <c r="H270" s="17" t="inlineStr">
        <is>
          <t>0.00%</t>
        </is>
      </c>
      <c r="I270" s="16" t="inlineStr">
        <is>
          <t>500,405</t>
        </is>
      </c>
      <c r="J270" s="16" t="n">
        <v>1</v>
      </c>
      <c r="K270" s="16" t="n">
        <v>0</v>
      </c>
      <c r="L270" s="16" t="inlineStr">
        <is>
          <t>15.10.2024 06:09:20</t>
        </is>
      </c>
      <c r="M270" s="18" t="inlineStr">
        <is>
          <t>0 sec</t>
        </is>
      </c>
      <c r="N270" s="16" t="inlineStr">
        <is>
          <t xml:space="preserve">        351K           351K            52K</t>
        </is>
      </c>
      <c r="O270" s="16" t="inlineStr">
        <is>
          <t>DPEPsFbcwLhNQP9RWZDCaQUnDtdRjRCAom5gLWa5pump</t>
        </is>
      </c>
      <c r="P270" s="16">
        <f>HYPERLINK("https://dexscreener.com/solana/DPEPsFbcwLhNQP9RWZDCaQUnDtdRjRCAom5gLWa5pump", "View")</f>
        <v/>
      </c>
    </row>
    <row r="271">
      <c r="A271" s="19" t="inlineStr">
        <is>
          <t>Ω</t>
        </is>
      </c>
      <c r="B271" s="20" t="n">
        <v>1827537</v>
      </c>
      <c r="C271" s="20" t="n">
        <v>0</v>
      </c>
      <c r="D271" s="20" t="inlineStr">
        <is>
          <t>0.000600</t>
        </is>
      </c>
      <c r="E271" s="20" t="inlineStr">
        <is>
          <t>1.000 SOL</t>
        </is>
      </c>
      <c r="F271" s="20" t="inlineStr">
        <is>
          <t>0.000 SOL</t>
        </is>
      </c>
      <c r="G271" s="17" t="inlineStr">
        <is>
          <t>-1.001 SOL</t>
        </is>
      </c>
      <c r="H271" s="17" t="inlineStr">
        <is>
          <t>0.00%</t>
        </is>
      </c>
      <c r="I271" s="20" t="inlineStr">
        <is>
          <t>1,827,537</t>
        </is>
      </c>
      <c r="J271" s="20" t="n">
        <v>1</v>
      </c>
      <c r="K271" s="20" t="n">
        <v>0</v>
      </c>
      <c r="L271" s="20" t="inlineStr">
        <is>
          <t>15.10.2024 05:24:23</t>
        </is>
      </c>
      <c r="M271" s="18" t="inlineStr">
        <is>
          <t>0 sec</t>
        </is>
      </c>
      <c r="N271" s="20" t="inlineStr">
        <is>
          <t xml:space="preserve">         97K            97K            32K</t>
        </is>
      </c>
      <c r="O271" s="20" t="inlineStr">
        <is>
          <t>6zkouG5zqG4PF46owybDUF3QhMKtnzEiwA1D2BNtpump</t>
        </is>
      </c>
      <c r="P271" s="20">
        <f>HYPERLINK("https://dexscreener.com/solana/6zkouG5zqG4PF46owybDUF3QhMKtnzEiwA1D2BNtpump", "View")</f>
        <v/>
      </c>
    </row>
    <row r="272">
      <c r="A272" s="15" t="inlineStr">
        <is>
          <t>PAC</t>
        </is>
      </c>
      <c r="B272" s="16" t="n">
        <v>361193</v>
      </c>
      <c r="C272" s="16" t="n">
        <v>270894</v>
      </c>
      <c r="D272" s="16" t="inlineStr">
        <is>
          <t>0.001620</t>
        </is>
      </c>
      <c r="E272" s="16" t="inlineStr">
        <is>
          <t>1.000 SOL</t>
        </is>
      </c>
      <c r="F272" s="16" t="inlineStr">
        <is>
          <t>5.679 SOL</t>
        </is>
      </c>
      <c r="G272" s="23" t="inlineStr">
        <is>
          <t>4.677 SOL</t>
        </is>
      </c>
      <c r="H272" s="23" t="inlineStr">
        <is>
          <t>466.98%</t>
        </is>
      </c>
      <c r="I272" s="16" t="inlineStr">
        <is>
          <t>N/A</t>
        </is>
      </c>
      <c r="J272" s="16" t="n">
        <v>1</v>
      </c>
      <c r="K272" s="16" t="n">
        <v>2</v>
      </c>
      <c r="L272" s="16" t="inlineStr">
        <is>
          <t>09.10.2024 14:55:31</t>
        </is>
      </c>
      <c r="M272" s="16" t="inlineStr">
        <is>
          <t>5 hours</t>
        </is>
      </c>
      <c r="N272" s="16" t="inlineStr">
        <is>
          <t xml:space="preserve">        487K             4M             5K</t>
        </is>
      </c>
      <c r="O272" s="16" t="inlineStr">
        <is>
          <t>DeTUi1JbC2q31jfR9Qc1zoJjaNFmw1hgWBXxGQKvpump</t>
        </is>
      </c>
      <c r="P272" s="16">
        <f>HYPERLINK("https://dexscreener.com/solana/DeTUi1JbC2q31jfR9Qc1zoJjaNFmw1hgWBXxGQKvpump", "View")</f>
        <v/>
      </c>
    </row>
    <row r="273">
      <c r="A273" s="19" t="inlineStr">
        <is>
          <t>KPOP</t>
        </is>
      </c>
      <c r="B273" s="20" t="n">
        <v>1129090</v>
      </c>
      <c r="C273" s="20" t="n">
        <v>900689</v>
      </c>
      <c r="D273" s="20" t="inlineStr">
        <is>
          <t>0.010110</t>
        </is>
      </c>
      <c r="E273" s="20" t="inlineStr">
        <is>
          <t>0.988 SOL</t>
        </is>
      </c>
      <c r="F273" s="20" t="inlineStr">
        <is>
          <t>4.235 SOL</t>
        </is>
      </c>
      <c r="G273" s="23" t="inlineStr">
        <is>
          <t>3.237 SOL</t>
        </is>
      </c>
      <c r="H273" s="23" t="inlineStr">
        <is>
          <t>324.32%</t>
        </is>
      </c>
      <c r="I273" s="20" t="inlineStr">
        <is>
          <t>N/A</t>
        </is>
      </c>
      <c r="J273" s="20" t="n">
        <v>1</v>
      </c>
      <c r="K273" s="20" t="n">
        <v>2</v>
      </c>
      <c r="L273" s="20" t="inlineStr">
        <is>
          <t>09.10.2024 11:30:50</t>
        </is>
      </c>
      <c r="M273" s="20" t="inlineStr">
        <is>
          <t>1 days</t>
        </is>
      </c>
      <c r="N273" s="20" t="inlineStr">
        <is>
          <t xml:space="preserve">        130K           696K           103K</t>
        </is>
      </c>
      <c r="O273" s="20" t="inlineStr">
        <is>
          <t>FfCht1iLfyWC8hcQDG4oZ8wp9uKshRJkzjWxn2kKocnH</t>
        </is>
      </c>
      <c r="P273" s="20">
        <f>HYPERLINK("https://dexscreener.com/solana/FfCht1iLfyWC8hcQDG4oZ8wp9uKshRJkzjWxn2kKocnH", "View")</f>
        <v/>
      </c>
    </row>
    <row r="274">
      <c r="A274" s="15" t="inlineStr">
        <is>
          <t>TOOTSIE</t>
        </is>
      </c>
      <c r="B274" s="16" t="n">
        <v>984812</v>
      </c>
      <c r="C274" s="16" t="n">
        <v>0</v>
      </c>
      <c r="D274" s="16" t="inlineStr">
        <is>
          <t>0.000600</t>
        </is>
      </c>
      <c r="E274" s="16" t="inlineStr">
        <is>
          <t>1.000 SOL</t>
        </is>
      </c>
      <c r="F274" s="16" t="inlineStr">
        <is>
          <t>0.000 SOL</t>
        </is>
      </c>
      <c r="G274" s="17" t="inlineStr">
        <is>
          <t>-1.001 SOL</t>
        </is>
      </c>
      <c r="H274" s="17" t="inlineStr">
        <is>
          <t>0.00%</t>
        </is>
      </c>
      <c r="I274" s="16" t="inlineStr">
        <is>
          <t>984,812</t>
        </is>
      </c>
      <c r="J274" s="16" t="n">
        <v>1</v>
      </c>
      <c r="K274" s="16" t="n">
        <v>0</v>
      </c>
      <c r="L274" s="16" t="inlineStr">
        <is>
          <t>09.10.2024 10:03:20</t>
        </is>
      </c>
      <c r="M274" s="18" t="inlineStr">
        <is>
          <t>0 sec</t>
        </is>
      </c>
      <c r="N274" s="16" t="inlineStr">
        <is>
          <t xml:space="preserve">        179K           179K             4K</t>
        </is>
      </c>
      <c r="O274" s="16" t="inlineStr">
        <is>
          <t>J4Xqse53y3shAo4sm7HZV9jP5mNsHXnHmdoUnTr5pump</t>
        </is>
      </c>
      <c r="P274" s="16">
        <f>HYPERLINK("https://dexscreener.com/solana/J4Xqse53y3shAo4sm7HZV9jP5mNsHXnHmdoUnTr5pump", "View")</f>
        <v/>
      </c>
    </row>
    <row r="275">
      <c r="A275" s="19" t="inlineStr">
        <is>
          <t>SUIFY</t>
        </is>
      </c>
      <c r="B275" s="20" t="n">
        <v>1254</v>
      </c>
      <c r="C275" s="20" t="n">
        <v>0</v>
      </c>
      <c r="D275" s="20" t="inlineStr">
        <is>
          <t>0.000600</t>
        </is>
      </c>
      <c r="E275" s="20" t="inlineStr">
        <is>
          <t>1.000 SOL</t>
        </is>
      </c>
      <c r="F275" s="20" t="inlineStr">
        <is>
          <t>0.000 SOL</t>
        </is>
      </c>
      <c r="G275" s="17" t="inlineStr">
        <is>
          <t>-1.001 SOL</t>
        </is>
      </c>
      <c r="H275" s="17" t="inlineStr">
        <is>
          <t>0.00%</t>
        </is>
      </c>
      <c r="I275" s="20" t="inlineStr">
        <is>
          <t>1,254</t>
        </is>
      </c>
      <c r="J275" s="20" t="n">
        <v>1</v>
      </c>
      <c r="K275" s="20" t="n">
        <v>0</v>
      </c>
      <c r="L275" s="20" t="inlineStr">
        <is>
          <t>09.10.2024 08:12:17</t>
        </is>
      </c>
      <c r="M275" s="18" t="inlineStr">
        <is>
          <t>0 sec</t>
        </is>
      </c>
      <c r="N275" s="20" t="inlineStr">
        <is>
          <t xml:space="preserve">        N/A           N/A           N/A</t>
        </is>
      </c>
      <c r="O275" s="20" t="inlineStr">
        <is>
          <t>51FH2uTnsHRiZC2CjfaARCt2qXR9gmufqGWLYU84pump</t>
        </is>
      </c>
      <c r="P275" s="20">
        <f>HYPERLINK("https://dexscreener.com/solana/51FH2uTnsHRiZC2CjfaARCt2qXR9gmufqGWLYU84pump", "View")</f>
        <v/>
      </c>
    </row>
    <row r="276">
      <c r="A276" s="15" t="inlineStr">
        <is>
          <t>Hacker</t>
        </is>
      </c>
      <c r="B276" s="16" t="n">
        <v>5195332</v>
      </c>
      <c r="C276" s="16" t="n">
        <v>0</v>
      </c>
      <c r="D276" s="16" t="inlineStr">
        <is>
          <t>0.000600</t>
        </is>
      </c>
      <c r="E276" s="16" t="inlineStr">
        <is>
          <t>1.000 SOL</t>
        </is>
      </c>
      <c r="F276" s="16" t="inlineStr">
        <is>
          <t>0.000 SOL</t>
        </is>
      </c>
      <c r="G276" s="17" t="inlineStr">
        <is>
          <t>-1.001 SOL</t>
        </is>
      </c>
      <c r="H276" s="17" t="inlineStr">
        <is>
          <t>0.00%</t>
        </is>
      </c>
      <c r="I276" s="16" t="inlineStr">
        <is>
          <t>5,195,332</t>
        </is>
      </c>
      <c r="J276" s="16" t="n">
        <v>1</v>
      </c>
      <c r="K276" s="16" t="n">
        <v>0</v>
      </c>
      <c r="L276" s="16" t="inlineStr">
        <is>
          <t>09.10.2024 04:03:21</t>
        </is>
      </c>
      <c r="M276" s="18" t="inlineStr">
        <is>
          <t>0 sec</t>
        </is>
      </c>
      <c r="N276" s="16" t="inlineStr">
        <is>
          <t xml:space="preserve">         33K            33K             4K</t>
        </is>
      </c>
      <c r="O276" s="16" t="inlineStr">
        <is>
          <t>FKGAW8KfDwKTUUyVCmorA7qrrQMCdLa2VVSJDYEnpump</t>
        </is>
      </c>
      <c r="P276" s="16">
        <f>HYPERLINK("https://dexscreener.com/solana/FKGAW8KfDwKTUUyVCmorA7qrrQMCdLa2VVSJDYEnpump", "View")</f>
        <v/>
      </c>
    </row>
    <row r="277">
      <c r="A277" s="19" t="inlineStr">
        <is>
          <t>Moxi</t>
        </is>
      </c>
      <c r="B277" s="20" t="n">
        <v>2365191</v>
      </c>
      <c r="C277" s="20" t="n">
        <v>0</v>
      </c>
      <c r="D277" s="20" t="inlineStr">
        <is>
          <t>0.000600</t>
        </is>
      </c>
      <c r="E277" s="20" t="inlineStr">
        <is>
          <t>1.000 SOL</t>
        </is>
      </c>
      <c r="F277" s="20" t="inlineStr">
        <is>
          <t>0.000 SOL</t>
        </is>
      </c>
      <c r="G277" s="17" t="inlineStr">
        <is>
          <t>-1.001 SOL</t>
        </is>
      </c>
      <c r="H277" s="17" t="inlineStr">
        <is>
          <t>0.00%</t>
        </is>
      </c>
      <c r="I277" s="20" t="inlineStr">
        <is>
          <t>2,365,191</t>
        </is>
      </c>
      <c r="J277" s="20" t="n">
        <v>1</v>
      </c>
      <c r="K277" s="20" t="n">
        <v>0</v>
      </c>
      <c r="L277" s="20" t="inlineStr">
        <is>
          <t>09.10.2024 03:45:27</t>
        </is>
      </c>
      <c r="M277" s="18" t="inlineStr">
        <is>
          <t>0 sec</t>
        </is>
      </c>
      <c r="N277" s="20" t="inlineStr">
        <is>
          <t xml:space="preserve">         74K            74K             3K</t>
        </is>
      </c>
      <c r="O277" s="20" t="inlineStr">
        <is>
          <t>9GMDH5YTK29ZjR6WCGJnjwKYcrB8prarRW66CsGgpump</t>
        </is>
      </c>
      <c r="P277" s="20">
        <f>HYPERLINK("https://dexscreener.com/solana/9GMDH5YTK29ZjR6WCGJnjwKYcrB8prarRW66CsGgpump", "View")</f>
        <v/>
      </c>
    </row>
    <row r="278">
      <c r="A278" s="15" t="inlineStr">
        <is>
          <t>via</t>
        </is>
      </c>
      <c r="B278" s="16" t="n">
        <v>1391088</v>
      </c>
      <c r="C278" s="16" t="n">
        <v>388802</v>
      </c>
      <c r="D278" s="16" t="inlineStr">
        <is>
          <t>0.001110</t>
        </is>
      </c>
      <c r="E278" s="16" t="inlineStr">
        <is>
          <t>1.000 SOL</t>
        </is>
      </c>
      <c r="F278" s="16" t="inlineStr">
        <is>
          <t>0.796 SOL</t>
        </is>
      </c>
      <c r="G278" s="21" t="inlineStr">
        <is>
          <t>-0.205 SOL</t>
        </is>
      </c>
      <c r="H278" s="21" t="inlineStr">
        <is>
          <t>-20.45%</t>
        </is>
      </c>
      <c r="I278" s="16" t="inlineStr">
        <is>
          <t>N/A</t>
        </is>
      </c>
      <c r="J278" s="16" t="n">
        <v>1</v>
      </c>
      <c r="K278" s="16" t="n">
        <v>1</v>
      </c>
      <c r="L278" s="16" t="inlineStr">
        <is>
          <t>09.10.2024 02:12:21</t>
        </is>
      </c>
      <c r="M278" s="16" t="inlineStr">
        <is>
          <t>3 min</t>
        </is>
      </c>
      <c r="N278" s="16" t="inlineStr">
        <is>
          <t xml:space="preserve">        126K           360K             4K</t>
        </is>
      </c>
      <c r="O278" s="16" t="inlineStr">
        <is>
          <t>7h46Jd4i93rRaFWYwUc8wyB9HVqrcT4YESeUeuXYpump</t>
        </is>
      </c>
      <c r="P278" s="16">
        <f>HYPERLINK("https://dexscreener.com/solana/7h46Jd4i93rRaFWYwUc8wyB9HVqrcT4YESeUeuXYpump", "View")</f>
        <v/>
      </c>
    </row>
    <row r="279">
      <c r="A279" s="19" t="inlineStr">
        <is>
          <t>MOM</t>
        </is>
      </c>
      <c r="B279" s="20" t="n">
        <v>3701201</v>
      </c>
      <c r="C279" s="20" t="n">
        <v>0</v>
      </c>
      <c r="D279" s="20" t="inlineStr">
        <is>
          <t>0.000600</t>
        </is>
      </c>
      <c r="E279" s="20" t="inlineStr">
        <is>
          <t>1.000 SOL</t>
        </is>
      </c>
      <c r="F279" s="20" t="inlineStr">
        <is>
          <t>0.000 SOL</t>
        </is>
      </c>
      <c r="G279" s="17" t="inlineStr">
        <is>
          <t>-1.001 SOL</t>
        </is>
      </c>
      <c r="H279" s="17" t="inlineStr">
        <is>
          <t>0.00%</t>
        </is>
      </c>
      <c r="I279" s="20" t="inlineStr">
        <is>
          <t>3,701,201</t>
        </is>
      </c>
      <c r="J279" s="20" t="n">
        <v>1</v>
      </c>
      <c r="K279" s="20" t="n">
        <v>0</v>
      </c>
      <c r="L279" s="20" t="inlineStr">
        <is>
          <t>09.10.2024 01:51:22</t>
        </is>
      </c>
      <c r="M279" s="18" t="inlineStr">
        <is>
          <t>0 sec</t>
        </is>
      </c>
      <c r="N279" s="20" t="inlineStr">
        <is>
          <t xml:space="preserve">         47K            47K             4K</t>
        </is>
      </c>
      <c r="O279" s="20" t="inlineStr">
        <is>
          <t>547g8dPbZEhry9CLyxTTxafaq6H8QJYjdZsyJnnex79P</t>
        </is>
      </c>
      <c r="P279" s="20">
        <f>HYPERLINK("https://dexscreener.com/solana/547g8dPbZEhry9CLyxTTxafaq6H8QJYjdZsyJnnex79P", "View")</f>
        <v/>
      </c>
    </row>
    <row r="280">
      <c r="A280" s="15" t="inlineStr">
        <is>
          <t>BURNS</t>
        </is>
      </c>
      <c r="B280" s="16" t="n">
        <v>3314655</v>
      </c>
      <c r="C280" s="16" t="n">
        <v>0</v>
      </c>
      <c r="D280" s="16" t="inlineStr">
        <is>
          <t>0.000600</t>
        </is>
      </c>
      <c r="E280" s="16" t="inlineStr">
        <is>
          <t>1.000 SOL</t>
        </is>
      </c>
      <c r="F280" s="16" t="inlineStr">
        <is>
          <t>0.000 SOL</t>
        </is>
      </c>
      <c r="G280" s="17" t="inlineStr">
        <is>
          <t>-1.001 SOL</t>
        </is>
      </c>
      <c r="H280" s="17" t="inlineStr">
        <is>
          <t>0.00%</t>
        </is>
      </c>
      <c r="I280" s="16" t="inlineStr">
        <is>
          <t>3,314,655</t>
        </is>
      </c>
      <c r="J280" s="16" t="n">
        <v>1</v>
      </c>
      <c r="K280" s="16" t="n">
        <v>0</v>
      </c>
      <c r="L280" s="16" t="inlineStr">
        <is>
          <t>09.10.2024 00:33:16</t>
        </is>
      </c>
      <c r="M280" s="18" t="inlineStr">
        <is>
          <t>0 sec</t>
        </is>
      </c>
      <c r="N280" s="16" t="inlineStr">
        <is>
          <t xml:space="preserve">         53K            53K             3K</t>
        </is>
      </c>
      <c r="O280" s="16" t="inlineStr">
        <is>
          <t>7kPbpfqRd4Zony7utXNTsT1gW8NVT2YWz9448A84HPfq</t>
        </is>
      </c>
      <c r="P280" s="16">
        <f>HYPERLINK("https://dexscreener.com/solana/7kPbpfqRd4Zony7utXNTsT1gW8NVT2YWz9448A84HPfq", "View")</f>
        <v/>
      </c>
    </row>
    <row r="281">
      <c r="A281" s="19" t="inlineStr">
        <is>
          <t>WAAS</t>
        </is>
      </c>
      <c r="B281" s="20" t="n">
        <v>731005</v>
      </c>
      <c r="C281" s="20" t="n">
        <v>365502</v>
      </c>
      <c r="D281" s="20" t="inlineStr">
        <is>
          <t>0.001110</t>
        </is>
      </c>
      <c r="E281" s="20" t="inlineStr">
        <is>
          <t>1.000 SOL</t>
        </is>
      </c>
      <c r="F281" s="20" t="inlineStr">
        <is>
          <t>2.686 SOL</t>
        </is>
      </c>
      <c r="G281" s="23" t="inlineStr">
        <is>
          <t>1.685 SOL</t>
        </is>
      </c>
      <c r="H281" s="23" t="inlineStr">
        <is>
          <t>168.34%</t>
        </is>
      </c>
      <c r="I281" s="20" t="inlineStr">
        <is>
          <t>N/A</t>
        </is>
      </c>
      <c r="J281" s="20" t="n">
        <v>1</v>
      </c>
      <c r="K281" s="20" t="n">
        <v>1</v>
      </c>
      <c r="L281" s="20" t="inlineStr">
        <is>
          <t>08.10.2024 23:10:30</t>
        </is>
      </c>
      <c r="M281" s="20" t="inlineStr">
        <is>
          <t>1 days</t>
        </is>
      </c>
      <c r="N281" s="20" t="inlineStr">
        <is>
          <t xml:space="preserve">        241K             1M            19K</t>
        </is>
      </c>
      <c r="O281" s="20" t="inlineStr">
        <is>
          <t>6R3cyLUa8PmYo3Xk29bRXxGeVHSYF8RYrAsikeSwpump</t>
        </is>
      </c>
      <c r="P281" s="20">
        <f>HYPERLINK("https://dexscreener.com/solana/6R3cyLUa8PmYo3Xk29bRXxGeVHSYF8RYrAsikeSwpump", "View")</f>
        <v/>
      </c>
    </row>
    <row r="282">
      <c r="A282" s="15" t="inlineStr">
        <is>
          <t>PeterTodd</t>
        </is>
      </c>
      <c r="B282" s="16" t="n">
        <v>33320</v>
      </c>
      <c r="C282" s="16" t="n">
        <v>0</v>
      </c>
      <c r="D282" s="16" t="inlineStr">
        <is>
          <t>0.000600</t>
        </is>
      </c>
      <c r="E282" s="16" t="inlineStr">
        <is>
          <t>1.000 SOL</t>
        </is>
      </c>
      <c r="F282" s="16" t="inlineStr">
        <is>
          <t>0.000 SOL</t>
        </is>
      </c>
      <c r="G282" s="17" t="inlineStr">
        <is>
          <t>-1.001 SOL</t>
        </is>
      </c>
      <c r="H282" s="17" t="inlineStr">
        <is>
          <t>0.00%</t>
        </is>
      </c>
      <c r="I282" s="16" t="inlineStr">
        <is>
          <t>33,320</t>
        </is>
      </c>
      <c r="J282" s="16" t="n">
        <v>1</v>
      </c>
      <c r="K282" s="16" t="n">
        <v>0</v>
      </c>
      <c r="L282" s="16" t="inlineStr">
        <is>
          <t>08.10.2024 22:39:25</t>
        </is>
      </c>
      <c r="M282" s="18" t="inlineStr">
        <is>
          <t>0 sec</t>
        </is>
      </c>
      <c r="N282" s="16" t="inlineStr">
        <is>
          <t xml:space="preserve">          5M             5M            26K</t>
        </is>
      </c>
      <c r="O282" s="16" t="inlineStr">
        <is>
          <t>8oAiUkC1gpr4Tuz3ZA7YUntWE47sop1fYmGWo4Zrpump</t>
        </is>
      </c>
      <c r="P282" s="16">
        <f>HYPERLINK("https://dexscreener.com/solana/8oAiUkC1gpr4Tuz3ZA7YUntWE47sop1fYmGWo4Zrpump", "View")</f>
        <v/>
      </c>
    </row>
    <row r="283">
      <c r="A283" s="19" t="inlineStr">
        <is>
          <t>DAWG</t>
        </is>
      </c>
      <c r="B283" s="20" t="n">
        <v>939382</v>
      </c>
      <c r="C283" s="20" t="n">
        <v>0</v>
      </c>
      <c r="D283" s="20" t="inlineStr">
        <is>
          <t>0.000600</t>
        </is>
      </c>
      <c r="E283" s="20" t="inlineStr">
        <is>
          <t>1.000 SOL</t>
        </is>
      </c>
      <c r="F283" s="20" t="inlineStr">
        <is>
          <t>0.000 SOL</t>
        </is>
      </c>
      <c r="G283" s="17" t="inlineStr">
        <is>
          <t>-1.001 SOL</t>
        </is>
      </c>
      <c r="H283" s="17" t="inlineStr">
        <is>
          <t>0.00%</t>
        </is>
      </c>
      <c r="I283" s="20" t="inlineStr">
        <is>
          <t>939,382</t>
        </is>
      </c>
      <c r="J283" s="20" t="n">
        <v>1</v>
      </c>
      <c r="K283" s="20" t="n">
        <v>0</v>
      </c>
      <c r="L283" s="20" t="inlineStr">
        <is>
          <t>08.10.2024 22:36:15</t>
        </is>
      </c>
      <c r="M283" s="18" t="inlineStr">
        <is>
          <t>0 sec</t>
        </is>
      </c>
      <c r="N283" s="20" t="inlineStr">
        <is>
          <t xml:space="preserve">        N/A           N/A           N/A</t>
        </is>
      </c>
      <c r="O283" s="20" t="inlineStr">
        <is>
          <t>HK418jcNTPpdenup4krTspiSA56QwgjRXMf6h2Wwpump</t>
        </is>
      </c>
      <c r="P283" s="20">
        <f>HYPERLINK("https://dexscreener.com/solana/HK418jcNTPpdenup4krTspiSA56QwgjRXMf6h2Wwpump", "View")</f>
        <v/>
      </c>
    </row>
    <row r="284">
      <c r="A284" s="15" t="inlineStr">
        <is>
          <t>SD</t>
        </is>
      </c>
      <c r="B284" s="16" t="n">
        <v>1163019</v>
      </c>
      <c r="C284" s="16" t="n">
        <v>0</v>
      </c>
      <c r="D284" s="16" t="inlineStr">
        <is>
          <t>0.000600</t>
        </is>
      </c>
      <c r="E284" s="16" t="inlineStr">
        <is>
          <t>1.000 SOL</t>
        </is>
      </c>
      <c r="F284" s="16" t="inlineStr">
        <is>
          <t>0.000 SOL</t>
        </is>
      </c>
      <c r="G284" s="17" t="inlineStr">
        <is>
          <t>-1.001 SOL</t>
        </is>
      </c>
      <c r="H284" s="17" t="inlineStr">
        <is>
          <t>0.00%</t>
        </is>
      </c>
      <c r="I284" s="16" t="inlineStr">
        <is>
          <t>1,163,019</t>
        </is>
      </c>
      <c r="J284" s="16" t="n">
        <v>1</v>
      </c>
      <c r="K284" s="16" t="n">
        <v>0</v>
      </c>
      <c r="L284" s="16" t="inlineStr">
        <is>
          <t>08.10.2024 21:27:17</t>
        </is>
      </c>
      <c r="M284" s="18" t="inlineStr">
        <is>
          <t>0 sec</t>
        </is>
      </c>
      <c r="N284" s="16" t="inlineStr">
        <is>
          <t xml:space="preserve">        151K           151K             4K</t>
        </is>
      </c>
      <c r="O284" s="16" t="inlineStr">
        <is>
          <t>9PwmbpEVjz45bfuCJ7ATr6seArTzwf77o8tY6HnKpump</t>
        </is>
      </c>
      <c r="P284" s="16">
        <f>HYPERLINK("https://dexscreener.com/solana/9PwmbpEVjz45bfuCJ7ATr6seArTzwf77o8tY6HnKpump", "View")</f>
        <v/>
      </c>
    </row>
    <row r="285">
      <c r="A285" s="19" t="inlineStr">
        <is>
          <t>MOZUKU</t>
        </is>
      </c>
      <c r="B285" s="20" t="n">
        <v>414642</v>
      </c>
      <c r="C285" s="20" t="n">
        <v>0</v>
      </c>
      <c r="D285" s="20" t="inlineStr">
        <is>
          <t>0.000600</t>
        </is>
      </c>
      <c r="E285" s="20" t="inlineStr">
        <is>
          <t>1.000 SOL</t>
        </is>
      </c>
      <c r="F285" s="20" t="inlineStr">
        <is>
          <t>0.000 SOL</t>
        </is>
      </c>
      <c r="G285" s="17" t="inlineStr">
        <is>
          <t>-1.001 SOL</t>
        </is>
      </c>
      <c r="H285" s="17" t="inlineStr">
        <is>
          <t>0.00%</t>
        </is>
      </c>
      <c r="I285" s="20" t="inlineStr">
        <is>
          <t>414,642</t>
        </is>
      </c>
      <c r="J285" s="20" t="n">
        <v>1</v>
      </c>
      <c r="K285" s="20" t="n">
        <v>0</v>
      </c>
      <c r="L285" s="20" t="inlineStr">
        <is>
          <t>08.10.2024 19:42:33</t>
        </is>
      </c>
      <c r="M285" s="18" t="inlineStr">
        <is>
          <t>0 sec</t>
        </is>
      </c>
      <c r="N285" s="20" t="inlineStr">
        <is>
          <t xml:space="preserve">        422K           422K             5K</t>
        </is>
      </c>
      <c r="O285" s="20" t="inlineStr">
        <is>
          <t>FJvmeqEf8HkQVatYiMV57wN4q8tML1Hg5M7ze87Fpump</t>
        </is>
      </c>
      <c r="P285" s="20">
        <f>HYPERLINK("https://dexscreener.com/solana/FJvmeqEf8HkQVatYiMV57wN4q8tML1Hg5M7ze87Fpump", "View")</f>
        <v/>
      </c>
    </row>
    <row r="286">
      <c r="A286" s="15" t="inlineStr">
        <is>
          <t>Mozuku</t>
        </is>
      </c>
      <c r="B286" s="16" t="n">
        <v>3339170</v>
      </c>
      <c r="C286" s="16" t="n">
        <v>0</v>
      </c>
      <c r="D286" s="16" t="inlineStr">
        <is>
          <t>0.000600</t>
        </is>
      </c>
      <c r="E286" s="16" t="inlineStr">
        <is>
          <t>1.000 SOL</t>
        </is>
      </c>
      <c r="F286" s="16" t="inlineStr">
        <is>
          <t>0.000 SOL</t>
        </is>
      </c>
      <c r="G286" s="17" t="inlineStr">
        <is>
          <t>-1.001 SOL</t>
        </is>
      </c>
      <c r="H286" s="17" t="inlineStr">
        <is>
          <t>0.00%</t>
        </is>
      </c>
      <c r="I286" s="16" t="inlineStr">
        <is>
          <t>3,339,170</t>
        </is>
      </c>
      <c r="J286" s="16" t="n">
        <v>1</v>
      </c>
      <c r="K286" s="16" t="n">
        <v>0</v>
      </c>
      <c r="L286" s="16" t="inlineStr">
        <is>
          <t>08.10.2024 19:42:24</t>
        </is>
      </c>
      <c r="M286" s="18" t="inlineStr">
        <is>
          <t>0 sec</t>
        </is>
      </c>
      <c r="N286" s="16" t="inlineStr">
        <is>
          <t xml:space="preserve">         52K            52K             3K</t>
        </is>
      </c>
      <c r="O286" s="16" t="inlineStr">
        <is>
          <t>4nLo1aNSBqopjxg8uNYTJMmcGWxkSEw6fBHHGxsTpump</t>
        </is>
      </c>
      <c r="P286" s="16">
        <f>HYPERLINK("https://dexscreener.com/solana/4nLo1aNSBqopjxg8uNYTJMmcGWxkSEw6fBHHGxsTpump", "View")</f>
        <v/>
      </c>
    </row>
    <row r="287">
      <c r="A287" s="19" t="inlineStr">
        <is>
          <t>BOBA</t>
        </is>
      </c>
      <c r="B287" s="20" t="n">
        <v>6363287</v>
      </c>
      <c r="C287" s="20" t="n">
        <v>0</v>
      </c>
      <c r="D287" s="20" t="inlineStr">
        <is>
          <t>0.000600</t>
        </is>
      </c>
      <c r="E287" s="20" t="inlineStr">
        <is>
          <t>1.000 SOL</t>
        </is>
      </c>
      <c r="F287" s="20" t="inlineStr">
        <is>
          <t>0.000 SOL</t>
        </is>
      </c>
      <c r="G287" s="17" t="inlineStr">
        <is>
          <t>-1.001 SOL</t>
        </is>
      </c>
      <c r="H287" s="17" t="inlineStr">
        <is>
          <t>0.00%</t>
        </is>
      </c>
      <c r="I287" s="20" t="inlineStr">
        <is>
          <t>6,363,287</t>
        </is>
      </c>
      <c r="J287" s="20" t="n">
        <v>1</v>
      </c>
      <c r="K287" s="20" t="n">
        <v>0</v>
      </c>
      <c r="L287" s="20" t="inlineStr">
        <is>
          <t>08.10.2024 19:39:18</t>
        </is>
      </c>
      <c r="M287" s="18" t="inlineStr">
        <is>
          <t>0 sec</t>
        </is>
      </c>
      <c r="N287" s="20" t="inlineStr">
        <is>
          <t xml:space="preserve">        N/A           N/A           N/A</t>
        </is>
      </c>
      <c r="O287" s="20" t="inlineStr">
        <is>
          <t>2NmCEfz2nAZ1WfMNY4ECSquL1Ped5srfpebzD57w7eia</t>
        </is>
      </c>
      <c r="P287" s="20">
        <f>HYPERLINK("https://dexscreener.com/solana/2NmCEfz2nAZ1WfMNY4ECSquL1Ped5srfpebzD57w7eia", "View")</f>
        <v/>
      </c>
    </row>
    <row r="288">
      <c r="A288" s="15" t="inlineStr">
        <is>
          <t>SATOSHI</t>
        </is>
      </c>
      <c r="B288" s="16" t="n">
        <v>324057</v>
      </c>
      <c r="C288" s="16" t="n">
        <v>0</v>
      </c>
      <c r="D288" s="16" t="inlineStr">
        <is>
          <t>0.000600</t>
        </is>
      </c>
      <c r="E288" s="16" t="inlineStr">
        <is>
          <t>1.000 SOL</t>
        </is>
      </c>
      <c r="F288" s="16" t="inlineStr">
        <is>
          <t>0.000 SOL</t>
        </is>
      </c>
      <c r="G288" s="17" t="inlineStr">
        <is>
          <t>-1.001 SOL</t>
        </is>
      </c>
      <c r="H288" s="17" t="inlineStr">
        <is>
          <t>0.00%</t>
        </is>
      </c>
      <c r="I288" s="16" t="inlineStr">
        <is>
          <t>324,057</t>
        </is>
      </c>
      <c r="J288" s="16" t="n">
        <v>1</v>
      </c>
      <c r="K288" s="16" t="n">
        <v>0</v>
      </c>
      <c r="L288" s="16" t="inlineStr">
        <is>
          <t>08.10.2024 19:09:18</t>
        </is>
      </c>
      <c r="M288" s="18" t="inlineStr">
        <is>
          <t>0 sec</t>
        </is>
      </c>
      <c r="N288" s="16" t="inlineStr">
        <is>
          <t xml:space="preserve">        542K           542K             5K</t>
        </is>
      </c>
      <c r="O288" s="16" t="inlineStr">
        <is>
          <t>H5Cr4Kf7jmnCHuFN7H4bJYT5pfKAhHtU1JaRMzBspump</t>
        </is>
      </c>
      <c r="P288" s="16">
        <f>HYPERLINK("https://dexscreener.com/solana/H5Cr4Kf7jmnCHuFN7H4bJYT5pfKAhHtU1JaRMzBspump", "View")</f>
        <v/>
      </c>
    </row>
    <row r="289">
      <c r="A289" s="19" t="inlineStr">
        <is>
          <t>Todd</t>
        </is>
      </c>
      <c r="B289" s="20" t="n">
        <v>2439058</v>
      </c>
      <c r="C289" s="20" t="n">
        <v>0</v>
      </c>
      <c r="D289" s="20" t="inlineStr">
        <is>
          <t>0.000600</t>
        </is>
      </c>
      <c r="E289" s="20" t="inlineStr">
        <is>
          <t>1.000 SOL</t>
        </is>
      </c>
      <c r="F289" s="20" t="inlineStr">
        <is>
          <t>0.000 SOL</t>
        </is>
      </c>
      <c r="G289" s="17" t="inlineStr">
        <is>
          <t>-1.001 SOL</t>
        </is>
      </c>
      <c r="H289" s="17" t="inlineStr">
        <is>
          <t>0.00%</t>
        </is>
      </c>
      <c r="I289" s="20" t="inlineStr">
        <is>
          <t>2,439,058</t>
        </is>
      </c>
      <c r="J289" s="20" t="n">
        <v>1</v>
      </c>
      <c r="K289" s="20" t="n">
        <v>0</v>
      </c>
      <c r="L289" s="20" t="inlineStr">
        <is>
          <t>08.10.2024 19:03:24</t>
        </is>
      </c>
      <c r="M289" s="18" t="inlineStr">
        <is>
          <t>0 sec</t>
        </is>
      </c>
      <c r="N289" s="20" t="inlineStr">
        <is>
          <t xml:space="preserve">         72K            72K             4K</t>
        </is>
      </c>
      <c r="O289" s="20" t="inlineStr">
        <is>
          <t>67yCqFSCAHnSKYh8r1GRwTGA4sTpUPfwRbsxT2pLpump</t>
        </is>
      </c>
      <c r="P289" s="20">
        <f>HYPERLINK("https://dexscreener.com/solana/67yCqFSCAHnSKYh8r1GRwTGA4sTpUPfwRbsxT2pLpump", "View")</f>
        <v/>
      </c>
    </row>
    <row r="290">
      <c r="A290" s="15" t="inlineStr">
        <is>
          <t>vili</t>
        </is>
      </c>
      <c r="B290" s="16" t="n">
        <v>3289201</v>
      </c>
      <c r="C290" s="16" t="n">
        <v>0</v>
      </c>
      <c r="D290" s="16" t="inlineStr">
        <is>
          <t>0.000600</t>
        </is>
      </c>
      <c r="E290" s="16" t="inlineStr">
        <is>
          <t>1.000 SOL</t>
        </is>
      </c>
      <c r="F290" s="16" t="inlineStr">
        <is>
          <t>0.000 SOL</t>
        </is>
      </c>
      <c r="G290" s="17" t="inlineStr">
        <is>
          <t>-1.001 SOL</t>
        </is>
      </c>
      <c r="H290" s="17" t="inlineStr">
        <is>
          <t>0.00%</t>
        </is>
      </c>
      <c r="I290" s="16" t="inlineStr">
        <is>
          <t>3,289,201</t>
        </is>
      </c>
      <c r="J290" s="16" t="n">
        <v>1</v>
      </c>
      <c r="K290" s="16" t="n">
        <v>0</v>
      </c>
      <c r="L290" s="16" t="inlineStr">
        <is>
          <t>08.10.2024 18:45:20</t>
        </is>
      </c>
      <c r="M290" s="18" t="inlineStr">
        <is>
          <t>0 sec</t>
        </is>
      </c>
      <c r="N290" s="16" t="inlineStr">
        <is>
          <t xml:space="preserve">         53K            53K             4K</t>
        </is>
      </c>
      <c r="O290" s="16" t="inlineStr">
        <is>
          <t>Fzeox4Jc7QGbEBsC4ziS5GxycSP3aYJ34yPxTEpZpump</t>
        </is>
      </c>
      <c r="P290" s="16">
        <f>HYPERLINK("https://dexscreener.com/solana/Fzeox4Jc7QGbEBsC4ziS5GxycSP3aYJ34yPxTEpZpump", "View")</f>
        <v/>
      </c>
    </row>
    <row r="291">
      <c r="A291" s="19" t="inlineStr">
        <is>
          <t>IRS</t>
        </is>
      </c>
      <c r="B291" s="20" t="n">
        <v>2347930</v>
      </c>
      <c r="C291" s="20" t="n">
        <v>2174169</v>
      </c>
      <c r="D291" s="20" t="inlineStr">
        <is>
          <t>0.002120</t>
        </is>
      </c>
      <c r="E291" s="20" t="inlineStr">
        <is>
          <t>1.000 SOL</t>
        </is>
      </c>
      <c r="F291" s="20" t="inlineStr">
        <is>
          <t>2.740 SOL</t>
        </is>
      </c>
      <c r="G291" s="23" t="inlineStr">
        <is>
          <t>1.738 SOL</t>
        </is>
      </c>
      <c r="H291" s="23" t="inlineStr">
        <is>
          <t>173.43%</t>
        </is>
      </c>
      <c r="I291" s="20" t="inlineStr">
        <is>
          <t>N/A</t>
        </is>
      </c>
      <c r="J291" s="20" t="n">
        <v>1</v>
      </c>
      <c r="K291" s="20" t="n">
        <v>3</v>
      </c>
      <c r="L291" s="20" t="inlineStr">
        <is>
          <t>08.10.2024 16:40:35</t>
        </is>
      </c>
      <c r="M291" s="20" t="inlineStr">
        <is>
          <t>1 days</t>
        </is>
      </c>
      <c r="N291" s="20" t="inlineStr">
        <is>
          <t xml:space="preserve">         76K           775K            92K</t>
        </is>
      </c>
      <c r="O291" s="20" t="inlineStr">
        <is>
          <t>4y5fknXiRc8pJSTiNAzLmCum7LmzctRjxZWc1qtmpump</t>
        </is>
      </c>
      <c r="P291" s="20">
        <f>HYPERLINK("https://dexscreener.com/solana/4y5fknXiRc8pJSTiNAzLmCum7LmzctRjxZWc1qtmpump", "View")</f>
        <v/>
      </c>
    </row>
    <row r="292">
      <c r="A292" s="15" t="inlineStr">
        <is>
          <t>Gandalf</t>
        </is>
      </c>
      <c r="B292" s="16" t="n">
        <v>4089846</v>
      </c>
      <c r="C292" s="16" t="n">
        <v>2044923</v>
      </c>
      <c r="D292" s="16" t="inlineStr">
        <is>
          <t>0.001110</t>
        </is>
      </c>
      <c r="E292" s="16" t="inlineStr">
        <is>
          <t>1.000 SOL</t>
        </is>
      </c>
      <c r="F292" s="16" t="inlineStr">
        <is>
          <t>2.841 SOL</t>
        </is>
      </c>
      <c r="G292" s="23" t="inlineStr">
        <is>
          <t>1.840 SOL</t>
        </is>
      </c>
      <c r="H292" s="23" t="inlineStr">
        <is>
          <t>183.80%</t>
        </is>
      </c>
      <c r="I292" s="16" t="inlineStr">
        <is>
          <t>N/A</t>
        </is>
      </c>
      <c r="J292" s="16" t="n">
        <v>1</v>
      </c>
      <c r="K292" s="16" t="n">
        <v>1</v>
      </c>
      <c r="L292" s="16" t="inlineStr">
        <is>
          <t>08.10.2024 15:55:28</t>
        </is>
      </c>
      <c r="M292" s="16" t="inlineStr">
        <is>
          <t>19 hours</t>
        </is>
      </c>
      <c r="N292" s="16" t="inlineStr">
        <is>
          <t xml:space="preserve">         42K           244K            10K</t>
        </is>
      </c>
      <c r="O292" s="16" t="inlineStr">
        <is>
          <t>4CPQVcfg4o16KTFfy1XVc2TXvNcp8Zep8QnwTHm4pump</t>
        </is>
      </c>
      <c r="P292" s="16">
        <f>HYPERLINK("https://dexscreener.com/solana/4CPQVcfg4o16KTFfy1XVc2TXvNcp8Zep8QnwTHm4pump", "View")</f>
        <v/>
      </c>
    </row>
    <row r="293">
      <c r="A293" s="19" t="inlineStr">
        <is>
          <t>SATOSHI</t>
        </is>
      </c>
      <c r="B293" s="20" t="n">
        <v>818168</v>
      </c>
      <c r="C293" s="20" t="n">
        <v>717231</v>
      </c>
      <c r="D293" s="20" t="inlineStr">
        <is>
          <t>0.002120</t>
        </is>
      </c>
      <c r="E293" s="20" t="inlineStr">
        <is>
          <t>1.000 SOL</t>
        </is>
      </c>
      <c r="F293" s="20" t="inlineStr">
        <is>
          <t>4.024 SOL</t>
        </is>
      </c>
      <c r="G293" s="23" t="inlineStr">
        <is>
          <t>3.022 SOL</t>
        </is>
      </c>
      <c r="H293" s="23" t="inlineStr">
        <is>
          <t>301.56%</t>
        </is>
      </c>
      <c r="I293" s="20" t="inlineStr">
        <is>
          <t>N/A</t>
        </is>
      </c>
      <c r="J293" s="20" t="n">
        <v>1</v>
      </c>
      <c r="K293" s="20" t="n">
        <v>3</v>
      </c>
      <c r="L293" s="20" t="inlineStr">
        <is>
          <t>08.10.2024 15:50:30</t>
        </is>
      </c>
      <c r="M293" s="20" t="inlineStr">
        <is>
          <t>14 hours</t>
        </is>
      </c>
      <c r="N293" s="20" t="inlineStr">
        <is>
          <t xml:space="preserve">        214K             2M             9K</t>
        </is>
      </c>
      <c r="O293" s="20" t="inlineStr">
        <is>
          <t>AY4AxLZaqZ6XAt3GhUnqreBH1DM7YzqAsoqQ8KmJpump</t>
        </is>
      </c>
      <c r="P293" s="20">
        <f>HYPERLINK("https://dexscreener.com/solana/AY4AxLZaqZ6XAt3GhUnqreBH1DM7YzqAsoqQ8KmJpump", "View")</f>
        <v/>
      </c>
    </row>
    <row r="294">
      <c r="A294" s="15" t="inlineStr">
        <is>
          <t>AIRCAT</t>
        </is>
      </c>
      <c r="B294" s="16" t="n">
        <v>2237457</v>
      </c>
      <c r="C294" s="16" t="n">
        <v>0</v>
      </c>
      <c r="D294" s="16" t="inlineStr">
        <is>
          <t>0.005000</t>
        </is>
      </c>
      <c r="E294" s="16" t="inlineStr">
        <is>
          <t>0.993 SOL</t>
        </is>
      </c>
      <c r="F294" s="16" t="inlineStr">
        <is>
          <t>0.000 SOL</t>
        </is>
      </c>
      <c r="G294" s="17" t="inlineStr">
        <is>
          <t>-0.998 SOL</t>
        </is>
      </c>
      <c r="H294" s="17" t="inlineStr">
        <is>
          <t>0.00%</t>
        </is>
      </c>
      <c r="I294" s="16" t="inlineStr">
        <is>
          <t>2,237,457</t>
        </is>
      </c>
      <c r="J294" s="16" t="n">
        <v>1</v>
      </c>
      <c r="K294" s="16" t="n">
        <v>0</v>
      </c>
      <c r="L294" s="16" t="inlineStr">
        <is>
          <t>08.10.2024 14:39:21</t>
        </is>
      </c>
      <c r="M294" s="18" t="inlineStr">
        <is>
          <t>0 sec</t>
        </is>
      </c>
      <c r="N294" s="16" t="inlineStr">
        <is>
          <t xml:space="preserve">         77K            77K             5K</t>
        </is>
      </c>
      <c r="O294" s="16" t="inlineStr">
        <is>
          <t>rd3gw8zV94tQUUQjQUVe4qoGjLsfapR9uLT5wdeT4Bv</t>
        </is>
      </c>
      <c r="P294" s="16">
        <f>HYPERLINK("https://dexscreener.com/solana/rd3gw8zV94tQUUQjQUVe4qoGjLsfapR9uLT5wdeT4Bv", "View")</f>
        <v/>
      </c>
    </row>
    <row r="295">
      <c r="A295" s="19" t="inlineStr">
        <is>
          <t>S&amp;P500</t>
        </is>
      </c>
      <c r="B295" s="20" t="n">
        <v>4241066</v>
      </c>
      <c r="C295" s="20" t="n">
        <v>3746548</v>
      </c>
      <c r="D295" s="20" t="inlineStr">
        <is>
          <t>0.001620</t>
        </is>
      </c>
      <c r="E295" s="20" t="inlineStr">
        <is>
          <t>1.000 SOL</t>
        </is>
      </c>
      <c r="F295" s="20" t="inlineStr">
        <is>
          <t>1.505 SOL</t>
        </is>
      </c>
      <c r="G295" s="23" t="inlineStr">
        <is>
          <t>0.503 SOL</t>
        </is>
      </c>
      <c r="H295" s="23" t="inlineStr">
        <is>
          <t>50.23%</t>
        </is>
      </c>
      <c r="I295" s="20" t="inlineStr">
        <is>
          <t>N/A</t>
        </is>
      </c>
      <c r="J295" s="20" t="n">
        <v>1</v>
      </c>
      <c r="K295" s="20" t="n">
        <v>2</v>
      </c>
      <c r="L295" s="20" t="inlineStr">
        <is>
          <t>08.10.2024 12:35:23</t>
        </is>
      </c>
      <c r="M295" s="20" t="inlineStr">
        <is>
          <t>3 hours</t>
        </is>
      </c>
      <c r="N295" s="20" t="inlineStr">
        <is>
          <t xml:space="preserve">         42K           195K             5K</t>
        </is>
      </c>
      <c r="O295" s="20" t="inlineStr">
        <is>
          <t>CWmqNsMiynUfmo8E71kDzBofKu4tPAzrpE55gwiCpump</t>
        </is>
      </c>
      <c r="P295" s="20">
        <f>HYPERLINK("https://dexscreener.com/solana/CWmqNsMiynUfmo8E71kDzBofKu4tPAzrpE55gwiCpump", "View")</f>
        <v/>
      </c>
    </row>
    <row r="296">
      <c r="A296" s="15" t="inlineStr">
        <is>
          <t>PIXCAT</t>
        </is>
      </c>
      <c r="B296" s="16" t="n">
        <v>2851174</v>
      </c>
      <c r="C296" s="16" t="n">
        <v>2263247</v>
      </c>
      <c r="D296" s="16" t="inlineStr">
        <is>
          <t>0.001620</t>
        </is>
      </c>
      <c r="E296" s="16" t="inlineStr">
        <is>
          <t>1.000 SOL</t>
        </is>
      </c>
      <c r="F296" s="16" t="inlineStr">
        <is>
          <t>1.957 SOL</t>
        </is>
      </c>
      <c r="G296" s="23" t="inlineStr">
        <is>
          <t>0.955 SOL</t>
        </is>
      </c>
      <c r="H296" s="23" t="inlineStr">
        <is>
          <t>95.34%</t>
        </is>
      </c>
      <c r="I296" s="16" t="inlineStr">
        <is>
          <t>N/A</t>
        </is>
      </c>
      <c r="J296" s="16" t="n">
        <v>1</v>
      </c>
      <c r="K296" s="16" t="n">
        <v>2</v>
      </c>
      <c r="L296" s="16" t="inlineStr">
        <is>
          <t>08.10.2024 11:55:27</t>
        </is>
      </c>
      <c r="M296" s="16" t="inlineStr">
        <is>
          <t>19 hours</t>
        </is>
      </c>
      <c r="N296" s="16" t="inlineStr">
        <is>
          <t xml:space="preserve">         61K           290K           148K</t>
        </is>
      </c>
      <c r="O296" s="16" t="inlineStr">
        <is>
          <t>HWhmEAFjtHK35b4CjRSbdbhh2muqUpgeW4vzZZcbpump</t>
        </is>
      </c>
      <c r="P296" s="16">
        <f>HYPERLINK("https://dexscreener.com/solana/HWhmEAFjtHK35b4CjRSbdbhh2muqUpgeW4vzZZcbpump", "View")</f>
        <v/>
      </c>
    </row>
    <row r="297">
      <c r="A297" s="19" t="inlineStr">
        <is>
          <t>PIPO</t>
        </is>
      </c>
      <c r="B297" s="20" t="n">
        <v>10968429</v>
      </c>
      <c r="C297" s="20" t="n">
        <v>0</v>
      </c>
      <c r="D297" s="20" t="inlineStr">
        <is>
          <t>0.000600</t>
        </is>
      </c>
      <c r="E297" s="20" t="inlineStr">
        <is>
          <t>1.000 SOL</t>
        </is>
      </c>
      <c r="F297" s="20" t="inlineStr">
        <is>
          <t>0.000 SOL</t>
        </is>
      </c>
      <c r="G297" s="17" t="inlineStr">
        <is>
          <t>-1.001 SOL</t>
        </is>
      </c>
      <c r="H297" s="17" t="inlineStr">
        <is>
          <t>0.00%</t>
        </is>
      </c>
      <c r="I297" s="20" t="inlineStr">
        <is>
          <t>10,968,429</t>
        </is>
      </c>
      <c r="J297" s="20" t="n">
        <v>1</v>
      </c>
      <c r="K297" s="20" t="n">
        <v>0</v>
      </c>
      <c r="L297" s="20" t="inlineStr">
        <is>
          <t>08.10.2024 11:42:19</t>
        </is>
      </c>
      <c r="M297" s="18" t="inlineStr">
        <is>
          <t>0 sec</t>
        </is>
      </c>
      <c r="N297" s="20" t="inlineStr">
        <is>
          <t xml:space="preserve">        N/A           N/A           N/A</t>
        </is>
      </c>
      <c r="O297" s="20" t="inlineStr">
        <is>
          <t>BiWzdzQXKhDcb3LsGsBToyvmHnNy3acA1m85U5Yi2YEp</t>
        </is>
      </c>
      <c r="P297" s="20">
        <f>HYPERLINK("https://dexscreener.com/solana/BiWzdzQXKhDcb3LsGsBToyvmHnNy3acA1m85U5Yi2YEp", "View")</f>
        <v/>
      </c>
    </row>
    <row r="298">
      <c r="A298" s="15" t="inlineStr">
        <is>
          <t>sok</t>
        </is>
      </c>
      <c r="B298" s="16" t="n">
        <v>876291</v>
      </c>
      <c r="C298" s="16" t="n">
        <v>0</v>
      </c>
      <c r="D298" s="16" t="inlineStr">
        <is>
          <t>0.000600</t>
        </is>
      </c>
      <c r="E298" s="16" t="inlineStr">
        <is>
          <t>1.000 SOL</t>
        </is>
      </c>
      <c r="F298" s="16" t="inlineStr">
        <is>
          <t>0.000 SOL</t>
        </is>
      </c>
      <c r="G298" s="17" t="inlineStr">
        <is>
          <t>-1.001 SOL</t>
        </is>
      </c>
      <c r="H298" s="17" t="inlineStr">
        <is>
          <t>0.00%</t>
        </is>
      </c>
      <c r="I298" s="16" t="inlineStr">
        <is>
          <t>876,291</t>
        </is>
      </c>
      <c r="J298" s="16" t="n">
        <v>1</v>
      </c>
      <c r="K298" s="16" t="n">
        <v>0</v>
      </c>
      <c r="L298" s="16" t="inlineStr">
        <is>
          <t>08.10.2024 08:09:19</t>
        </is>
      </c>
      <c r="M298" s="18" t="inlineStr">
        <is>
          <t>0 sec</t>
        </is>
      </c>
      <c r="N298" s="16" t="inlineStr">
        <is>
          <t xml:space="preserve">        200K           200K             7K</t>
        </is>
      </c>
      <c r="O298" s="16" t="inlineStr">
        <is>
          <t>4uzbSwHSJRA43VErKVPWnBySc3stG2CsDwypQ6xVpump</t>
        </is>
      </c>
      <c r="P298" s="16">
        <f>HYPERLINK("https://dexscreener.com/solana/4uzbSwHSJRA43VErKVPWnBySc3stG2CsDwypQ6xVpump", "View")</f>
        <v/>
      </c>
    </row>
    <row r="299">
      <c r="A299" s="19" t="inlineStr">
        <is>
          <t>FLON</t>
        </is>
      </c>
      <c r="B299" s="20" t="n">
        <v>1814378</v>
      </c>
      <c r="C299" s="20" t="n">
        <v>1403705</v>
      </c>
      <c r="D299" s="20" t="inlineStr">
        <is>
          <t>0.001110</t>
        </is>
      </c>
      <c r="E299" s="20" t="inlineStr">
        <is>
          <t>1.000 SOL</t>
        </is>
      </c>
      <c r="F299" s="20" t="inlineStr">
        <is>
          <t>0.925 SOL</t>
        </is>
      </c>
      <c r="G299" s="21" t="inlineStr">
        <is>
          <t>-0.076 SOL</t>
        </is>
      </c>
      <c r="H299" s="21" t="inlineStr">
        <is>
          <t>-7.64%</t>
        </is>
      </c>
      <c r="I299" s="20" t="inlineStr">
        <is>
          <t>N/A</t>
        </is>
      </c>
      <c r="J299" s="20" t="n">
        <v>1</v>
      </c>
      <c r="K299" s="20" t="n">
        <v>1</v>
      </c>
      <c r="L299" s="20" t="inlineStr">
        <is>
          <t>08.10.2024 05:00:35</t>
        </is>
      </c>
      <c r="M299" s="20" t="inlineStr">
        <is>
          <t>9 min</t>
        </is>
      </c>
      <c r="N299" s="20" t="inlineStr">
        <is>
          <t xml:space="preserve">         94K           113K             4K</t>
        </is>
      </c>
      <c r="O299" s="20" t="inlineStr">
        <is>
          <t>2DnQiJLsqpbs9VMKsrqMsja9ffPySYaF1JAxLgHxpump</t>
        </is>
      </c>
      <c r="P299" s="20">
        <f>HYPERLINK("https://dexscreener.com/solana/2DnQiJLsqpbs9VMKsrqMsja9ffPySYaF1JAxLgHxpump", "View")</f>
        <v/>
      </c>
    </row>
    <row r="300">
      <c r="A300" s="15" t="inlineStr">
        <is>
          <t>SATOSHI</t>
        </is>
      </c>
      <c r="B300" s="16" t="n">
        <v>5878045</v>
      </c>
      <c r="C300" s="16" t="n">
        <v>4408533</v>
      </c>
      <c r="D300" s="16" t="inlineStr">
        <is>
          <t>0.001620</t>
        </is>
      </c>
      <c r="E300" s="16" t="inlineStr">
        <is>
          <t>1.000 SOL</t>
        </is>
      </c>
      <c r="F300" s="16" t="inlineStr">
        <is>
          <t>4.434 SOL</t>
        </is>
      </c>
      <c r="G300" s="23" t="inlineStr">
        <is>
          <t>3.432 SOL</t>
        </is>
      </c>
      <c r="H300" s="23" t="inlineStr">
        <is>
          <t>342.67%</t>
        </is>
      </c>
      <c r="I300" s="16" t="inlineStr">
        <is>
          <t>N/A</t>
        </is>
      </c>
      <c r="J300" s="16" t="n">
        <v>1</v>
      </c>
      <c r="K300" s="16" t="n">
        <v>2</v>
      </c>
      <c r="L300" s="16" t="inlineStr">
        <is>
          <t>08.10.2024 04:15:25</t>
        </is>
      </c>
      <c r="M300" s="16" t="inlineStr">
        <is>
          <t>3 hours</t>
        </is>
      </c>
      <c r="N300" s="16" t="inlineStr">
        <is>
          <t xml:space="preserve">         30K           272K             5K</t>
        </is>
      </c>
      <c r="O300" s="16" t="inlineStr">
        <is>
          <t>9GuuVDvmMijVqa6nojZtJpgyEVDYpz4FKpSWfzSEpump</t>
        </is>
      </c>
      <c r="P300" s="16">
        <f>HYPERLINK("https://dexscreener.com/solana/9GuuVDvmMijVqa6nojZtJpgyEVDYpz4FKpSWfzSEpump", "View")</f>
        <v/>
      </c>
    </row>
    <row r="301">
      <c r="A301" s="19" t="inlineStr">
        <is>
          <t>SATOSHI</t>
        </is>
      </c>
      <c r="B301" s="20" t="n">
        <v>3195773</v>
      </c>
      <c r="C301" s="20" t="n">
        <v>0</v>
      </c>
      <c r="D301" s="20" t="inlineStr">
        <is>
          <t>0.000600</t>
        </is>
      </c>
      <c r="E301" s="20" t="inlineStr">
        <is>
          <t>1.000 SOL</t>
        </is>
      </c>
      <c r="F301" s="20" t="inlineStr">
        <is>
          <t>0.000 SOL</t>
        </is>
      </c>
      <c r="G301" s="17" t="inlineStr">
        <is>
          <t>-1.001 SOL</t>
        </is>
      </c>
      <c r="H301" s="17" t="inlineStr">
        <is>
          <t>0.00%</t>
        </is>
      </c>
      <c r="I301" s="20" t="inlineStr">
        <is>
          <t>3,195,773</t>
        </is>
      </c>
      <c r="J301" s="20" t="n">
        <v>1</v>
      </c>
      <c r="K301" s="20" t="n">
        <v>0</v>
      </c>
      <c r="L301" s="20" t="inlineStr">
        <is>
          <t>08.10.2024 01:45:23</t>
        </is>
      </c>
      <c r="M301" s="18" t="inlineStr">
        <is>
          <t>0 sec</t>
        </is>
      </c>
      <c r="N301" s="20" t="inlineStr">
        <is>
          <t xml:space="preserve">         54K            54K             4K</t>
        </is>
      </c>
      <c r="O301" s="20" t="inlineStr">
        <is>
          <t>2Bj3YDphkwBr4PuF3QJPEusyLXwVTgsQ9ezn7PD3pump</t>
        </is>
      </c>
      <c r="P301" s="20">
        <f>HYPERLINK("https://dexscreener.com/solana/2Bj3YDphkwBr4PuF3QJPEusyLXwVTgsQ9ezn7PD3pump", "View")</f>
        <v/>
      </c>
    </row>
    <row r="302">
      <c r="A302" s="15" t="inlineStr">
        <is>
          <t>CTO</t>
        </is>
      </c>
      <c r="B302" s="16" t="n">
        <v>5332860</v>
      </c>
      <c r="C302" s="16" t="n">
        <v>3622</v>
      </c>
      <c r="D302" s="16" t="inlineStr">
        <is>
          <t>0.010010</t>
        </is>
      </c>
      <c r="E302" s="16" t="inlineStr">
        <is>
          <t>0.988 SOL</t>
        </is>
      </c>
      <c r="F302" s="16" t="inlineStr">
        <is>
          <t>0.001 SOL</t>
        </is>
      </c>
      <c r="G302" s="24" t="inlineStr">
        <is>
          <t>-0.997 SOL</t>
        </is>
      </c>
      <c r="H302" s="24" t="inlineStr">
        <is>
          <t>-99.90%</t>
        </is>
      </c>
      <c r="I302" s="16" t="inlineStr">
        <is>
          <t>N/A</t>
        </is>
      </c>
      <c r="J302" s="16" t="n">
        <v>1</v>
      </c>
      <c r="K302" s="16" t="n">
        <v>1</v>
      </c>
      <c r="L302" s="16" t="inlineStr">
        <is>
          <t>07.10.2024 21:45:21</t>
        </is>
      </c>
      <c r="M302" s="16" t="inlineStr">
        <is>
          <t>1 hours</t>
        </is>
      </c>
      <c r="N302" s="16" t="inlineStr">
        <is>
          <t xml:space="preserve">         33K            47K             4K</t>
        </is>
      </c>
      <c r="O302" s="16" t="inlineStr">
        <is>
          <t>5J8fthTzJZ25BzTucmFkCn2QvpxEJVUQ6ft7xaDWybLo</t>
        </is>
      </c>
      <c r="P302" s="16">
        <f>HYPERLINK("https://dexscreener.com/solana/5J8fthTzJZ25BzTucmFkCn2QvpxEJVUQ6ft7xaDWybLo", "View")</f>
        <v/>
      </c>
    </row>
    <row r="303">
      <c r="A303" s="19" t="inlineStr">
        <is>
          <t>sis</t>
        </is>
      </c>
      <c r="B303" s="20" t="n">
        <v>2727835</v>
      </c>
      <c r="C303" s="20" t="n">
        <v>2257252</v>
      </c>
      <c r="D303" s="20" t="inlineStr">
        <is>
          <t>0.001620</t>
        </is>
      </c>
      <c r="E303" s="20" t="inlineStr">
        <is>
          <t>1.000 SOL</t>
        </is>
      </c>
      <c r="F303" s="20" t="inlineStr">
        <is>
          <t>1.884 SOL</t>
        </is>
      </c>
      <c r="G303" s="23" t="inlineStr">
        <is>
          <t>0.883 SOL</t>
        </is>
      </c>
      <c r="H303" s="23" t="inlineStr">
        <is>
          <t>88.12%</t>
        </is>
      </c>
      <c r="I303" s="20" t="inlineStr">
        <is>
          <t>N/A</t>
        </is>
      </c>
      <c r="J303" s="20" t="n">
        <v>1</v>
      </c>
      <c r="K303" s="20" t="n">
        <v>2</v>
      </c>
      <c r="L303" s="20" t="inlineStr">
        <is>
          <t>07.10.2024 20:50:25</t>
        </is>
      </c>
      <c r="M303" s="20" t="inlineStr">
        <is>
          <t>16 hours</t>
        </is>
      </c>
      <c r="N303" s="20" t="inlineStr">
        <is>
          <t xml:space="preserve">         65K           286K            11K</t>
        </is>
      </c>
      <c r="O303" s="20" t="inlineStr">
        <is>
          <t>s88MQrEmdBgaFMskQW2jKvm1Spfoe1bVyYMKbc1pump</t>
        </is>
      </c>
      <c r="P303" s="20">
        <f>HYPERLINK("https://dexscreener.com/solana/s88MQrEmdBgaFMskQW2jKvm1Spfoe1bVyYMKbc1pump", "View")</f>
        <v/>
      </c>
    </row>
    <row r="304">
      <c r="A304" s="15" t="inlineStr">
        <is>
          <t>zen</t>
        </is>
      </c>
      <c r="B304" s="16" t="n">
        <v>3373832</v>
      </c>
      <c r="C304" s="16" t="n">
        <v>1685772</v>
      </c>
      <c r="D304" s="16" t="inlineStr">
        <is>
          <t>0.001110</t>
        </is>
      </c>
      <c r="E304" s="16" t="inlineStr">
        <is>
          <t>1.000 SOL</t>
        </is>
      </c>
      <c r="F304" s="16" t="inlineStr">
        <is>
          <t>1.031 SOL</t>
        </is>
      </c>
      <c r="G304" s="22" t="inlineStr">
        <is>
          <t>0.030 SOL</t>
        </is>
      </c>
      <c r="H304" s="22" t="inlineStr">
        <is>
          <t>2.96%</t>
        </is>
      </c>
      <c r="I304" s="16" t="inlineStr">
        <is>
          <t>N/A</t>
        </is>
      </c>
      <c r="J304" s="16" t="n">
        <v>1</v>
      </c>
      <c r="K304" s="16" t="n">
        <v>1</v>
      </c>
      <c r="L304" s="16" t="inlineStr">
        <is>
          <t>07.10.2024 17:42:20</t>
        </is>
      </c>
      <c r="M304" s="16" t="inlineStr">
        <is>
          <t>24 min</t>
        </is>
      </c>
      <c r="N304" s="16" t="inlineStr">
        <is>
          <t xml:space="preserve">         53K           107K             4K</t>
        </is>
      </c>
      <c r="O304" s="16" t="inlineStr">
        <is>
          <t>5cNxrzqzcSKDtKNXAUsm9WDGFNiT8wqz4zyFt3iApump</t>
        </is>
      </c>
      <c r="P304" s="16">
        <f>HYPERLINK("https://dexscreener.com/solana/5cNxrzqzcSKDtKNXAUsm9WDGFNiT8wqz4zyFt3iApump", "View")</f>
        <v/>
      </c>
    </row>
    <row r="305">
      <c r="A305" s="19" t="inlineStr">
        <is>
          <t>PAUL</t>
        </is>
      </c>
      <c r="B305" s="20" t="n">
        <v>2431389</v>
      </c>
      <c r="C305" s="20" t="n">
        <v>1988466</v>
      </c>
      <c r="D305" s="20" t="inlineStr">
        <is>
          <t>0.001110</t>
        </is>
      </c>
      <c r="E305" s="20" t="inlineStr">
        <is>
          <t>1.000 SOL</t>
        </is>
      </c>
      <c r="F305" s="20" t="inlineStr">
        <is>
          <t>1.146 SOL</t>
        </is>
      </c>
      <c r="G305" s="22" t="inlineStr">
        <is>
          <t>0.145 SOL</t>
        </is>
      </c>
      <c r="H305" s="22" t="inlineStr">
        <is>
          <t>14.52%</t>
        </is>
      </c>
      <c r="I305" s="20" t="inlineStr">
        <is>
          <t>N/A</t>
        </is>
      </c>
      <c r="J305" s="20" t="n">
        <v>1</v>
      </c>
      <c r="K305" s="20" t="n">
        <v>1</v>
      </c>
      <c r="L305" s="20" t="inlineStr">
        <is>
          <t>07.10.2024 16:45:19</t>
        </is>
      </c>
      <c r="M305" s="20" t="inlineStr">
        <is>
          <t>51 min</t>
        </is>
      </c>
      <c r="N305" s="20" t="inlineStr">
        <is>
          <t xml:space="preserve">         72K           102K             4K</t>
        </is>
      </c>
      <c r="O305" s="20" t="inlineStr">
        <is>
          <t>26bx1XK57MFrEdmVVUTEgsNgiy6MouCtcqT65rn1pump</t>
        </is>
      </c>
      <c r="P305" s="20">
        <f>HYPERLINK("https://dexscreener.com/solana/26bx1XK57MFrEdmVVUTEgsNgiy6MouCtcqT65rn1pump", "View")</f>
        <v/>
      </c>
    </row>
    <row r="306">
      <c r="A306" s="15" t="inlineStr">
        <is>
          <t>REXIE</t>
        </is>
      </c>
      <c r="B306" s="16" t="n">
        <v>555289</v>
      </c>
      <c r="C306" s="16" t="n">
        <v>0</v>
      </c>
      <c r="D306" s="16" t="inlineStr">
        <is>
          <t>0.000600</t>
        </is>
      </c>
      <c r="E306" s="16" t="inlineStr">
        <is>
          <t>1.000 SOL</t>
        </is>
      </c>
      <c r="F306" s="16" t="inlineStr">
        <is>
          <t>0.000 SOL</t>
        </is>
      </c>
      <c r="G306" s="17" t="inlineStr">
        <is>
          <t>-1.001 SOL</t>
        </is>
      </c>
      <c r="H306" s="17" t="inlineStr">
        <is>
          <t>0.00%</t>
        </is>
      </c>
      <c r="I306" s="16" t="inlineStr">
        <is>
          <t>555,289</t>
        </is>
      </c>
      <c r="J306" s="16" t="n">
        <v>1</v>
      </c>
      <c r="K306" s="16" t="n">
        <v>0</v>
      </c>
      <c r="L306" s="16" t="inlineStr">
        <is>
          <t>07.10.2024 15:18:22</t>
        </is>
      </c>
      <c r="M306" s="18" t="inlineStr">
        <is>
          <t>0 sec</t>
        </is>
      </c>
      <c r="N306" s="16" t="inlineStr">
        <is>
          <t xml:space="preserve">        316K           316K             4K</t>
        </is>
      </c>
      <c r="O306" s="16" t="inlineStr">
        <is>
          <t>5iU3Y5ckr6urU1q3mDDKifBPQsabrEPDpFt3u9Nfpump</t>
        </is>
      </c>
      <c r="P306" s="16">
        <f>HYPERLINK("https://dexscreener.com/solana/5iU3Y5ckr6urU1q3mDDKifBPQsabrEPDpFt3u9Nfpump", "View")</f>
        <v/>
      </c>
    </row>
    <row r="307">
      <c r="A307" s="19" t="inlineStr">
        <is>
          <t>MARTTI</t>
        </is>
      </c>
      <c r="B307" s="20" t="n">
        <v>801076</v>
      </c>
      <c r="C307" s="20" t="n">
        <v>0</v>
      </c>
      <c r="D307" s="20" t="inlineStr">
        <is>
          <t>0.000600</t>
        </is>
      </c>
      <c r="E307" s="20" t="inlineStr">
        <is>
          <t>1.000 SOL</t>
        </is>
      </c>
      <c r="F307" s="20" t="inlineStr">
        <is>
          <t>0.000 SOL</t>
        </is>
      </c>
      <c r="G307" s="17" t="inlineStr">
        <is>
          <t>-1.001 SOL</t>
        </is>
      </c>
      <c r="H307" s="17" t="inlineStr">
        <is>
          <t>0.00%</t>
        </is>
      </c>
      <c r="I307" s="20" t="inlineStr">
        <is>
          <t>801,076</t>
        </is>
      </c>
      <c r="J307" s="20" t="n">
        <v>1</v>
      </c>
      <c r="K307" s="20" t="n">
        <v>0</v>
      </c>
      <c r="L307" s="20" t="inlineStr">
        <is>
          <t>07.10.2024 14:57:18</t>
        </is>
      </c>
      <c r="M307" s="18" t="inlineStr">
        <is>
          <t>0 sec</t>
        </is>
      </c>
      <c r="N307" s="20" t="inlineStr">
        <is>
          <t xml:space="preserve">        220K           220K             5K</t>
        </is>
      </c>
      <c r="O307" s="20" t="inlineStr">
        <is>
          <t>G2XJk3yq1YNJJR26c9s3eJGkzTCMKYkLohAbTwcwpump</t>
        </is>
      </c>
      <c r="P307" s="20">
        <f>HYPERLINK("https://dexscreener.com/solana/G2XJk3yq1YNJJR26c9s3eJGkzTCMKYkLohAbTwcwpump", "View")</f>
        <v/>
      </c>
    </row>
    <row r="308">
      <c r="A308" s="15" t="inlineStr">
        <is>
          <t>Vote4Me</t>
        </is>
      </c>
      <c r="B308" s="16" t="n">
        <v>4770144</v>
      </c>
      <c r="C308" s="16" t="n">
        <v>0</v>
      </c>
      <c r="D308" s="16" t="inlineStr">
        <is>
          <t>0.005000</t>
        </is>
      </c>
      <c r="E308" s="16" t="inlineStr">
        <is>
          <t>0.998 SOL</t>
        </is>
      </c>
      <c r="F308" s="16" t="inlineStr">
        <is>
          <t>0.000 SOL</t>
        </is>
      </c>
      <c r="G308" s="17" t="inlineStr">
        <is>
          <t>-1.003 SOL</t>
        </is>
      </c>
      <c r="H308" s="17" t="inlineStr">
        <is>
          <t>0.00%</t>
        </is>
      </c>
      <c r="I308" s="16" t="inlineStr">
        <is>
          <t>4,770,144</t>
        </is>
      </c>
      <c r="J308" s="16" t="n">
        <v>1</v>
      </c>
      <c r="K308" s="16" t="n">
        <v>0</v>
      </c>
      <c r="L308" s="16" t="inlineStr">
        <is>
          <t>07.10.2024 12:45:25</t>
        </is>
      </c>
      <c r="M308" s="18" t="inlineStr">
        <is>
          <t>0 sec</t>
        </is>
      </c>
      <c r="N308" s="16" t="inlineStr">
        <is>
          <t xml:space="preserve">         35K            35K             3K</t>
        </is>
      </c>
      <c r="O308" s="16" t="inlineStr">
        <is>
          <t>CrKGNwXqgiMNFgGDhjmrAmvpT1LHEWhSWE8ZkpfNA2h5</t>
        </is>
      </c>
      <c r="P308" s="16">
        <f>HYPERLINK("https://dexscreener.com/solana/CrKGNwXqgiMNFgGDhjmrAmvpT1LHEWhSWE8ZkpfNA2h5", "View")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HYPERLINK("https://gmgn.ai/sol/address/2FaNRoiXTZ9xXXNKRPap3VXiSZQr6ebwjnHBseCWJc9h", "GMGN")</f>
        <v/>
      </c>
    </row>
    <row r="2">
      <c r="A2" s="3" t="inlineStr">
        <is>
          <t>2FaNRoiXTZ9xXXNKRPap3VXiSZQr6ebwjnHBseCWJc9h</t>
        </is>
      </c>
      <c r="B2" s="3" t="inlineStr">
        <is>
          <t>9.17 SOL</t>
        </is>
      </c>
      <c r="C2" s="3" t="inlineStr">
        <is>
          <t>63%</t>
        </is>
      </c>
      <c r="D2" s="3" t="inlineStr">
        <is>
          <t>146%</t>
        </is>
      </c>
      <c r="E2" s="3" t="inlineStr">
        <is>
          <t>8.93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2</v>
      </c>
      <c r="N2" s="3">
        <f>HYPERLINK("https://solscan.io/account/2FaNRoiXTZ9xXXNKRPap3VXiSZQr6ebwjnHBseCWJc9h", "Solscan")</f>
        <v/>
      </c>
    </row>
    <row r="3">
      <c r="A3" s="6" t="inlineStr">
        <is>
          <t>Median ROI</t>
        </is>
      </c>
      <c r="B3" s="4" t="inlineStr">
        <is>
          <t>55.77%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HYPERLINK("https://birdeye.so/profile/2FaNRoiXTZ9xXXNKRPap3VXiSZQr6ebwjnHBseCWJc9h", "Birdeye")</f>
        <v/>
      </c>
    </row>
    <row r="4">
      <c r="A4" s="6" t="inlineStr">
        <is>
          <t>Rockets percent</t>
        </is>
      </c>
      <c r="B4" s="3" t="inlineStr">
        <is>
          <t>25%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1</v>
      </c>
      <c r="D10" s="6" t="n">
        <v>3</v>
      </c>
      <c r="E10" s="6" t="n">
        <v>0</v>
      </c>
      <c r="F10" s="6" t="n">
        <v>2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12.5%</t>
        </is>
      </c>
      <c r="C11" s="6" t="inlineStr">
        <is>
          <t>12.5%</t>
        </is>
      </c>
      <c r="D11" s="6" t="inlineStr">
        <is>
          <t>37.5%</t>
        </is>
      </c>
      <c r="E11" s="6" t="inlineStr">
        <is>
          <t>0.0%</t>
        </is>
      </c>
      <c r="F11" s="6" t="inlineStr">
        <is>
          <t>25.0%</t>
        </is>
      </c>
      <c r="G11" s="6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6.6 SOL</t>
        </is>
      </c>
      <c r="C12" s="6" t="inlineStr">
        <is>
          <t>1.3 SOL</t>
        </is>
      </c>
      <c r="D12" s="6" t="inlineStr">
        <is>
          <t>1.7 SOL</t>
        </is>
      </c>
      <c r="E12" s="6" t="inlineStr">
        <is>
          <t>0.0 SOL</t>
        </is>
      </c>
      <c r="F12" s="6" t="inlineStr">
        <is>
          <t>-0.5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13.0K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Liberty</t>
        </is>
      </c>
      <c r="B20" s="16" t="n">
        <v>8959841</v>
      </c>
      <c r="C20" s="16" t="n">
        <v>8959841</v>
      </c>
      <c r="D20" s="16" t="inlineStr">
        <is>
          <t>0.180090</t>
        </is>
      </c>
      <c r="E20" s="16" t="inlineStr">
        <is>
          <t>0.720 SOL</t>
        </is>
      </c>
      <c r="F20" s="16" t="inlineStr">
        <is>
          <t>1.451 SOL</t>
        </is>
      </c>
      <c r="G20" s="23" t="inlineStr">
        <is>
          <t>0.550 SOL</t>
        </is>
      </c>
      <c r="H20" s="23" t="inlineStr">
        <is>
          <t>61.15%</t>
        </is>
      </c>
      <c r="I20" s="16" t="inlineStr">
        <is>
          <t>N/A</t>
        </is>
      </c>
      <c r="J20" s="16" t="n">
        <v>1</v>
      </c>
      <c r="K20" s="16" t="n">
        <v>17</v>
      </c>
      <c r="L20" s="16" t="inlineStr">
        <is>
          <t>30.10.2024 13:20:51</t>
        </is>
      </c>
      <c r="M20" s="16" t="inlineStr">
        <is>
          <t>4 min</t>
        </is>
      </c>
      <c r="N20" s="16" t="inlineStr">
        <is>
          <t xml:space="preserve">         14K            14K             5K</t>
        </is>
      </c>
      <c r="O20" s="16" t="inlineStr">
        <is>
          <t>CqBmg5ZUoaPg5Yx5uAKYzpyRcXme2UpVmZ8U5iotpump</t>
        </is>
      </c>
      <c r="P20" s="16">
        <f>HYPERLINK("https://photon-sol.tinyastro.io/en/lp/CqBmg5ZUoaPg5Yx5uAKYzpyRcXme2UpVmZ8U5iotpump?handle=676050794bc1b1657a56b", "View")</f>
        <v/>
      </c>
    </row>
    <row r="21">
      <c r="A21" s="19" t="inlineStr">
        <is>
          <t>Torin</t>
        </is>
      </c>
      <c r="B21" s="20" t="n">
        <v>10163367</v>
      </c>
      <c r="C21" s="20" t="n">
        <v>10163367</v>
      </c>
      <c r="D21" s="20" t="inlineStr">
        <is>
          <t>0.140070</t>
        </is>
      </c>
      <c r="E21" s="20" t="inlineStr">
        <is>
          <t>0.496 SOL</t>
        </is>
      </c>
      <c r="F21" s="20" t="inlineStr">
        <is>
          <t>1.906 SOL</t>
        </is>
      </c>
      <c r="G21" s="23" t="inlineStr">
        <is>
          <t>1.270 SOL</t>
        </is>
      </c>
      <c r="H21" s="23" t="inlineStr">
        <is>
          <t>199.62%</t>
        </is>
      </c>
      <c r="I21" s="20" t="inlineStr">
        <is>
          <t>N/A</t>
        </is>
      </c>
      <c r="J21" s="20" t="n">
        <v>1</v>
      </c>
      <c r="K21" s="20" t="n">
        <v>13</v>
      </c>
      <c r="L21" s="20" t="inlineStr">
        <is>
          <t>30.10.2024 06:27:37</t>
        </is>
      </c>
      <c r="M21" s="20" t="inlineStr">
        <is>
          <t>6 min</t>
        </is>
      </c>
      <c r="N21" s="20" t="inlineStr">
        <is>
          <t xml:space="preserve">          9K            16K             3K</t>
        </is>
      </c>
      <c r="O21" s="20" t="inlineStr">
        <is>
          <t>HxdzGHd2jLF12UHjgFKCb6zMzgfqGnwRvwKweXmXpump</t>
        </is>
      </c>
      <c r="P21" s="20">
        <f>HYPERLINK("https://photon-sol.tinyastro.io/en/lp/HxdzGHd2jLF12UHjgFKCb6zMzgfqGnwRvwKweXmXpump?handle=676050794bc1b1657a56b", "View")</f>
        <v/>
      </c>
    </row>
    <row r="22">
      <c r="A22" s="15" t="inlineStr">
        <is>
          <t>Torin</t>
        </is>
      </c>
      <c r="B22" s="16" t="n">
        <v>8831328</v>
      </c>
      <c r="C22" s="16" t="n">
        <v>8831328</v>
      </c>
      <c r="D22" s="16" t="inlineStr">
        <is>
          <t>0.630320</t>
        </is>
      </c>
      <c r="E22" s="16" t="inlineStr">
        <is>
          <t>0.620 SOL</t>
        </is>
      </c>
      <c r="F22" s="16" t="inlineStr">
        <is>
          <t>7.877 SOL</t>
        </is>
      </c>
      <c r="G22" s="23" t="inlineStr">
        <is>
          <t>6.627 SOL</t>
        </is>
      </c>
      <c r="H22" s="23" t="inlineStr">
        <is>
          <t>530.00%</t>
        </is>
      </c>
      <c r="I22" s="16" t="inlineStr">
        <is>
          <t>N/A</t>
        </is>
      </c>
      <c r="J22" s="16" t="n">
        <v>1</v>
      </c>
      <c r="K22" s="16" t="n">
        <v>62</v>
      </c>
      <c r="L22" s="16" t="inlineStr">
        <is>
          <t>30.10.2024 06:17:46</t>
        </is>
      </c>
      <c r="M22" s="16" t="inlineStr">
        <is>
          <t>7 min</t>
        </is>
      </c>
      <c r="N22" s="16" t="inlineStr">
        <is>
          <t xml:space="preserve">         12K           100K             7K</t>
        </is>
      </c>
      <c r="O22" s="16" t="inlineStr">
        <is>
          <t>ALKTKLRTyF3P83KMCAvGEtY4CsoMzvh1k38uixCgpump</t>
        </is>
      </c>
      <c r="P22" s="16">
        <f>HYPERLINK("https://photon-sol.tinyastro.io/en/lp/ALKTKLRTyF3P83KMCAvGEtY4CsoMzvh1k38uixCgpump?handle=676050794bc1b1657a56b", "View")</f>
        <v/>
      </c>
    </row>
    <row r="23">
      <c r="A23" s="19" t="inlineStr">
        <is>
          <t>Butters</t>
        </is>
      </c>
      <c r="B23" s="20" t="n">
        <v>7929767</v>
      </c>
      <c r="C23" s="20" t="n">
        <v>7929767</v>
      </c>
      <c r="D23" s="20" t="inlineStr">
        <is>
          <t>0.020010</t>
        </is>
      </c>
      <c r="E23" s="20" t="inlineStr">
        <is>
          <t>0.616 SOL</t>
        </is>
      </c>
      <c r="F23" s="20" t="inlineStr">
        <is>
          <t>0.463 SOL</t>
        </is>
      </c>
      <c r="G23" s="21" t="inlineStr">
        <is>
          <t>-0.173 SOL</t>
        </is>
      </c>
      <c r="H23" s="21" t="inlineStr">
        <is>
          <t>-27.18%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29.10.2024 18:25:36</t>
        </is>
      </c>
      <c r="M23" s="20" t="inlineStr">
        <is>
          <t>8 min</t>
        </is>
      </c>
      <c r="N23" s="20" t="inlineStr">
        <is>
          <t xml:space="preserve">         14K            11K             4K</t>
        </is>
      </c>
      <c r="O23" s="20" t="inlineStr">
        <is>
          <t>BFc3G2JaqZA3eCJzWiSMhGZp7aXwonXETtr2Nudppump</t>
        </is>
      </c>
      <c r="P23" s="20">
        <f>HYPERLINK("https://photon-sol.tinyastro.io/en/lp/BFc3G2JaqZA3eCJzWiSMhGZp7aXwonXETtr2Nudppump?handle=676050794bc1b1657a56b", "View")</f>
        <v/>
      </c>
    </row>
    <row r="24">
      <c r="A24" s="15" t="inlineStr">
        <is>
          <t>Nina</t>
        </is>
      </c>
      <c r="B24" s="16" t="n">
        <v>11778199</v>
      </c>
      <c r="C24" s="16" t="n">
        <v>11778199</v>
      </c>
      <c r="D24" s="16" t="inlineStr">
        <is>
          <t>0.020010</t>
        </is>
      </c>
      <c r="E24" s="16" t="inlineStr">
        <is>
          <t>0.688 SOL</t>
        </is>
      </c>
      <c r="F24" s="16" t="inlineStr">
        <is>
          <t>1.065 SOL</t>
        </is>
      </c>
      <c r="G24" s="23" t="inlineStr">
        <is>
          <t>0.357 SOL</t>
        </is>
      </c>
      <c r="H24" s="23" t="inlineStr">
        <is>
          <t>50.39%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15:46:54</t>
        </is>
      </c>
      <c r="M24" s="16" t="inlineStr">
        <is>
          <t>4 min</t>
        </is>
      </c>
      <c r="N24" s="16" t="inlineStr">
        <is>
          <t xml:space="preserve">         11K            16K             5K</t>
        </is>
      </c>
      <c r="O24" s="16" t="inlineStr">
        <is>
          <t>CDkwBE7pPovZLJC2KxM7jvWXkyygR1Y1u2R7f6hmpump</t>
        </is>
      </c>
      <c r="P24" s="16">
        <f>HYPERLINK("https://photon-sol.tinyastro.io/en/lp/CDkwBE7pPovZLJC2KxM7jvWXkyygR1Y1u2R7f6hmpump?handle=676050794bc1b1657a56b", "View")</f>
        <v/>
      </c>
    </row>
    <row r="25">
      <c r="A25" s="19" t="inlineStr">
        <is>
          <t>MOLANG</t>
        </is>
      </c>
      <c r="B25" s="20" t="n">
        <v>1793028</v>
      </c>
      <c r="C25" s="20" t="n">
        <v>1793028</v>
      </c>
      <c r="D25" s="20" t="inlineStr">
        <is>
          <t>0.220020</t>
        </is>
      </c>
      <c r="E25" s="20" t="inlineStr">
        <is>
          <t>0.551 SOL</t>
        </is>
      </c>
      <c r="F25" s="20" t="inlineStr">
        <is>
          <t>0.428 SOL</t>
        </is>
      </c>
      <c r="G25" s="21" t="inlineStr">
        <is>
          <t>-0.343 SOL</t>
        </is>
      </c>
      <c r="H25" s="21" t="inlineStr">
        <is>
          <t>-44.45%</t>
        </is>
      </c>
      <c r="I25" s="20" t="inlineStr">
        <is>
          <t>N/A</t>
        </is>
      </c>
      <c r="J25" s="20" t="n">
        <v>2</v>
      </c>
      <c r="K25" s="20" t="n">
        <v>2</v>
      </c>
      <c r="L25" s="20" t="inlineStr">
        <is>
          <t>29.10.2024 14:48:15</t>
        </is>
      </c>
      <c r="M25" s="20" t="inlineStr">
        <is>
          <t>10 min</t>
        </is>
      </c>
      <c r="N25" s="20" t="inlineStr">
        <is>
          <t xml:space="preserve">         56K            30K             4K</t>
        </is>
      </c>
      <c r="O25" s="20" t="inlineStr">
        <is>
          <t>BPFXTGBjoARa89gbSvbp7Dy6cQwgGc7efW1jE8nTpump</t>
        </is>
      </c>
      <c r="P25" s="20">
        <f>HYPERLINK("https://photon-sol.tinyastro.io/en/lp/BPFXTGBjoARa89gbSvbp7Dy6cQwgGc7efW1jE8nTpump?handle=676050794bc1b1657a56b", "View")</f>
        <v/>
      </c>
    </row>
    <row r="26">
      <c r="A26" s="15" t="inlineStr">
        <is>
          <t>Trina</t>
        </is>
      </c>
      <c r="B26" s="16" t="n">
        <v>11384893</v>
      </c>
      <c r="C26" s="16" t="n">
        <v>11384893</v>
      </c>
      <c r="D26" s="16" t="inlineStr">
        <is>
          <t>0.410160</t>
        </is>
      </c>
      <c r="E26" s="16" t="inlineStr">
        <is>
          <t>0.546 SOL</t>
        </is>
      </c>
      <c r="F26" s="16" t="inlineStr">
        <is>
          <t>1.723 SOL</t>
        </is>
      </c>
      <c r="G26" s="23" t="inlineStr">
        <is>
          <t>0.767 SOL</t>
        </is>
      </c>
      <c r="H26" s="23" t="inlineStr">
        <is>
          <t>80.25%</t>
        </is>
      </c>
      <c r="I26" s="16" t="inlineStr">
        <is>
          <t>N/A</t>
        </is>
      </c>
      <c r="J26" s="16" t="n">
        <v>1</v>
      </c>
      <c r="K26" s="16" t="n">
        <v>31</v>
      </c>
      <c r="L26" s="16" t="inlineStr">
        <is>
          <t>29.10.2024 13:33:37</t>
        </is>
      </c>
      <c r="M26" s="16" t="inlineStr">
        <is>
          <t>9 min</t>
        </is>
      </c>
      <c r="N26" s="16" t="inlineStr">
        <is>
          <t xml:space="preserve">          9K            12K             4K</t>
        </is>
      </c>
      <c r="O26" s="16" t="inlineStr">
        <is>
          <t>DirQ7FDi1C5SZCy8ai1GTSvnm9o8MDf9s4C4cExzpump</t>
        </is>
      </c>
      <c r="P26" s="16">
        <f>HYPERLINK("https://photon-sol.tinyastro.io/en/lp/DirQ7FDi1C5SZCy8ai1GTSvnm9o8MDf9s4C4cExzpump?handle=676050794bc1b1657a56b", "View")</f>
        <v/>
      </c>
    </row>
    <row r="27">
      <c r="A27" s="19" t="inlineStr">
        <is>
          <t>Trina</t>
        </is>
      </c>
      <c r="B27" s="20" t="n">
        <v>585788</v>
      </c>
      <c r="C27" s="20" t="n">
        <v>585788</v>
      </c>
      <c r="D27" s="20" t="inlineStr">
        <is>
          <t>0.110010</t>
        </is>
      </c>
      <c r="E27" s="20" t="inlineStr">
        <is>
          <t>0.131 SOL</t>
        </is>
      </c>
      <c r="F27" s="20" t="inlineStr">
        <is>
          <t>0.118 SOL</t>
        </is>
      </c>
      <c r="G27" s="24" t="inlineStr">
        <is>
          <t>-0.123 SOL</t>
        </is>
      </c>
      <c r="H27" s="24" t="inlineStr">
        <is>
          <t>-50.93%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29.10.2024 13:22:12</t>
        </is>
      </c>
      <c r="M27" s="20" t="inlineStr">
        <is>
          <t>8 min</t>
        </is>
      </c>
      <c r="N27" s="20" t="inlineStr">
        <is>
          <t xml:space="preserve">         39K            35K             5K</t>
        </is>
      </c>
      <c r="O27" s="20" t="inlineStr">
        <is>
          <t>CsT44i2W2MWp23WQ2EqjorxZVVzuN4niw1cj1Qr5pump</t>
        </is>
      </c>
      <c r="P27" s="20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45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HYPERLINK("https://gmgn.ai/sol/address/A4w9U4xDEPpEqJZGgq6ywkKhqq3KBKzSZSSmtDin7NqS", "GMGN")</f>
        <v/>
      </c>
    </row>
    <row r="2">
      <c r="A2" s="3" t="inlineStr">
        <is>
          <t>A4w9U4xDEPpEqJZGgq6ywkKhqq3KBKzSZSSmtDin7NqS</t>
        </is>
      </c>
      <c r="B2" s="3" t="inlineStr">
        <is>
          <t>10.50 SOL</t>
        </is>
      </c>
      <c r="C2" s="3" t="inlineStr">
        <is>
          <t>46%</t>
        </is>
      </c>
      <c r="D2" s="3" t="inlineStr">
        <is>
          <t>47%</t>
        </is>
      </c>
      <c r="E2" s="3" t="inlineStr">
        <is>
          <t>21.66 SOL</t>
        </is>
      </c>
      <c r="F2" s="3" t="inlineStr">
        <is>
          <t>1 (4%)</t>
        </is>
      </c>
      <c r="G2" s="3" t="inlineStr">
        <is>
          <t>0 (0%)</t>
        </is>
      </c>
      <c r="H2" s="3" t="n">
        <v>26</v>
      </c>
      <c r="I2" s="3" t="n">
        <v>4</v>
      </c>
      <c r="J2" s="3" t="inlineStr">
        <is>
          <t>30 days</t>
        </is>
      </c>
      <c r="K2" s="3" t="inlineStr">
        <is>
          <t>40 min</t>
        </is>
      </c>
      <c r="L2" s="3" t="n">
        <v>11</v>
      </c>
      <c r="M2" s="3" t="n">
        <v>20</v>
      </c>
      <c r="N2" s="3">
        <f>HYPERLINK("https://solscan.io/account/A4w9U4xDEPpEqJZGgq6ywkKhqq3KBKzSZSSmtDin7NqS", "Solscan")</f>
        <v/>
      </c>
    </row>
    <row r="3">
      <c r="A3" s="6" t="inlineStr">
        <is>
          <t>Median ROI</t>
        </is>
      </c>
      <c r="B3" s="5" t="inlineStr">
        <is>
          <t>-15.43%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HYPERLINK("https://birdeye.so/profile/A4w9U4xDEPpEqJZGgq6ywkKhqq3KBKzSZSSmtDin7NqS", "Birdeye")</f>
        <v/>
      </c>
    </row>
    <row r="4">
      <c r="A4" s="6" t="inlineStr">
        <is>
          <t>Rockets percent</t>
        </is>
      </c>
      <c r="B4" s="3" t="inlineStr">
        <is>
          <t>19%</t>
        </is>
      </c>
      <c r="C4" s="3" t="inlineStr"/>
      <c r="D4" s="3" t="inlineStr">
        <is>
          <t>4%</t>
        </is>
      </c>
      <c r="E4" s="3" t="inlineStr">
        <is>
          <t>1.7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54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4</v>
      </c>
      <c r="D10" s="6" t="n">
        <v>1</v>
      </c>
      <c r="E10" s="6" t="n">
        <v>6</v>
      </c>
      <c r="F10" s="6" t="n">
        <v>6</v>
      </c>
      <c r="G10" s="6" t="n">
        <v>8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3.8%</t>
        </is>
      </c>
      <c r="C11" s="6" t="inlineStr">
        <is>
          <t>15.4%</t>
        </is>
      </c>
      <c r="D11" s="6" t="inlineStr">
        <is>
          <t>3.8%</t>
        </is>
      </c>
      <c r="E11" s="6" t="inlineStr">
        <is>
          <t>23.1%</t>
        </is>
      </c>
      <c r="F11" s="6" t="inlineStr">
        <is>
          <t>23.1%</t>
        </is>
      </c>
      <c r="G11" s="6" t="inlineStr">
        <is>
          <t>30.8%</t>
        </is>
      </c>
      <c r="H11" s="3" t="n"/>
      <c r="I11" s="3" t="inlineStr">
        <is>
          <t>5k-30k</t>
        </is>
      </c>
      <c r="J11" s="3" t="inlineStr">
        <is>
          <t>9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4.4 SOL</t>
        </is>
      </c>
      <c r="C12" s="6" t="inlineStr">
        <is>
          <t>23.0 SOL</t>
        </is>
      </c>
      <c r="D12" s="6" t="inlineStr">
        <is>
          <t>2.1 SOL</t>
        </is>
      </c>
      <c r="E12" s="6" t="inlineStr">
        <is>
          <t>0.5 SOL</t>
        </is>
      </c>
      <c r="F12" s="6" t="inlineStr">
        <is>
          <t>-1.9 SOL</t>
        </is>
      </c>
      <c r="G12" s="6" t="inlineStr">
        <is>
          <t>-6.3 SOL</t>
        </is>
      </c>
      <c r="H12" s="3" t="n"/>
      <c r="I12" s="3" t="inlineStr">
        <is>
          <t>30k-100k</t>
        </is>
      </c>
      <c r="J12" s="3" t="inlineStr">
        <is>
          <t>6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6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3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62.5K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Lisa47</t>
        </is>
      </c>
      <c r="B20" s="16" t="n">
        <v>58398830</v>
      </c>
      <c r="C20" s="16" t="n">
        <v>58398830</v>
      </c>
      <c r="D20" s="16" t="inlineStr">
        <is>
          <t>0.021020</t>
        </is>
      </c>
      <c r="E20" s="16" t="inlineStr">
        <is>
          <t>5.113 SOL</t>
        </is>
      </c>
      <c r="F20" s="16" t="inlineStr">
        <is>
          <t>5.235 SOL</t>
        </is>
      </c>
      <c r="G20" s="22" t="inlineStr">
        <is>
          <t>0.101 SOL</t>
        </is>
      </c>
      <c r="H20" s="22" t="inlineStr">
        <is>
          <t>1.97%</t>
        </is>
      </c>
      <c r="I20" s="16" t="inlineStr">
        <is>
          <t>N/A</t>
        </is>
      </c>
      <c r="J20" s="16" t="n">
        <v>1</v>
      </c>
      <c r="K20" s="16" t="n">
        <v>2</v>
      </c>
      <c r="L20" s="16" t="inlineStr">
        <is>
          <t>30.10.2024 20:12:49</t>
        </is>
      </c>
      <c r="M20" s="16" t="inlineStr">
        <is>
          <t>1 hours</t>
        </is>
      </c>
      <c r="N20" s="16" t="inlineStr">
        <is>
          <t xml:space="preserve">         16K            16K             3K</t>
        </is>
      </c>
      <c r="O20" s="16" t="inlineStr">
        <is>
          <t>GyiYME5uzFmezjVF3eahQuumGhB3wrqKg1Z1afZHpump</t>
        </is>
      </c>
      <c r="P20" s="16">
        <f>HYPERLINK("https://photon-sol.tinyastro.io/en/lp/GyiYME5uzFmezjVF3eahQuumGhB3wrqKg1Z1afZHpump?handle=676050794bc1b1657a56b", "View")</f>
        <v/>
      </c>
    </row>
    <row r="21">
      <c r="A21" s="19" t="inlineStr">
        <is>
          <t>CyberDog</t>
        </is>
      </c>
      <c r="B21" s="20" t="n">
        <v>32401077</v>
      </c>
      <c r="C21" s="20" t="n">
        <v>0</v>
      </c>
      <c r="D21" s="20" t="inlineStr">
        <is>
          <t>0.007010</t>
        </is>
      </c>
      <c r="E21" s="20" t="inlineStr">
        <is>
          <t>1.032 SOL</t>
        </is>
      </c>
      <c r="F21" s="20" t="inlineStr">
        <is>
          <t>0.000 SOL</t>
        </is>
      </c>
      <c r="G21" s="17" t="inlineStr">
        <is>
          <t>-1.039 SOL</t>
        </is>
      </c>
      <c r="H21" s="17" t="inlineStr">
        <is>
          <t>0.00%</t>
        </is>
      </c>
      <c r="I21" s="20" t="inlineStr">
        <is>
          <t>32,401,077</t>
        </is>
      </c>
      <c r="J21" s="20" t="n">
        <v>1</v>
      </c>
      <c r="K21" s="20" t="n">
        <v>0</v>
      </c>
      <c r="L21" s="20" t="inlineStr">
        <is>
          <t>30.10.2024 19:36:41</t>
        </is>
      </c>
      <c r="M21" s="18" t="inlineStr">
        <is>
          <t>0 sec</t>
        </is>
      </c>
      <c r="N21" s="20" t="inlineStr">
        <is>
          <t xml:space="preserve">          5K             5K             5K</t>
        </is>
      </c>
      <c r="O21" s="20" t="inlineStr">
        <is>
          <t>7wj8pUNJ45YDxbNcxG5sD8RWMevrUs41jxks4S67pump</t>
        </is>
      </c>
      <c r="P21" s="20">
        <f>HYPERLINK("https://photon-sol.tinyastro.io/en/lp/7wj8pUNJ45YDxbNcxG5sD8RWMevrUs41jxks4S67pump?handle=676050794bc1b1657a56b", "View")</f>
        <v/>
      </c>
    </row>
    <row r="22">
      <c r="A22" s="15" t="inlineStr">
        <is>
          <t>Lisa47</t>
        </is>
      </c>
      <c r="B22" s="16" t="n">
        <v>120388078</v>
      </c>
      <c r="C22" s="16" t="n">
        <v>120388078</v>
      </c>
      <c r="D22" s="16" t="inlineStr">
        <is>
          <t>0.028020</t>
        </is>
      </c>
      <c r="E22" s="16" t="inlineStr">
        <is>
          <t>10.668 SOL</t>
        </is>
      </c>
      <c r="F22" s="16" t="inlineStr">
        <is>
          <t>10.738 SOL</t>
        </is>
      </c>
      <c r="G22" s="22" t="inlineStr">
        <is>
          <t>0.043 SOL</t>
        </is>
      </c>
      <c r="H22" s="22" t="inlineStr">
        <is>
          <t>0.40%</t>
        </is>
      </c>
      <c r="I22" s="16" t="inlineStr">
        <is>
          <t>N/A</t>
        </is>
      </c>
      <c r="J22" s="16" t="n">
        <v>1</v>
      </c>
      <c r="K22" s="16" t="n">
        <v>3</v>
      </c>
      <c r="L22" s="16" t="inlineStr">
        <is>
          <t>30.10.2024 18:37:00</t>
        </is>
      </c>
      <c r="M22" s="16" t="inlineStr">
        <is>
          <t>11 min</t>
        </is>
      </c>
      <c r="N22" s="16" t="inlineStr">
        <is>
          <t xml:space="preserve">         16K            16K             3K</t>
        </is>
      </c>
      <c r="O22" s="16" t="inlineStr">
        <is>
          <t>7TNajufcN4a3uVEL4RXPs7vfwk6UPs3aatdF9vnbpump</t>
        </is>
      </c>
      <c r="P22" s="16">
        <f>HYPERLINK("https://photon-sol.tinyastro.io/en/lp/7TNajufcN4a3uVEL4RXPs7vfwk6UPs3aatdF9vnbpump?handle=676050794bc1b1657a56b", "View")</f>
        <v/>
      </c>
    </row>
    <row r="23">
      <c r="A23" s="19" t="inlineStr">
        <is>
          <t>RAO</t>
        </is>
      </c>
      <c r="B23" s="20" t="n">
        <v>4818526</v>
      </c>
      <c r="C23" s="20" t="n">
        <v>2409263</v>
      </c>
      <c r="D23" s="20" t="inlineStr">
        <is>
          <t>0.021020</t>
        </is>
      </c>
      <c r="E23" s="20" t="inlineStr">
        <is>
          <t>2.000 SOL</t>
        </is>
      </c>
      <c r="F23" s="20" t="inlineStr">
        <is>
          <t>0.511 SOL</t>
        </is>
      </c>
      <c r="G23" s="24" t="inlineStr">
        <is>
          <t>-1.510 SOL</t>
        </is>
      </c>
      <c r="H23" s="24" t="inlineStr">
        <is>
          <t>-74.73%</t>
        </is>
      </c>
      <c r="I23" s="20" t="inlineStr">
        <is>
          <t>N/A</t>
        </is>
      </c>
      <c r="J23" s="20" t="n">
        <v>2</v>
      </c>
      <c r="K23" s="20" t="n">
        <v>1</v>
      </c>
      <c r="L23" s="20" t="inlineStr">
        <is>
          <t>30.10.2024 16:25:34</t>
        </is>
      </c>
      <c r="M23" s="20" t="inlineStr">
        <is>
          <t>1 days</t>
        </is>
      </c>
      <c r="N23" s="20" t="inlineStr">
        <is>
          <t xml:space="preserve">         90K            61K            40K</t>
        </is>
      </c>
      <c r="O23" s="20" t="inlineStr">
        <is>
          <t>3cxqCGH1gq5BzvfxfrWXMm4V3ZaAyBMcXMomzDxapump</t>
        </is>
      </c>
      <c r="P23" s="20">
        <f>HYPERLINK("https://dexscreener.com/solana/3cxqCGH1gq5BzvfxfrWXMm4V3ZaAyBMcXMomzDxapump", "View")</f>
        <v/>
      </c>
    </row>
    <row r="24">
      <c r="A24" s="15" t="inlineStr">
        <is>
          <t>BIBIYAN</t>
        </is>
      </c>
      <c r="B24" s="16" t="n">
        <v>6350591</v>
      </c>
      <c r="C24" s="16" t="n">
        <v>6350591</v>
      </c>
      <c r="D24" s="16" t="inlineStr">
        <is>
          <t>0.014010</t>
        </is>
      </c>
      <c r="E24" s="16" t="inlineStr">
        <is>
          <t>0.547 SOL</t>
        </is>
      </c>
      <c r="F24" s="16" t="inlineStr">
        <is>
          <t>1.213 SOL</t>
        </is>
      </c>
      <c r="G24" s="23" t="inlineStr">
        <is>
          <t>0.652 SOL</t>
        </is>
      </c>
      <c r="H24" s="23" t="inlineStr">
        <is>
          <t>116.23%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15:49:46</t>
        </is>
      </c>
      <c r="M24" s="16" t="inlineStr">
        <is>
          <t>20 min</t>
        </is>
      </c>
      <c r="N24" s="16" t="inlineStr">
        <is>
          <t xml:space="preserve">         16K            16K            12K</t>
        </is>
      </c>
      <c r="O24" s="16" t="inlineStr">
        <is>
          <t>3sgPgFo9RfvMufVKXpM7KDNiQnF4XsNN8JzW6Efypump</t>
        </is>
      </c>
      <c r="P24" s="16">
        <f>HYPERLINK("https://photon-sol.tinyastro.io/en/lp/3sgPgFo9RfvMufVKXpM7KDNiQnF4XsNN8JzW6Efypump?handle=676050794bc1b1657a56b", "View")</f>
        <v/>
      </c>
    </row>
    <row r="25">
      <c r="A25" s="19" t="inlineStr">
        <is>
          <t>Marvin</t>
        </is>
      </c>
      <c r="B25" s="20" t="n">
        <v>2538435</v>
      </c>
      <c r="C25" s="20" t="n">
        <v>2538435</v>
      </c>
      <c r="D25" s="20" t="inlineStr">
        <is>
          <t>0.014010</t>
        </is>
      </c>
      <c r="E25" s="20" t="inlineStr">
        <is>
          <t>0.498 SOL</t>
        </is>
      </c>
      <c r="F25" s="20" t="inlineStr">
        <is>
          <t>0.255 SOL</t>
        </is>
      </c>
      <c r="G25" s="24" t="inlineStr">
        <is>
          <t>-0.257 SOL</t>
        </is>
      </c>
      <c r="H25" s="24" t="inlineStr">
        <is>
          <t>-50.13%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30.10.2024 15:29:17</t>
        </is>
      </c>
      <c r="M25" s="20" t="inlineStr">
        <is>
          <t>4 hours</t>
        </is>
      </c>
      <c r="N25" s="20" t="inlineStr">
        <is>
          <t xml:space="preserve">         35K            35K            32K</t>
        </is>
      </c>
      <c r="O25" s="20" t="inlineStr">
        <is>
          <t>GpQQj55Sx5JULYrXY3jFyvF595WBh2DM7kjHmETsNXey</t>
        </is>
      </c>
      <c r="P25" s="20">
        <f>HYPERLINK("https://photon-sol.tinyastro.io/en/lp/GpQQj55Sx5JULYrXY3jFyvF595WBh2DM7kjHmETsNXey?handle=676050794bc1b1657a56b", "View")</f>
        <v/>
      </c>
    </row>
    <row r="26">
      <c r="A26" s="15" t="inlineStr">
        <is>
          <t>REPUBLICAN</t>
        </is>
      </c>
      <c r="B26" s="16" t="n">
        <v>10454994</v>
      </c>
      <c r="C26" s="16" t="n">
        <v>10454994</v>
      </c>
      <c r="D26" s="16" t="inlineStr">
        <is>
          <t>0.014010</t>
        </is>
      </c>
      <c r="E26" s="16" t="inlineStr">
        <is>
          <t>0.522 SOL</t>
        </is>
      </c>
      <c r="F26" s="16" t="inlineStr">
        <is>
          <t>0.646 SOL</t>
        </is>
      </c>
      <c r="G26" s="22" t="inlineStr">
        <is>
          <t>0.110 SOL</t>
        </is>
      </c>
      <c r="H26" s="22" t="inlineStr">
        <is>
          <t>20.58%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30.10.2024 10:59:42</t>
        </is>
      </c>
      <c r="M26" s="16" t="inlineStr">
        <is>
          <t>12 min</t>
        </is>
      </c>
      <c r="N26" s="16" t="inlineStr">
        <is>
          <t xml:space="preserve">          9K             9K             5K</t>
        </is>
      </c>
      <c r="O26" s="16" t="inlineStr">
        <is>
          <t>i96yVB2meAwRhmGDLBeoyThMc8avQgW3XzGFhtnpump</t>
        </is>
      </c>
      <c r="P26" s="16">
        <f>HYPERLINK("https://photon-sol.tinyastro.io/en/lp/i96yVB2meAwRhmGDLBeoyThMc8avQgW3XzGFhtnpump?handle=676050794bc1b1657a56b", "View")</f>
        <v/>
      </c>
    </row>
    <row r="27">
      <c r="A27" s="19" t="inlineStr">
        <is>
          <t>RP</t>
        </is>
      </c>
      <c r="B27" s="20" t="n">
        <v>683672</v>
      </c>
      <c r="C27" s="20" t="n">
        <v>683672</v>
      </c>
      <c r="D27" s="20" t="inlineStr">
        <is>
          <t>0.014010</t>
        </is>
      </c>
      <c r="E27" s="20" t="inlineStr">
        <is>
          <t>3.000 SOL</t>
        </is>
      </c>
      <c r="F27" s="20" t="inlineStr">
        <is>
          <t>2.482 SOL</t>
        </is>
      </c>
      <c r="G27" s="21" t="inlineStr">
        <is>
          <t>-0.532 SOL</t>
        </is>
      </c>
      <c r="H27" s="21" t="inlineStr">
        <is>
          <t>-17.64%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29.10.2024 12:50:30</t>
        </is>
      </c>
      <c r="M27" s="20" t="inlineStr">
        <is>
          <t>3 min</t>
        </is>
      </c>
      <c r="N27" s="20" t="inlineStr">
        <is>
          <t xml:space="preserve">        771K           638K            49K</t>
        </is>
      </c>
      <c r="O27" s="20" t="inlineStr">
        <is>
          <t>86FMngwijeQhTGfSZqj1rNkKVsmS7uXJ3y13qqDupump</t>
        </is>
      </c>
      <c r="P27" s="20">
        <f>HYPERLINK("https://dexscreener.com/solana/86FMngwijeQhTGfSZqj1rNkKVsmS7uXJ3y13qqDupump", "View")</f>
        <v/>
      </c>
    </row>
    <row r="28">
      <c r="A28" s="15" t="inlineStr">
        <is>
          <t>$FAM</t>
        </is>
      </c>
      <c r="B28" s="16" t="n">
        <v>6993621</v>
      </c>
      <c r="C28" s="16" t="n">
        <v>6993621</v>
      </c>
      <c r="D28" s="16" t="inlineStr">
        <is>
          <t>0.042030</t>
        </is>
      </c>
      <c r="E28" s="16" t="inlineStr">
        <is>
          <t>2.522 SOL</t>
        </is>
      </c>
      <c r="F28" s="16" t="inlineStr">
        <is>
          <t>4.615 SOL</t>
        </is>
      </c>
      <c r="G28" s="23" t="inlineStr">
        <is>
          <t>2.051 SOL</t>
        </is>
      </c>
      <c r="H28" s="23" t="inlineStr">
        <is>
          <t>79.97%</t>
        </is>
      </c>
      <c r="I28" s="16" t="inlineStr">
        <is>
          <t>N/A</t>
        </is>
      </c>
      <c r="J28" s="16" t="n">
        <v>3</v>
      </c>
      <c r="K28" s="16" t="n">
        <v>3</v>
      </c>
      <c r="L28" s="16" t="inlineStr">
        <is>
          <t>29.10.2024 12:29:50</t>
        </is>
      </c>
      <c r="M28" s="16" t="inlineStr">
        <is>
          <t>1 days</t>
        </is>
      </c>
      <c r="N28" s="16" t="inlineStr">
        <is>
          <t xml:space="preserve">        116K            23K            41K</t>
        </is>
      </c>
      <c r="O28" s="16" t="inlineStr">
        <is>
          <t>Q8mBqEZesckxGiifTFUuL954dP2Ay5V3P5zey9Dpump</t>
        </is>
      </c>
      <c r="P28" s="16">
        <f>HYPERLINK("https://photon-sol.tinyastro.io/en/lp/Q8mBqEZesckxGiifTFUuL954dP2Ay5V3P5zey9Dpump?handle=676050794bc1b1657a56b", "View")</f>
        <v/>
      </c>
    </row>
    <row r="29">
      <c r="A29" s="19" t="inlineStr">
        <is>
          <t>Maia</t>
        </is>
      </c>
      <c r="B29" s="20" t="n">
        <v>1581463</v>
      </c>
      <c r="C29" s="20" t="n">
        <v>0</v>
      </c>
      <c r="D29" s="20" t="inlineStr">
        <is>
          <t>0.007010</t>
        </is>
      </c>
      <c r="E29" s="20" t="inlineStr">
        <is>
          <t>1.000 SOL</t>
        </is>
      </c>
      <c r="F29" s="20" t="inlineStr">
        <is>
          <t>0.000 SOL</t>
        </is>
      </c>
      <c r="G29" s="17" t="inlineStr">
        <is>
          <t>-1.007 SOL</t>
        </is>
      </c>
      <c r="H29" s="17" t="inlineStr">
        <is>
          <t>0.00%</t>
        </is>
      </c>
      <c r="I29" s="20" t="inlineStr">
        <is>
          <t>1,581,463</t>
        </is>
      </c>
      <c r="J29" s="20" t="n">
        <v>1</v>
      </c>
      <c r="K29" s="20" t="n">
        <v>0</v>
      </c>
      <c r="L29" s="20" t="inlineStr">
        <is>
          <t>29.10.2024 10:01:08</t>
        </is>
      </c>
      <c r="M29" s="18" t="inlineStr">
        <is>
          <t>0 sec</t>
        </is>
      </c>
      <c r="N29" s="20" t="inlineStr">
        <is>
          <t xml:space="preserve">        111K           111K             5K</t>
        </is>
      </c>
      <c r="O29" s="20" t="inlineStr">
        <is>
          <t>GRWYUdAuWNzAWUCjCVCgaWwQYg5CD6w7eJEEELjApump</t>
        </is>
      </c>
      <c r="P29" s="20">
        <f>HYPERLINK("https://dexscreener.com/solana/GRWYUdAuWNzAWUCjCVCgaWwQYg5CD6w7eJEEELjApump", "View")</f>
        <v/>
      </c>
    </row>
    <row r="30">
      <c r="A30" s="15" t="inlineStr">
        <is>
          <t>PI</t>
        </is>
      </c>
      <c r="B30" s="16" t="n">
        <v>4096874</v>
      </c>
      <c r="C30" s="16" t="n">
        <v>4096874</v>
      </c>
      <c r="D30" s="16" t="inlineStr">
        <is>
          <t>0.014010</t>
        </is>
      </c>
      <c r="E30" s="16" t="inlineStr">
        <is>
          <t>1.000 SOL</t>
        </is>
      </c>
      <c r="F30" s="16" t="inlineStr">
        <is>
          <t>1.208 SOL</t>
        </is>
      </c>
      <c r="G30" s="22" t="inlineStr">
        <is>
          <t>0.194 SOL</t>
        </is>
      </c>
      <c r="H30" s="22" t="inlineStr">
        <is>
          <t>19.18%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28.10.2024 21:33:11</t>
        </is>
      </c>
      <c r="M30" s="16" t="inlineStr">
        <is>
          <t>39 min</t>
        </is>
      </c>
      <c r="N30" s="16" t="inlineStr">
        <is>
          <t xml:space="preserve">         42K            42K            36K</t>
        </is>
      </c>
      <c r="O30" s="16" t="inlineStr">
        <is>
          <t>8ZAY1dbYCGDQL3DwjpkiBREzwUCJ2cE3pGbZMpP6rLCj</t>
        </is>
      </c>
      <c r="P30" s="16">
        <f>HYPERLINK("https://dexscreener.com/solana/8ZAY1dbYCGDQL3DwjpkiBREzwUCJ2cE3pGbZMpP6rLCj", "View")</f>
        <v/>
      </c>
    </row>
    <row r="31">
      <c r="A31" s="19" t="inlineStr">
        <is>
          <t>RGPT</t>
        </is>
      </c>
      <c r="B31" s="20" t="n">
        <v>3578891</v>
      </c>
      <c r="C31" s="20" t="n">
        <v>3578891</v>
      </c>
      <c r="D31" s="20" t="inlineStr">
        <is>
          <t>0.014010</t>
        </is>
      </c>
      <c r="E31" s="20" t="inlineStr">
        <is>
          <t>0.555 SOL</t>
        </is>
      </c>
      <c r="F31" s="20" t="inlineStr">
        <is>
          <t>0.589 SOL</t>
        </is>
      </c>
      <c r="G31" s="22" t="inlineStr">
        <is>
          <t>0.020 SOL</t>
        </is>
      </c>
      <c r="H31" s="22" t="inlineStr">
        <is>
          <t>3.45%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28.10.2024 19:43:21</t>
        </is>
      </c>
      <c r="M31" s="20" t="inlineStr">
        <is>
          <t>6 min</t>
        </is>
      </c>
      <c r="N31" s="20" t="inlineStr">
        <is>
          <t xml:space="preserve">         28K            28K             5K</t>
        </is>
      </c>
      <c r="O31" s="20" t="inlineStr">
        <is>
          <t>BkVwR9hsVhuTmHfctELB8gwqSX7XBE9Tkvm9rwbupump</t>
        </is>
      </c>
      <c r="P31" s="20">
        <f>HYPERLINK("https://photon-sol.tinyastro.io/en/lp/BkVwR9hsVhuTmHfctELB8gwqSX7XBE9Tkvm9rwbupump?handle=676050794bc1b1657a56b", "View")</f>
        <v/>
      </c>
    </row>
    <row r="32">
      <c r="A32" s="15" t="inlineStr">
        <is>
          <t>Skynet</t>
        </is>
      </c>
      <c r="B32" s="16" t="n">
        <v>583816</v>
      </c>
      <c r="C32" s="16" t="n">
        <v>583816</v>
      </c>
      <c r="D32" s="16" t="inlineStr">
        <is>
          <t>0.014010</t>
        </is>
      </c>
      <c r="E32" s="16" t="inlineStr">
        <is>
          <t>1.000 SOL</t>
        </is>
      </c>
      <c r="F32" s="16" t="inlineStr">
        <is>
          <t>0.876 SOL</t>
        </is>
      </c>
      <c r="G32" s="21" t="inlineStr">
        <is>
          <t>-0.138 SOL</t>
        </is>
      </c>
      <c r="H32" s="21" t="inlineStr">
        <is>
          <t>-13.58%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27.10.2024 08:57:54</t>
        </is>
      </c>
      <c r="M32" s="16" t="inlineStr">
        <is>
          <t>1 min</t>
        </is>
      </c>
      <c r="N32" s="16" t="inlineStr">
        <is>
          <t xml:space="preserve">        300K           263K            16K</t>
        </is>
      </c>
      <c r="O32" s="16" t="inlineStr">
        <is>
          <t>ErQa4H1JhXFfooaPnAFX3wiJucajzCgCquGtgbbYhGs8</t>
        </is>
      </c>
      <c r="P32" s="16">
        <f>HYPERLINK("https://dexscreener.com/solana/ErQa4H1JhXFfooaPnAFX3wiJucajzCgCquGtgbbYhGs8", "View")</f>
        <v/>
      </c>
    </row>
    <row r="33">
      <c r="A33" s="19" t="inlineStr">
        <is>
          <t>MosesPepe</t>
        </is>
      </c>
      <c r="B33" s="20" t="n">
        <v>2835214</v>
      </c>
      <c r="C33" s="20" t="n">
        <v>0</v>
      </c>
      <c r="D33" s="20" t="inlineStr">
        <is>
          <t>0.007010</t>
        </is>
      </c>
      <c r="E33" s="20" t="inlineStr">
        <is>
          <t>1.000 SOL</t>
        </is>
      </c>
      <c r="F33" s="20" t="inlineStr">
        <is>
          <t>0.000 SOL</t>
        </is>
      </c>
      <c r="G33" s="17" t="inlineStr">
        <is>
          <t>-1.007 SOL</t>
        </is>
      </c>
      <c r="H33" s="17" t="inlineStr">
        <is>
          <t>0.00%</t>
        </is>
      </c>
      <c r="I33" s="20" t="inlineStr">
        <is>
          <t>2,835,214</t>
        </is>
      </c>
      <c r="J33" s="20" t="n">
        <v>1</v>
      </c>
      <c r="K33" s="20" t="n">
        <v>0</v>
      </c>
      <c r="L33" s="20" t="inlineStr">
        <is>
          <t>27.10.2024 08:57:03</t>
        </is>
      </c>
      <c r="M33" s="18" t="inlineStr">
        <is>
          <t>0 sec</t>
        </is>
      </c>
      <c r="N33" s="20" t="inlineStr">
        <is>
          <t xml:space="preserve">         61K            61K             4K</t>
        </is>
      </c>
      <c r="O33" s="20" t="inlineStr">
        <is>
          <t>2jrLcdWgkfkGpYPMUs94b9ER8nYBbWECwiF2mBjmpump</t>
        </is>
      </c>
      <c r="P33" s="20">
        <f>HYPERLINK("https://dexscreener.com/solana/2jrLcdWgkfkGpYPMUs94b9ER8nYBbWECwiF2mBjmpump", "View")</f>
        <v/>
      </c>
    </row>
    <row r="34">
      <c r="A34" s="15" t="inlineStr">
        <is>
          <t>PIKO</t>
        </is>
      </c>
      <c r="B34" s="16" t="n">
        <v>401512</v>
      </c>
      <c r="C34" s="16" t="n">
        <v>401512</v>
      </c>
      <c r="D34" s="16" t="inlineStr">
        <is>
          <t>0.014010</t>
        </is>
      </c>
      <c r="E34" s="16" t="inlineStr">
        <is>
          <t>3.000 SOL</t>
        </is>
      </c>
      <c r="F34" s="16" t="inlineStr">
        <is>
          <t>2.493 SOL</t>
        </is>
      </c>
      <c r="G34" s="21" t="inlineStr">
        <is>
          <t>-0.521 SOL</t>
        </is>
      </c>
      <c r="H34" s="21" t="inlineStr">
        <is>
          <t>-17.28%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26.10.2024 07:47:23</t>
        </is>
      </c>
      <c r="M34" s="16" t="inlineStr">
        <is>
          <t>32 min</t>
        </is>
      </c>
      <c r="N34" s="16" t="inlineStr">
        <is>
          <t xml:space="preserve">          1M             1M            97K</t>
        </is>
      </c>
      <c r="O34" s="16" t="inlineStr">
        <is>
          <t>FZ2Wo4CRz1opufm7JK2JdHoFjjFB4kQwfw1kWDQ3pump</t>
        </is>
      </c>
      <c r="P34" s="16">
        <f>HYPERLINK("https://dexscreener.com/solana/FZ2Wo4CRz1opufm7JK2JdHoFjjFB4kQwfw1kWDQ3pump", "View")</f>
        <v/>
      </c>
    </row>
    <row r="35">
      <c r="A35" s="19" t="inlineStr">
        <is>
          <t>박성훈</t>
        </is>
      </c>
      <c r="B35" s="20" t="n">
        <v>375653</v>
      </c>
      <c r="C35" s="20" t="n">
        <v>0</v>
      </c>
      <c r="D35" s="20" t="inlineStr">
        <is>
          <t>0.007010</t>
        </is>
      </c>
      <c r="E35" s="20" t="inlineStr">
        <is>
          <t>0.500 SOL</t>
        </is>
      </c>
      <c r="F35" s="20" t="inlineStr">
        <is>
          <t>0.000 SOL</t>
        </is>
      </c>
      <c r="G35" s="17" t="inlineStr">
        <is>
          <t>-0.507 SOL</t>
        </is>
      </c>
      <c r="H35" s="17" t="inlineStr">
        <is>
          <t>0.00%</t>
        </is>
      </c>
      <c r="I35" s="20" t="inlineStr">
        <is>
          <t>375,653</t>
        </is>
      </c>
      <c r="J35" s="20" t="n">
        <v>1</v>
      </c>
      <c r="K35" s="20" t="n">
        <v>0</v>
      </c>
      <c r="L35" s="20" t="inlineStr">
        <is>
          <t>25.10.2024 13:08:54</t>
        </is>
      </c>
      <c r="M35" s="18" t="inlineStr">
        <is>
          <t>0 sec</t>
        </is>
      </c>
      <c r="N35" s="20" t="inlineStr">
        <is>
          <t xml:space="preserve">        233K           233K             7K</t>
        </is>
      </c>
      <c r="O35" s="20" t="inlineStr">
        <is>
          <t>F68PXZMytvSvhq4QqP5VfonBzoSXvCYqhhACYjs5VDHx</t>
        </is>
      </c>
      <c r="P35" s="20">
        <f>HYPERLINK("https://dexscreener.com/solana/F68PXZMytvSvhq4QqP5VfonBzoSXvCYqhhACYjs5VDHx", "View")</f>
        <v/>
      </c>
    </row>
    <row r="36">
      <c r="A36" s="15" t="inlineStr">
        <is>
          <t>ORANG</t>
        </is>
      </c>
      <c r="B36" s="16" t="n">
        <v>960285117</v>
      </c>
      <c r="C36" s="16" t="n">
        <v>960285117</v>
      </c>
      <c r="D36" s="16" t="inlineStr">
        <is>
          <t>0.014010</t>
        </is>
      </c>
      <c r="E36" s="16" t="inlineStr">
        <is>
          <t>1.000 SOL</t>
        </is>
      </c>
      <c r="F36" s="16" t="inlineStr">
        <is>
          <t>0.689 SOL</t>
        </is>
      </c>
      <c r="G36" s="21" t="inlineStr">
        <is>
          <t>-0.325 SOL</t>
        </is>
      </c>
      <c r="H36" s="21" t="inlineStr">
        <is>
          <t>-32.09%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24.10.2024 21:11:18</t>
        </is>
      </c>
      <c r="M36" s="16" t="inlineStr">
        <is>
          <t>4 hours</t>
        </is>
      </c>
      <c r="N36" s="16" t="inlineStr">
        <is>
          <t xml:space="preserve">        N/A           N/A            53K</t>
        </is>
      </c>
      <c r="O36" s="16" t="inlineStr">
        <is>
          <t>J8UjmiSJASyKLTgwcvB6kTZyF9xDkvBEmU8yyNr12oh9</t>
        </is>
      </c>
      <c r="P36" s="16">
        <f>HYPERLINK("https://dexscreener.com/solana/J8UjmiSJASyKLTgwcvB6kTZyF9xDkvBEmU8yyNr12oh9", "View")</f>
        <v/>
      </c>
    </row>
    <row r="37">
      <c r="A37" s="19" t="inlineStr">
        <is>
          <t xml:space="preserve">meowd </t>
        </is>
      </c>
      <c r="B37" s="20" t="n">
        <v>3099300</v>
      </c>
      <c r="C37" s="20" t="n">
        <v>3099300</v>
      </c>
      <c r="D37" s="20" t="inlineStr">
        <is>
          <t>0.014010</t>
        </is>
      </c>
      <c r="E37" s="20" t="inlineStr">
        <is>
          <t>0.500 SOL</t>
        </is>
      </c>
      <c r="F37" s="20" t="inlineStr">
        <is>
          <t>0.523 SOL</t>
        </is>
      </c>
      <c r="G37" s="22" t="inlineStr">
        <is>
          <t>0.009 SOL</t>
        </is>
      </c>
      <c r="H37" s="22" t="inlineStr">
        <is>
          <t>1.72%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23.10.2024 13:28:37</t>
        </is>
      </c>
      <c r="M37" s="20" t="inlineStr">
        <is>
          <t>42 min</t>
        </is>
      </c>
      <c r="N37" s="20" t="inlineStr">
        <is>
          <t xml:space="preserve">         28K            30K             4K</t>
        </is>
      </c>
      <c r="O37" s="20" t="inlineStr">
        <is>
          <t>8JrsqS5H7gcCKZghFFT4D6KMwojeZebt85E5t3KKpump</t>
        </is>
      </c>
      <c r="P37" s="20">
        <f>HYPERLINK("https://dexscreener.com/solana/8JrsqS5H7gcCKZghFFT4D6KMwojeZebt85E5t3KKpump", "View")</f>
        <v/>
      </c>
    </row>
    <row r="38">
      <c r="A38" s="15" t="inlineStr">
        <is>
          <t>MERK</t>
        </is>
      </c>
      <c r="B38" s="16" t="n">
        <v>11656586</v>
      </c>
      <c r="C38" s="16" t="n">
        <v>11656586</v>
      </c>
      <c r="D38" s="16" t="inlineStr">
        <is>
          <t>0.049040</t>
        </is>
      </c>
      <c r="E38" s="16" t="inlineStr">
        <is>
          <t>5.000 SOL</t>
        </is>
      </c>
      <c r="F38" s="16" t="inlineStr">
        <is>
          <t>21.532 SOL</t>
        </is>
      </c>
      <c r="G38" s="23" t="inlineStr">
        <is>
          <t>16.483 SOL</t>
        </is>
      </c>
      <c r="H38" s="23" t="inlineStr">
        <is>
          <t>326.45%</t>
        </is>
      </c>
      <c r="I38" s="16" t="inlineStr">
        <is>
          <t>N/A</t>
        </is>
      </c>
      <c r="J38" s="16" t="n">
        <v>1</v>
      </c>
      <c r="K38" s="16" t="n">
        <v>6</v>
      </c>
      <c r="L38" s="16" t="inlineStr">
        <is>
          <t>22.10.2024 20:24:41</t>
        </is>
      </c>
      <c r="M38" s="16" t="inlineStr">
        <is>
          <t>1 days</t>
        </is>
      </c>
      <c r="N38" s="16" t="inlineStr">
        <is>
          <t xml:space="preserve">         64K           147K             8K</t>
        </is>
      </c>
      <c r="O38" s="16" t="inlineStr">
        <is>
          <t>FCrGhgT7DY5EUv4nB1Lqyvm5eTsDuWGufJ2z4BhHpump</t>
        </is>
      </c>
      <c r="P38" s="16">
        <f>HYPERLINK("https://dexscreener.com/solana/FCrGhgT7DY5EUv4nB1Lqyvm5eTsDuWGufJ2z4BhHpump", "View")</f>
        <v/>
      </c>
    </row>
    <row r="39">
      <c r="A39" s="19" t="inlineStr">
        <is>
          <t>Lottery</t>
        </is>
      </c>
      <c r="B39" s="20" t="n">
        <v>4817533</v>
      </c>
      <c r="C39" s="20" t="n">
        <v>4817533</v>
      </c>
      <c r="D39" s="20" t="inlineStr">
        <is>
          <t>0.014010</t>
        </is>
      </c>
      <c r="E39" s="20" t="inlineStr">
        <is>
          <t>0.492 SOL</t>
        </is>
      </c>
      <c r="F39" s="20" t="inlineStr">
        <is>
          <t>0.403 SOL</t>
        </is>
      </c>
      <c r="G39" s="21" t="inlineStr">
        <is>
          <t>-0.103 SOL</t>
        </is>
      </c>
      <c r="H39" s="21" t="inlineStr">
        <is>
          <t>-20.28%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22.10.2024 19:50:34</t>
        </is>
      </c>
      <c r="M39" s="18" t="inlineStr">
        <is>
          <t>23 sec</t>
        </is>
      </c>
      <c r="N39" s="20" t="inlineStr">
        <is>
          <t xml:space="preserve">         18K            14K             4K</t>
        </is>
      </c>
      <c r="O39" s="20" t="inlineStr">
        <is>
          <t>4P6ShuutJngKfdiM6FQFmuFTm229hE756gyDQDEEpump</t>
        </is>
      </c>
      <c r="P39" s="20">
        <f>HYPERLINK("https://photon-sol.tinyastro.io/en/lp/4P6ShuutJngKfdiM6FQFmuFTm229hE756gyDQDEEpump?handle=676050794bc1b1657a56b", "View")</f>
        <v/>
      </c>
    </row>
    <row r="40">
      <c r="A40" s="15" t="inlineStr">
        <is>
          <t>CTF</t>
        </is>
      </c>
      <c r="B40" s="16" t="n">
        <v>6555566</v>
      </c>
      <c r="C40" s="16" t="n">
        <v>6555566</v>
      </c>
      <c r="D40" s="16" t="inlineStr">
        <is>
          <t>0.021020</t>
        </is>
      </c>
      <c r="E40" s="16" t="inlineStr">
        <is>
          <t>0.520 SOL</t>
        </is>
      </c>
      <c r="F40" s="16" t="inlineStr">
        <is>
          <t>4.905 SOL</t>
        </is>
      </c>
      <c r="G40" s="23" t="inlineStr">
        <is>
          <t>4.364 SOL</t>
        </is>
      </c>
      <c r="H40" s="23" t="inlineStr">
        <is>
          <t>806.15%</t>
        </is>
      </c>
      <c r="I40" s="16" t="inlineStr">
        <is>
          <t>N/A</t>
        </is>
      </c>
      <c r="J40" s="16" t="n">
        <v>1</v>
      </c>
      <c r="K40" s="16" t="n">
        <v>2</v>
      </c>
      <c r="L40" s="16" t="inlineStr">
        <is>
          <t>21.10.2024 19:11:05</t>
        </is>
      </c>
      <c r="M40" s="16" t="inlineStr">
        <is>
          <t>12 min</t>
        </is>
      </c>
      <c r="N40" s="16" t="inlineStr">
        <is>
          <t xml:space="preserve">         14K            40K             4K</t>
        </is>
      </c>
      <c r="O40" s="16" t="inlineStr">
        <is>
          <t>85vaSVByuJER3xyLqJRi2F8CVpFe2CekJkYmjXS2pump</t>
        </is>
      </c>
      <c r="P40" s="16">
        <f>HYPERLINK("https://photon-sol.tinyastro.io/en/lp/85vaSVByuJER3xyLqJRi2F8CVpFe2CekJkYmjXS2pump?handle=676050794bc1b1657a56b", "View")</f>
        <v/>
      </c>
    </row>
    <row r="41">
      <c r="A41" s="19" t="inlineStr">
        <is>
          <t>STRAWBERRY</t>
        </is>
      </c>
      <c r="B41" s="20" t="n">
        <v>885373</v>
      </c>
      <c r="C41" s="20" t="n">
        <v>885373</v>
      </c>
      <c r="D41" s="20" t="inlineStr">
        <is>
          <t>0.002820</t>
        </is>
      </c>
      <c r="E41" s="20" t="inlineStr">
        <is>
          <t>1.000 SOL</t>
        </is>
      </c>
      <c r="F41" s="20" t="inlineStr">
        <is>
          <t>4.854 SOL</t>
        </is>
      </c>
      <c r="G41" s="23" t="inlineStr">
        <is>
          <t>3.851 SOL</t>
        </is>
      </c>
      <c r="H41" s="23" t="inlineStr">
        <is>
          <t>384.02%</t>
        </is>
      </c>
      <c r="I41" s="20" t="inlineStr">
        <is>
          <t>N/A</t>
        </is>
      </c>
      <c r="J41" s="20" t="n">
        <v>1</v>
      </c>
      <c r="K41" s="20" t="n">
        <v>3</v>
      </c>
      <c r="L41" s="20" t="inlineStr">
        <is>
          <t>21.10.2024 13:39:03</t>
        </is>
      </c>
      <c r="M41" s="20" t="inlineStr">
        <is>
          <t>5 hours</t>
        </is>
      </c>
      <c r="N41" s="20" t="inlineStr">
        <is>
          <t xml:space="preserve">        198K           838K            52K</t>
        </is>
      </c>
      <c r="O41" s="20" t="inlineStr">
        <is>
          <t>CFzhqSNqYZRsUszCGwZ3SJ9iPHLvSumffaS6gWuupump</t>
        </is>
      </c>
      <c r="P41" s="20">
        <f>HYPERLINK("https://dexscreener.com/solana/CFzhqSNqYZRsUszCGwZ3SJ9iPHLvSumffaS6gWuupump", "View")</f>
        <v/>
      </c>
    </row>
    <row r="42">
      <c r="A42" s="15" t="inlineStr">
        <is>
          <t>wibwob</t>
        </is>
      </c>
      <c r="B42" s="16" t="n">
        <v>589530</v>
      </c>
      <c r="C42" s="16" t="n">
        <v>589530</v>
      </c>
      <c r="D42" s="16" t="inlineStr">
        <is>
          <t>0.002820</t>
        </is>
      </c>
      <c r="E42" s="16" t="inlineStr">
        <is>
          <t>1.000 SOL</t>
        </is>
      </c>
      <c r="F42" s="16" t="inlineStr">
        <is>
          <t>3.049 SOL</t>
        </is>
      </c>
      <c r="G42" s="23" t="inlineStr">
        <is>
          <t>2.046 SOL</t>
        </is>
      </c>
      <c r="H42" s="23" t="inlineStr">
        <is>
          <t>204.03%</t>
        </is>
      </c>
      <c r="I42" s="16" t="inlineStr">
        <is>
          <t>N/A</t>
        </is>
      </c>
      <c r="J42" s="16" t="n">
        <v>1</v>
      </c>
      <c r="K42" s="16" t="n">
        <v>3</v>
      </c>
      <c r="L42" s="16" t="inlineStr">
        <is>
          <t>21.10.2024 04:46:50</t>
        </is>
      </c>
      <c r="M42" s="16" t="inlineStr">
        <is>
          <t>7 hours</t>
        </is>
      </c>
      <c r="N42" s="16" t="inlineStr">
        <is>
          <t xml:space="preserve">        293K            60K           290K</t>
        </is>
      </c>
      <c r="O42" s="16" t="inlineStr">
        <is>
          <t>5qmL9rCSfZ7pBYAsaoeG8SP76ZELeRCK8XtMmYZvpump</t>
        </is>
      </c>
      <c r="P42" s="16">
        <f>HYPERLINK("https://dexscreener.com/solana/5qmL9rCSfZ7pBYAsaoeG8SP76ZELeRCK8XtMmYZvpump", "View")</f>
        <v/>
      </c>
    </row>
    <row r="43">
      <c r="A43" s="19" t="inlineStr">
        <is>
          <t>MissingNo.</t>
        </is>
      </c>
      <c r="B43" s="20" t="n">
        <v>1225890</v>
      </c>
      <c r="C43" s="20" t="n">
        <v>0</v>
      </c>
      <c r="D43" s="20" t="inlineStr">
        <is>
          <t>0.000710</t>
        </is>
      </c>
      <c r="E43" s="20" t="inlineStr">
        <is>
          <t>0.500 SOL</t>
        </is>
      </c>
      <c r="F43" s="20" t="inlineStr">
        <is>
          <t>0.000 SOL</t>
        </is>
      </c>
      <c r="G43" s="17" t="inlineStr">
        <is>
          <t>-0.501 SOL</t>
        </is>
      </c>
      <c r="H43" s="17" t="inlineStr">
        <is>
          <t>0.00%</t>
        </is>
      </c>
      <c r="I43" s="20" t="inlineStr">
        <is>
          <t>1,225,890</t>
        </is>
      </c>
      <c r="J43" s="20" t="n">
        <v>1</v>
      </c>
      <c r="K43" s="20" t="n">
        <v>0</v>
      </c>
      <c r="L43" s="20" t="inlineStr">
        <is>
          <t>20.10.2024 20:52:48</t>
        </is>
      </c>
      <c r="M43" s="18" t="inlineStr">
        <is>
          <t>0 sec</t>
        </is>
      </c>
      <c r="N43" s="20" t="inlineStr">
        <is>
          <t xml:space="preserve">         72K            72K             3K</t>
        </is>
      </c>
      <c r="O43" s="20" t="inlineStr">
        <is>
          <t>2dJzagDiV5jnqz2XxqU2uvw1Fm4bq1iFfCRvJoi6pump</t>
        </is>
      </c>
      <c r="P43" s="20">
        <f>HYPERLINK("https://dexscreener.com/solana/2dJzagDiV5jnqz2XxqU2uvw1Fm4bq1iFfCRvJoi6pump", "View")</f>
        <v/>
      </c>
    </row>
    <row r="44">
      <c r="A44" s="15" t="inlineStr">
        <is>
          <t>kota</t>
        </is>
      </c>
      <c r="B44" s="16" t="n">
        <v>3752003</v>
      </c>
      <c r="C44" s="16" t="n">
        <v>0</v>
      </c>
      <c r="D44" s="16" t="inlineStr">
        <is>
          <t>0.000710</t>
        </is>
      </c>
      <c r="E44" s="16" t="inlineStr">
        <is>
          <t>0.514 SOL</t>
        </is>
      </c>
      <c r="F44" s="16" t="inlineStr">
        <is>
          <t>0.000 SOL</t>
        </is>
      </c>
      <c r="G44" s="17" t="inlineStr">
        <is>
          <t>-0.515 SOL</t>
        </is>
      </c>
      <c r="H44" s="17" t="inlineStr">
        <is>
          <t>0.00%</t>
        </is>
      </c>
      <c r="I44" s="16" t="inlineStr">
        <is>
          <t>3,752,003</t>
        </is>
      </c>
      <c r="J44" s="16" t="n">
        <v>1</v>
      </c>
      <c r="K44" s="16" t="n">
        <v>0</v>
      </c>
      <c r="L44" s="16" t="inlineStr">
        <is>
          <t>20.10.2024 20:44:53</t>
        </is>
      </c>
      <c r="M44" s="18" t="inlineStr">
        <is>
          <t>0 sec</t>
        </is>
      </c>
      <c r="N44" s="16" t="inlineStr">
        <is>
          <t xml:space="preserve">        N/A           N/A           N/A</t>
        </is>
      </c>
      <c r="O44" s="16" t="inlineStr">
        <is>
          <t>4X8UhtWh75EMXABGstrnAmyDCv29s6WhaLBECCippump</t>
        </is>
      </c>
      <c r="P44" s="16">
        <f>HYPERLINK("https://photon-sol.tinyastro.io/en/lp/4X8UhtWh75EMXABGstrnAmyDCv29s6WhaLBECCippump?handle=676050794bc1b1657a56b", "View")</f>
        <v/>
      </c>
    </row>
    <row r="45">
      <c r="A45" s="19" t="inlineStr">
        <is>
          <t>Estee</t>
        </is>
      </c>
      <c r="B45" s="20" t="n">
        <v>908616</v>
      </c>
      <c r="C45" s="20" t="n">
        <v>908616</v>
      </c>
      <c r="D45" s="20" t="inlineStr">
        <is>
          <t>0.000010</t>
        </is>
      </c>
      <c r="E45" s="20" t="inlineStr">
        <is>
          <t>1.000 SOL</t>
        </is>
      </c>
      <c r="F45" s="20" t="inlineStr">
        <is>
          <t>0.699 SOL</t>
        </is>
      </c>
      <c r="G45" s="21" t="inlineStr">
        <is>
          <t>-0.301 SOL</t>
        </is>
      </c>
      <c r="H45" s="21" t="inlineStr">
        <is>
          <t>-30.06%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30.09.2024 17:20:26</t>
        </is>
      </c>
      <c r="M45" s="20" t="inlineStr">
        <is>
          <t>1 hours</t>
        </is>
      </c>
      <c r="N45" s="20" t="inlineStr">
        <is>
          <t xml:space="preserve">        193K           135K             9K</t>
        </is>
      </c>
      <c r="O45" s="20" t="inlineStr">
        <is>
          <t>9VtLvFKMZppbY2jbgF8r6KD5kiaR2G9kZ6Fj4oGWpump</t>
        </is>
      </c>
      <c r="P45" s="20">
        <f>HYPERLINK("https://dexscreener.com/solana/9VtLvFKMZppbY2jbgF8r6KD5kiaR2G9kZ6Fj4oGWpump", "View")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65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HYPERLINK("https://gmgn.ai/sol/address/DbGhxzA5cbKQ6HrtMqz7gGcjgNyZJbYvdw7hAFZXqB9M", "GMGN")</f>
        <v/>
      </c>
    </row>
    <row r="2">
      <c r="A2" s="3" t="inlineStr">
        <is>
          <t>DbGhxzA5cbKQ6HrtMqz7gGcjgNyZJbYvdw7hAFZXqB9M</t>
        </is>
      </c>
      <c r="B2" s="3" t="inlineStr">
        <is>
          <t>11.87 SOL</t>
        </is>
      </c>
      <c r="C2" s="3" t="inlineStr">
        <is>
          <t>48%</t>
        </is>
      </c>
      <c r="D2" s="3" t="inlineStr">
        <is>
          <t>62%</t>
        </is>
      </c>
      <c r="E2" s="3" t="inlineStr">
        <is>
          <t>39.15 SOL</t>
        </is>
      </c>
      <c r="F2" s="3" t="inlineStr">
        <is>
          <t>7 (15%)</t>
        </is>
      </c>
      <c r="G2" s="3" t="inlineStr">
        <is>
          <t>0 (0%)</t>
        </is>
      </c>
      <c r="H2" s="3" t="n">
        <v>46</v>
      </c>
      <c r="I2" s="3" t="n">
        <v>0</v>
      </c>
      <c r="J2" s="3" t="inlineStr">
        <is>
          <t>31 days</t>
        </is>
      </c>
      <c r="K2" s="3" t="inlineStr">
        <is>
          <t>5 min</t>
        </is>
      </c>
      <c r="L2" s="3" t="n">
        <v>42</v>
      </c>
      <c r="M2" s="3" t="n">
        <v>17</v>
      </c>
      <c r="N2" s="3">
        <f>HYPERLINK("https://solscan.io/account/DbGhxzA5cbKQ6HrtMqz7gGcjgNyZJbYvdw7hAFZXqB9M", "Solscan")</f>
        <v/>
      </c>
    </row>
    <row r="3">
      <c r="A3" s="6" t="inlineStr">
        <is>
          <t>Median ROI</t>
        </is>
      </c>
      <c r="B3" s="5" t="inlineStr">
        <is>
          <t>-0.99%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HYPERLINK("https://birdeye.so/profile/DbGhxzA5cbKQ6HrtMqz7gGcjgNyZJbYvdw7hAFZXqB9M", "Birdeye")</f>
        <v/>
      </c>
    </row>
    <row r="4">
      <c r="A4" s="6" t="inlineStr">
        <is>
          <t>Rockets percent</t>
        </is>
      </c>
      <c r="B4" s="3" t="inlineStr">
        <is>
          <t>7%</t>
        </is>
      </c>
      <c r="C4" s="3" t="inlineStr"/>
      <c r="D4" s="3" t="inlineStr">
        <is>
          <t>0%</t>
        </is>
      </c>
      <c r="E4" s="3" t="inlineStr">
        <is>
          <t>0.17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31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1.4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2</v>
      </c>
      <c r="C10" s="6" t="n">
        <v>1</v>
      </c>
      <c r="D10" s="6" t="n">
        <v>3</v>
      </c>
      <c r="E10" s="6" t="n">
        <v>16</v>
      </c>
      <c r="F10" s="6" t="n">
        <v>22</v>
      </c>
      <c r="G10" s="6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4.3%</t>
        </is>
      </c>
      <c r="C11" s="6" t="inlineStr">
        <is>
          <t>2.2%</t>
        </is>
      </c>
      <c r="D11" s="6" t="inlineStr">
        <is>
          <t>6.5%</t>
        </is>
      </c>
      <c r="E11" s="6" t="inlineStr">
        <is>
          <t>34.8%</t>
        </is>
      </c>
      <c r="F11" s="6" t="inlineStr">
        <is>
          <t>47.8%</t>
        </is>
      </c>
      <c r="G11" s="6" t="inlineStr">
        <is>
          <t>4.3%</t>
        </is>
      </c>
      <c r="H11" s="3" t="n"/>
      <c r="I11" s="3" t="inlineStr">
        <is>
          <t>5k-30k</t>
        </is>
      </c>
      <c r="J11" s="3" t="inlineStr">
        <is>
          <t>18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35.4 SOL</t>
        </is>
      </c>
      <c r="C12" s="6" t="inlineStr">
        <is>
          <t>2.3 SOL</t>
        </is>
      </c>
      <c r="D12" s="6" t="inlineStr">
        <is>
          <t>3.8 SOL</t>
        </is>
      </c>
      <c r="E12" s="6" t="inlineStr">
        <is>
          <t>2.6 SOL</t>
        </is>
      </c>
      <c r="F12" s="6" t="inlineStr">
        <is>
          <t>-3.0 SOL</t>
        </is>
      </c>
      <c r="G12" s="6" t="inlineStr">
        <is>
          <t>-2.0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9.0K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HENRY</t>
        </is>
      </c>
      <c r="B20" s="16" t="n">
        <v>37969564</v>
      </c>
      <c r="C20" s="16" t="n">
        <v>37969564</v>
      </c>
      <c r="D20" s="16" t="inlineStr">
        <is>
          <t>0.022020</t>
        </is>
      </c>
      <c r="E20" s="16" t="inlineStr">
        <is>
          <t>3.030 SOL</t>
        </is>
      </c>
      <c r="F20" s="16" t="inlineStr">
        <is>
          <t>5.127 SOL</t>
        </is>
      </c>
      <c r="G20" s="23" t="inlineStr">
        <is>
          <t>2.075 SOL</t>
        </is>
      </c>
      <c r="H20" s="23" t="inlineStr">
        <is>
          <t>68.01%</t>
        </is>
      </c>
      <c r="I20" s="16" t="inlineStr">
        <is>
          <t>N/A</t>
        </is>
      </c>
      <c r="J20" s="16" t="n">
        <v>2</v>
      </c>
      <c r="K20" s="16" t="n">
        <v>2</v>
      </c>
      <c r="L20" s="16" t="inlineStr">
        <is>
          <t>30.10.2024 20:04:06</t>
        </is>
      </c>
      <c r="M20" s="16" t="inlineStr">
        <is>
          <t>1 hours</t>
        </is>
      </c>
      <c r="N20" s="16" t="inlineStr">
        <is>
          <t xml:space="preserve">         14K            14K           126K</t>
        </is>
      </c>
      <c r="O20" s="16" t="inlineStr">
        <is>
          <t>4dLCbmG6LRrW4DUgDnpuctayzzQVp3urQqBnLQSApump</t>
        </is>
      </c>
      <c r="P20" s="16">
        <f>HYPERLINK("https://photon-sol.tinyastro.io/en/lp/4dLCbmG6LRrW4DUgDnpuctayzzQVp3urQqBnLQSApump?handle=676050794bc1b1657a56b", "View")</f>
        <v/>
      </c>
    </row>
    <row r="21">
      <c r="A21" s="19" t="inlineStr">
        <is>
          <t>Panda</t>
        </is>
      </c>
      <c r="B21" s="20" t="n">
        <v>28278322</v>
      </c>
      <c r="C21" s="20" t="n">
        <v>28278322</v>
      </c>
      <c r="D21" s="20" t="inlineStr">
        <is>
          <t>0.021010</t>
        </is>
      </c>
      <c r="E21" s="20" t="inlineStr">
        <is>
          <t>1.023 SOL</t>
        </is>
      </c>
      <c r="F21" s="20" t="inlineStr">
        <is>
          <t>0.938 SOL</t>
        </is>
      </c>
      <c r="G21" s="21" t="inlineStr">
        <is>
          <t>-0.106 SOL</t>
        </is>
      </c>
      <c r="H21" s="21" t="inlineStr">
        <is>
          <t>-10.18%</t>
        </is>
      </c>
      <c r="I21" s="20" t="inlineStr">
        <is>
          <t>N/A</t>
        </is>
      </c>
      <c r="J21" s="20" t="n">
        <v>1</v>
      </c>
      <c r="K21" s="20" t="n">
        <v>2</v>
      </c>
      <c r="L21" s="20" t="inlineStr">
        <is>
          <t>30.10.2024 01:35:59</t>
        </is>
      </c>
      <c r="M21" s="20" t="inlineStr">
        <is>
          <t>2 min</t>
        </is>
      </c>
      <c r="N21" s="20" t="inlineStr">
        <is>
          <t xml:space="preserve">          7K             5K             5K</t>
        </is>
      </c>
      <c r="O21" s="20" t="inlineStr">
        <is>
          <t>42j61CgZY7kevsk63HTamDCTDV91FGQexLi7mHDBpump</t>
        </is>
      </c>
      <c r="P21" s="20">
        <f>HYPERLINK("https://photon-sol.tinyastro.io/en/lp/42j61CgZY7kevsk63HTamDCTDV91FGQexLi7mHDBpump?handle=676050794bc1b1657a56b", "View")</f>
        <v/>
      </c>
    </row>
    <row r="22">
      <c r="A22" s="15" t="inlineStr">
        <is>
          <t>ORANG</t>
        </is>
      </c>
      <c r="B22" s="16" t="n">
        <v>25008019</v>
      </c>
      <c r="C22" s="16" t="n">
        <v>25008019</v>
      </c>
      <c r="D22" s="16" t="inlineStr">
        <is>
          <t>0.011010</t>
        </is>
      </c>
      <c r="E22" s="16" t="inlineStr">
        <is>
          <t>0.845 SOL</t>
        </is>
      </c>
      <c r="F22" s="16" t="inlineStr">
        <is>
          <t>0.961 SOL</t>
        </is>
      </c>
      <c r="G22" s="22" t="inlineStr">
        <is>
          <t>0.105 SOL</t>
        </is>
      </c>
      <c r="H22" s="22" t="inlineStr">
        <is>
          <t>12.24%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01:16:17</t>
        </is>
      </c>
      <c r="M22" s="16" t="inlineStr">
        <is>
          <t>4 min</t>
        </is>
      </c>
      <c r="N22" s="16" t="inlineStr">
        <is>
          <t xml:space="preserve">          5K             7K             5K</t>
        </is>
      </c>
      <c r="O22" s="16" t="inlineStr">
        <is>
          <t>qAJ9VzQzkJxdBf5zaFcKUxvYk84AJoXqiPnTE7mpump</t>
        </is>
      </c>
      <c r="P22" s="16">
        <f>HYPERLINK("https://photon-sol.tinyastro.io/en/lp/qAJ9VzQzkJxdBf5zaFcKUxvYk84AJoXqiPnTE7mpump?handle=676050794bc1b1657a56b", "View")</f>
        <v/>
      </c>
    </row>
    <row r="23">
      <c r="A23" s="19" t="inlineStr">
        <is>
          <t>racks</t>
        </is>
      </c>
      <c r="B23" s="20" t="n">
        <v>59523334</v>
      </c>
      <c r="C23" s="20" t="n">
        <v>59523334</v>
      </c>
      <c r="D23" s="20" t="inlineStr">
        <is>
          <t>0.030020</t>
        </is>
      </c>
      <c r="E23" s="20" t="inlineStr">
        <is>
          <t>1.960 SOL</t>
        </is>
      </c>
      <c r="F23" s="20" t="inlineStr">
        <is>
          <t>2.048 SOL</t>
        </is>
      </c>
      <c r="G23" s="22" t="inlineStr">
        <is>
          <t>0.058 SOL</t>
        </is>
      </c>
      <c r="H23" s="22" t="inlineStr">
        <is>
          <t>2.92%</t>
        </is>
      </c>
      <c r="I23" s="20" t="inlineStr">
        <is>
          <t>N/A</t>
        </is>
      </c>
      <c r="J23" s="20" t="n">
        <v>2</v>
      </c>
      <c r="K23" s="20" t="n">
        <v>1</v>
      </c>
      <c r="L23" s="20" t="inlineStr">
        <is>
          <t>29.10.2024 22:02:07</t>
        </is>
      </c>
      <c r="M23" s="18" t="inlineStr">
        <is>
          <t>23 sec</t>
        </is>
      </c>
      <c r="N23" s="20" t="inlineStr">
        <is>
          <t xml:space="preserve">          5K             5K             5K</t>
        </is>
      </c>
      <c r="O23" s="20" t="inlineStr">
        <is>
          <t>pWk9oKmFSg8UHw9qzxa4xBT5eMyoN21wyt61AWApump</t>
        </is>
      </c>
      <c r="P23" s="20">
        <f>HYPERLINK("https://photon-sol.tinyastro.io/en/lp/pWk9oKmFSg8UHw9qzxa4xBT5eMyoN21wyt61AWApump?handle=676050794bc1b1657a56b", "View")</f>
        <v/>
      </c>
    </row>
    <row r="24">
      <c r="A24" s="15" t="inlineStr">
        <is>
          <t>BOMBERMAN</t>
        </is>
      </c>
      <c r="B24" s="16" t="n">
        <v>28114145</v>
      </c>
      <c r="C24" s="16" t="n">
        <v>28114145</v>
      </c>
      <c r="D24" s="16" t="inlineStr">
        <is>
          <t>0.011010</t>
        </is>
      </c>
      <c r="E24" s="16" t="inlineStr">
        <is>
          <t>1.056 SOL</t>
        </is>
      </c>
      <c r="F24" s="16" t="inlineStr">
        <is>
          <t>0.966 SOL</t>
        </is>
      </c>
      <c r="G24" s="21" t="inlineStr">
        <is>
          <t>-0.101 SOL</t>
        </is>
      </c>
      <c r="H24" s="21" t="inlineStr">
        <is>
          <t>-9.44%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28.10.2024 18:02:03</t>
        </is>
      </c>
      <c r="M24" s="16" t="inlineStr">
        <is>
          <t>5 min</t>
        </is>
      </c>
      <c r="N24" s="16" t="inlineStr">
        <is>
          <t xml:space="preserve">          7K             5K             5K</t>
        </is>
      </c>
      <c r="O24" s="16" t="inlineStr">
        <is>
          <t>878bpjCvgBLxNKBTjWwD6XXoevYZj9QTv2BAp4LHpump</t>
        </is>
      </c>
      <c r="P24" s="16">
        <f>HYPERLINK("https://photon-sol.tinyastro.io/en/lp/878bpjCvgBLxNKBTjWwD6XXoevYZj9QTv2BAp4LHpump?handle=676050794bc1b1657a56b", "View")</f>
        <v/>
      </c>
    </row>
    <row r="25">
      <c r="A25" s="19" t="inlineStr">
        <is>
          <t>still</t>
        </is>
      </c>
      <c r="B25" s="20" t="n">
        <v>26988625</v>
      </c>
      <c r="C25" s="20" t="n">
        <v>26988625</v>
      </c>
      <c r="D25" s="20" t="inlineStr">
        <is>
          <t>0.020010</t>
        </is>
      </c>
      <c r="E25" s="20" t="inlineStr">
        <is>
          <t>1.011 SOL</t>
        </is>
      </c>
      <c r="F25" s="20" t="inlineStr">
        <is>
          <t>0.950 SOL</t>
        </is>
      </c>
      <c r="G25" s="21" t="inlineStr">
        <is>
          <t>-0.081 SOL</t>
        </is>
      </c>
      <c r="H25" s="21" t="inlineStr">
        <is>
          <t>-7.87%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27.10.2024 20:26:32</t>
        </is>
      </c>
      <c r="M25" s="20" t="inlineStr">
        <is>
          <t>6 min</t>
        </is>
      </c>
      <c r="N25" s="20" t="inlineStr">
        <is>
          <t xml:space="preserve">          7K             7K             5K</t>
        </is>
      </c>
      <c r="O25" s="20" t="inlineStr">
        <is>
          <t>GKMYqJxzkZ6NsVwSZx64q5VMPmU387W6BqQWcLwXpump</t>
        </is>
      </c>
      <c r="P25" s="20">
        <f>HYPERLINK("https://photon-sol.tinyastro.io/en/lp/GKMYqJxzkZ6NsVwSZx64q5VMPmU387W6BqQWcLwXpump?handle=676050794bc1b1657a56b", "View")</f>
        <v/>
      </c>
    </row>
    <row r="26">
      <c r="A26" s="15" t="inlineStr">
        <is>
          <t>MOP</t>
        </is>
      </c>
      <c r="B26" s="16" t="n">
        <v>19892765</v>
      </c>
      <c r="C26" s="16" t="n">
        <v>19892765</v>
      </c>
      <c r="D26" s="16" t="inlineStr">
        <is>
          <t>0.030020</t>
        </is>
      </c>
      <c r="E26" s="16" t="inlineStr">
        <is>
          <t>2.366 SOL</t>
        </is>
      </c>
      <c r="F26" s="16" t="inlineStr">
        <is>
          <t>1.955 SOL</t>
        </is>
      </c>
      <c r="G26" s="21" t="inlineStr">
        <is>
          <t>-0.441 SOL</t>
        </is>
      </c>
      <c r="H26" s="21" t="inlineStr">
        <is>
          <t>-18.40%</t>
        </is>
      </c>
      <c r="I26" s="16" t="inlineStr">
        <is>
          <t>N/A</t>
        </is>
      </c>
      <c r="J26" s="16" t="n">
        <v>2</v>
      </c>
      <c r="K26" s="16" t="n">
        <v>1</v>
      </c>
      <c r="L26" s="16" t="inlineStr">
        <is>
          <t>26.10.2024 18:54:09</t>
        </is>
      </c>
      <c r="M26" s="16" t="inlineStr">
        <is>
          <t>1 min</t>
        </is>
      </c>
      <c r="N26" s="16" t="inlineStr">
        <is>
          <t xml:space="preserve">         23K            18K             5K</t>
        </is>
      </c>
      <c r="O26" s="16" t="inlineStr">
        <is>
          <t>7zkS7Re3uo69RWMd5FMG7aewcyJTzyVc41GZvE89pump</t>
        </is>
      </c>
      <c r="P26" s="16">
        <f>HYPERLINK("https://photon-sol.tinyastro.io/en/lp/7zkS7Re3uo69RWMd5FMG7aewcyJTzyVc41GZvE89pump?handle=676050794bc1b1657a56b", "View")</f>
        <v/>
      </c>
    </row>
    <row r="27">
      <c r="A27" s="19" t="inlineStr">
        <is>
          <t>EDDIE</t>
        </is>
      </c>
      <c r="B27" s="20" t="n">
        <v>17709212</v>
      </c>
      <c r="C27" s="20" t="n">
        <v>17709212</v>
      </c>
      <c r="D27" s="20" t="inlineStr">
        <is>
          <t>0.012020</t>
        </is>
      </c>
      <c r="E27" s="20" t="inlineStr">
        <is>
          <t>1.130 SOL</t>
        </is>
      </c>
      <c r="F27" s="20" t="inlineStr">
        <is>
          <t>1.407 SOL</t>
        </is>
      </c>
      <c r="G27" s="22" t="inlineStr">
        <is>
          <t>0.265 SOL</t>
        </is>
      </c>
      <c r="H27" s="22" t="inlineStr">
        <is>
          <t>23.18%</t>
        </is>
      </c>
      <c r="I27" s="20" t="inlineStr">
        <is>
          <t>N/A</t>
        </is>
      </c>
      <c r="J27" s="20" t="n">
        <v>2</v>
      </c>
      <c r="K27" s="20" t="n">
        <v>1</v>
      </c>
      <c r="L27" s="20" t="inlineStr">
        <is>
          <t>26.10.2024 18:48:02</t>
        </is>
      </c>
      <c r="M27" s="20" t="inlineStr">
        <is>
          <t>2 min</t>
        </is>
      </c>
      <c r="N27" s="20" t="inlineStr">
        <is>
          <t xml:space="preserve">         11K            14K             5K</t>
        </is>
      </c>
      <c r="O27" s="20" t="inlineStr">
        <is>
          <t>GYFGqF4FLCzfm94jyQbGzvsMrMpyo3oRLpmWwitSpump</t>
        </is>
      </c>
      <c r="P27" s="20">
        <f>HYPERLINK("https://photon-sol.tinyastro.io/en/lp/GYFGqF4FLCzfm94jyQbGzvsMrMpyo3oRLpmWwitSpump?handle=676050794bc1b1657a56b", "View")</f>
        <v/>
      </c>
    </row>
    <row r="28">
      <c r="A28" s="15" t="inlineStr">
        <is>
          <t>Techno</t>
        </is>
      </c>
      <c r="B28" s="16" t="n">
        <v>29786907</v>
      </c>
      <c r="C28" s="16" t="n">
        <v>29786907</v>
      </c>
      <c r="D28" s="16" t="inlineStr">
        <is>
          <t>0.020010</t>
        </is>
      </c>
      <c r="E28" s="16" t="inlineStr">
        <is>
          <t>1.032 SOL</t>
        </is>
      </c>
      <c r="F28" s="16" t="inlineStr">
        <is>
          <t>1.096 SOL</t>
        </is>
      </c>
      <c r="G28" s="22" t="inlineStr">
        <is>
          <t>0.044 SOL</t>
        </is>
      </c>
      <c r="H28" s="22" t="inlineStr">
        <is>
          <t>4.19%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26.10.2024 18:38:02</t>
        </is>
      </c>
      <c r="M28" s="16" t="inlineStr">
        <is>
          <t>6 min</t>
        </is>
      </c>
      <c r="N28" s="16" t="inlineStr">
        <is>
          <t xml:space="preserve">          5K             7K             5K</t>
        </is>
      </c>
      <c r="O28" s="16" t="inlineStr">
        <is>
          <t>C8SnXYpK8LSqcMJZtVfzYFRmU9goj3PoVPv5MuyWpump</t>
        </is>
      </c>
      <c r="P28" s="16">
        <f>HYPERLINK("https://photon-sol.tinyastro.io/en/lp/C8SnXYpK8LSqcMJZtVfzYFRmU9goj3PoVPv5MuyWpump?handle=676050794bc1b1657a56b", "View")</f>
        <v/>
      </c>
    </row>
    <row r="29">
      <c r="A29" s="19" t="inlineStr">
        <is>
          <t xml:space="preserve">Solana </t>
        </is>
      </c>
      <c r="B29" s="20" t="n">
        <v>20469909</v>
      </c>
      <c r="C29" s="20" t="n">
        <v>20469909</v>
      </c>
      <c r="D29" s="20" t="inlineStr">
        <is>
          <t>0.020010</t>
        </is>
      </c>
      <c r="E29" s="20" t="inlineStr">
        <is>
          <t>1.000 SOL</t>
        </is>
      </c>
      <c r="F29" s="20" t="inlineStr">
        <is>
          <t>1.023 SOL</t>
        </is>
      </c>
      <c r="G29" s="22" t="inlineStr">
        <is>
          <t>0.003 SOL</t>
        </is>
      </c>
      <c r="H29" s="22" t="inlineStr">
        <is>
          <t>0.34%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26.10.2024 06:29:00</t>
        </is>
      </c>
      <c r="M29" s="20" t="inlineStr">
        <is>
          <t>2 min</t>
        </is>
      </c>
      <c r="N29" s="20" t="inlineStr">
        <is>
          <t xml:space="preserve">          9K             9K             5K</t>
        </is>
      </c>
      <c r="O29" s="20" t="inlineStr">
        <is>
          <t>Cj7goyTcKwHadT7AE1aXEjUJ1enffJde24iruSmQpump</t>
        </is>
      </c>
      <c r="P29" s="20">
        <f>HYPERLINK("https://dexscreener.com/solana/Cj7goyTcKwHadT7AE1aXEjUJ1enffJde24iruSmQpump", "View")</f>
        <v/>
      </c>
    </row>
    <row r="30">
      <c r="A30" s="15" t="inlineStr">
        <is>
          <t xml:space="preserve">Solana </t>
        </is>
      </c>
      <c r="B30" s="16" t="n">
        <v>38064752</v>
      </c>
      <c r="C30" s="16" t="n">
        <v>38064752</v>
      </c>
      <c r="D30" s="16" t="inlineStr">
        <is>
          <t>0.031020</t>
        </is>
      </c>
      <c r="E30" s="16" t="inlineStr">
        <is>
          <t>3.711 SOL</t>
        </is>
      </c>
      <c r="F30" s="16" t="inlineStr">
        <is>
          <t>4.515 SOL</t>
        </is>
      </c>
      <c r="G30" s="22" t="inlineStr">
        <is>
          <t>0.773 SOL</t>
        </is>
      </c>
      <c r="H30" s="22" t="inlineStr">
        <is>
          <t>20.65%</t>
        </is>
      </c>
      <c r="I30" s="16" t="inlineStr">
        <is>
          <t>N/A</t>
        </is>
      </c>
      <c r="J30" s="16" t="n">
        <v>2</v>
      </c>
      <c r="K30" s="16" t="n">
        <v>2</v>
      </c>
      <c r="L30" s="16" t="inlineStr">
        <is>
          <t>26.10.2024 06:23:11</t>
        </is>
      </c>
      <c r="M30" s="16" t="inlineStr">
        <is>
          <t>12 min</t>
        </is>
      </c>
      <c r="N30" s="16" t="inlineStr">
        <is>
          <t xml:space="preserve">         12K            39K             5K</t>
        </is>
      </c>
      <c r="O30" s="16" t="inlineStr">
        <is>
          <t>3tmoSExEA2xKur1hNVYtE2qQBN5x1dZFxardHJLupump</t>
        </is>
      </c>
      <c r="P30" s="16">
        <f>HYPERLINK("https://photon-sol.tinyastro.io/en/lp/3tmoSExEA2xKur1hNVYtE2qQBN5x1dZFxardHJLupump?handle=676050794bc1b1657a56b", "View")</f>
        <v/>
      </c>
    </row>
    <row r="31">
      <c r="A31" s="19" t="inlineStr">
        <is>
          <t>KIKI</t>
        </is>
      </c>
      <c r="B31" s="20" t="n">
        <v>20134736</v>
      </c>
      <c r="C31" s="20" t="n">
        <v>20134736</v>
      </c>
      <c r="D31" s="20" t="inlineStr">
        <is>
          <t>0.011010</t>
        </is>
      </c>
      <c r="E31" s="20" t="inlineStr">
        <is>
          <t>1.023 SOL</t>
        </is>
      </c>
      <c r="F31" s="20" t="inlineStr">
        <is>
          <t>0.828 SOL</t>
        </is>
      </c>
      <c r="G31" s="21" t="inlineStr">
        <is>
          <t>-0.206 SOL</t>
        </is>
      </c>
      <c r="H31" s="21" t="inlineStr">
        <is>
          <t>-19.97%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25.10.2024 21:03:33</t>
        </is>
      </c>
      <c r="M31" s="20" t="inlineStr">
        <is>
          <t>1 min</t>
        </is>
      </c>
      <c r="N31" s="20" t="inlineStr">
        <is>
          <t xml:space="preserve">          9K             7K             5K</t>
        </is>
      </c>
      <c r="O31" s="20" t="inlineStr">
        <is>
          <t>FmdF5D3kHgtySMuimPekhQbJus8D3gQu5hPGU8W1pump</t>
        </is>
      </c>
      <c r="P31" s="20">
        <f>HYPERLINK("https://photon-sol.tinyastro.io/en/lp/FmdF5D3kHgtySMuimPekhQbJus8D3gQu5hPGU8W1pump?handle=676050794bc1b1657a56b", "View")</f>
        <v/>
      </c>
    </row>
    <row r="32">
      <c r="A32" s="15" t="inlineStr">
        <is>
          <t>NONA</t>
        </is>
      </c>
      <c r="B32" s="16" t="n">
        <v>34344876</v>
      </c>
      <c r="C32" s="16" t="n">
        <v>34344876</v>
      </c>
      <c r="D32" s="16" t="inlineStr">
        <is>
          <t>0.011010</t>
        </is>
      </c>
      <c r="E32" s="16" t="inlineStr">
        <is>
          <t>1.023 SOL</t>
        </is>
      </c>
      <c r="F32" s="16" t="inlineStr">
        <is>
          <t>1.053 SOL</t>
        </is>
      </c>
      <c r="G32" s="22" t="inlineStr">
        <is>
          <t>0.019 SOL</t>
        </is>
      </c>
      <c r="H32" s="22" t="inlineStr">
        <is>
          <t>1.83%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25.10.2024 18:39:01</t>
        </is>
      </c>
      <c r="M32" s="18" t="inlineStr">
        <is>
          <t>18 sec</t>
        </is>
      </c>
      <c r="N32" s="16" t="inlineStr">
        <is>
          <t xml:space="preserve">          5K             5K             5K</t>
        </is>
      </c>
      <c r="O32" s="16" t="inlineStr">
        <is>
          <t>33zBGwxpa631CGrSB48n7GGwSKiBX8WaS5WTBAm1pump</t>
        </is>
      </c>
      <c r="P32" s="16">
        <f>HYPERLINK("https://photon-sol.tinyastro.io/en/lp/33zBGwxpa631CGrSB48n7GGwSKiBX8WaS5WTBAm1pump?handle=676050794bc1b1657a56b", "View")</f>
        <v/>
      </c>
    </row>
    <row r="33">
      <c r="A33" s="19" t="inlineStr">
        <is>
          <t>Chrome</t>
        </is>
      </c>
      <c r="B33" s="20" t="n">
        <v>29298791</v>
      </c>
      <c r="C33" s="20" t="n">
        <v>29298791</v>
      </c>
      <c r="D33" s="20" t="inlineStr">
        <is>
          <t>0.011010</t>
        </is>
      </c>
      <c r="E33" s="20" t="inlineStr">
        <is>
          <t>0.921 SOL</t>
        </is>
      </c>
      <c r="F33" s="20" t="inlineStr">
        <is>
          <t>0.875 SOL</t>
        </is>
      </c>
      <c r="G33" s="21" t="inlineStr">
        <is>
          <t>-0.057 SOL</t>
        </is>
      </c>
      <c r="H33" s="21" t="inlineStr">
        <is>
          <t>-6.16%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23.10.2024 13:23:03</t>
        </is>
      </c>
      <c r="M33" s="20" t="inlineStr">
        <is>
          <t>4 min</t>
        </is>
      </c>
      <c r="N33" s="20" t="inlineStr">
        <is>
          <t xml:space="preserve">          5K             5K             5K</t>
        </is>
      </c>
      <c r="O33" s="20" t="inlineStr">
        <is>
          <t>BKiK23NaDmDeTAaT3mCwNAyYne4mbwNck2kPTR8zpump</t>
        </is>
      </c>
      <c r="P33" s="20">
        <f>HYPERLINK("https://photon-sol.tinyastro.io/en/lp/BKiK23NaDmDeTAaT3mCwNAyYne4mbwNck2kPTR8zpump?handle=676050794bc1b1657a56b", "View")</f>
        <v/>
      </c>
    </row>
    <row r="34">
      <c r="A34" s="15" t="inlineStr">
        <is>
          <t>fineshyt</t>
        </is>
      </c>
      <c r="B34" s="16" t="n">
        <v>30340741</v>
      </c>
      <c r="C34" s="16" t="n">
        <v>30340741</v>
      </c>
      <c r="D34" s="16" t="inlineStr">
        <is>
          <t>0.021010</t>
        </is>
      </c>
      <c r="E34" s="16" t="inlineStr">
        <is>
          <t>1.022 SOL</t>
        </is>
      </c>
      <c r="F34" s="16" t="inlineStr">
        <is>
          <t>1.249 SOL</t>
        </is>
      </c>
      <c r="G34" s="22" t="inlineStr">
        <is>
          <t>0.206 SOL</t>
        </is>
      </c>
      <c r="H34" s="22" t="inlineStr">
        <is>
          <t>19.76%</t>
        </is>
      </c>
      <c r="I34" s="16" t="inlineStr">
        <is>
          <t>N/A</t>
        </is>
      </c>
      <c r="J34" s="16" t="n">
        <v>1</v>
      </c>
      <c r="K34" s="16" t="n">
        <v>2</v>
      </c>
      <c r="L34" s="16" t="inlineStr">
        <is>
          <t>22.10.2024 00:50:30</t>
        </is>
      </c>
      <c r="M34" s="16" t="inlineStr">
        <is>
          <t>9 days</t>
        </is>
      </c>
      <c r="N34" s="16" t="inlineStr">
        <is>
          <t xml:space="preserve">        N/A           N/A           N/A</t>
        </is>
      </c>
      <c r="O34" s="16" t="inlineStr">
        <is>
          <t>CKDGS3fWjSKFybjAgmawLBSUBsYHkxyVA8roRXrVpump</t>
        </is>
      </c>
      <c r="P34" s="16">
        <f>HYPERLINK("https://photon-sol.tinyastro.io/en/lp/CKDGS3fWjSKFybjAgmawLBSUBsYHkxyVA8roRXrVpump?handle=676050794bc1b1657a56b", "View")</f>
        <v/>
      </c>
    </row>
    <row r="35">
      <c r="A35" s="19" t="inlineStr">
        <is>
          <t>SHYT</t>
        </is>
      </c>
      <c r="B35" s="20" t="n">
        <v>15184693</v>
      </c>
      <c r="C35" s="20" t="n">
        <v>15184693</v>
      </c>
      <c r="D35" s="20" t="inlineStr">
        <is>
          <t>0.011010</t>
        </is>
      </c>
      <c r="E35" s="20" t="inlineStr">
        <is>
          <t>1.000 SOL</t>
        </is>
      </c>
      <c r="F35" s="20" t="inlineStr">
        <is>
          <t>3.311 SOL</t>
        </is>
      </c>
      <c r="G35" s="23" t="inlineStr">
        <is>
          <t>2.300 SOL</t>
        </is>
      </c>
      <c r="H35" s="23" t="inlineStr">
        <is>
          <t>227.53%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21.10.2024 21:50:25</t>
        </is>
      </c>
      <c r="M35" s="20" t="inlineStr">
        <is>
          <t>18 min</t>
        </is>
      </c>
      <c r="N35" s="20" t="inlineStr">
        <is>
          <t xml:space="preserve">         12K            39K             7K</t>
        </is>
      </c>
      <c r="O35" s="20" t="inlineStr">
        <is>
          <t>2oEN1wUv3ibcvqF62dxhMCMh9HoLCmW3harTcdFKpump</t>
        </is>
      </c>
      <c r="P35" s="20">
        <f>HYPERLINK("https://dexscreener.com/solana/2oEN1wUv3ibcvqF62dxhMCMh9HoLCmW3harTcdFKpump", "View")</f>
        <v/>
      </c>
    </row>
    <row r="36">
      <c r="A36" s="15" t="inlineStr">
        <is>
          <t>FIGHTCAT</t>
        </is>
      </c>
      <c r="B36" s="16" t="n">
        <v>25704101</v>
      </c>
      <c r="C36" s="16" t="n">
        <v>25704101</v>
      </c>
      <c r="D36" s="16" t="inlineStr">
        <is>
          <t>0.011010</t>
        </is>
      </c>
      <c r="E36" s="16" t="inlineStr">
        <is>
          <t>1.836 SOL</t>
        </is>
      </c>
      <c r="F36" s="16" t="inlineStr">
        <is>
          <t>0.882 SOL</t>
        </is>
      </c>
      <c r="G36" s="24" t="inlineStr">
        <is>
          <t>-0.966 SOL</t>
        </is>
      </c>
      <c r="H36" s="24" t="inlineStr">
        <is>
          <t>-52.27%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16.10.2024 12:33:30</t>
        </is>
      </c>
      <c r="M36" s="16" t="inlineStr">
        <is>
          <t>5 days</t>
        </is>
      </c>
      <c r="N36" s="16" t="inlineStr">
        <is>
          <t xml:space="preserve">        N/A           N/A           N/A</t>
        </is>
      </c>
      <c r="O36" s="16" t="inlineStr">
        <is>
          <t>DXsCMPWkXPfvogWTcSQZ1xSzzpFDwgr26jd58jpT1dbe</t>
        </is>
      </c>
      <c r="P36" s="16">
        <f>HYPERLINK("https://photon-sol.tinyastro.io/en/lp/DXsCMPWkXPfvogWTcSQZ1xSzzpFDwgr26jd58jpT1dbe?handle=676050794bc1b1657a56b", "View")</f>
        <v/>
      </c>
    </row>
    <row r="37">
      <c r="A37" s="19" t="inlineStr">
        <is>
          <t>MADEIT</t>
        </is>
      </c>
      <c r="B37" s="20" t="n">
        <v>26568946</v>
      </c>
      <c r="C37" s="20" t="n">
        <v>26568946</v>
      </c>
      <c r="D37" s="20" t="inlineStr">
        <is>
          <t>0.011010</t>
        </is>
      </c>
      <c r="E37" s="20" t="inlineStr">
        <is>
          <t>1.008 SOL</t>
        </is>
      </c>
      <c r="F37" s="20" t="inlineStr">
        <is>
          <t>0.961 SOL</t>
        </is>
      </c>
      <c r="G37" s="21" t="inlineStr">
        <is>
          <t>-0.058 SOL</t>
        </is>
      </c>
      <c r="H37" s="21" t="inlineStr">
        <is>
          <t>-5.66%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15.10.2024 22:19:40</t>
        </is>
      </c>
      <c r="M37" s="20" t="inlineStr">
        <is>
          <t>3 min</t>
        </is>
      </c>
      <c r="N37" s="20" t="inlineStr">
        <is>
          <t xml:space="preserve">        N/A           N/A           N/A</t>
        </is>
      </c>
      <c r="O37" s="20" t="inlineStr">
        <is>
          <t>QMVaDUMXYQQRACRkW9rraQ7dRxQAsmTSLsYjhhTpump</t>
        </is>
      </c>
      <c r="P37" s="20">
        <f>HYPERLINK("https://photon-sol.tinyastro.io/en/lp/QMVaDUMXYQQRACRkW9rraQ7dRxQAsmTSLsYjhhTpump?handle=676050794bc1b1657a56b", "View")</f>
        <v/>
      </c>
    </row>
    <row r="38">
      <c r="A38" s="15" t="inlineStr">
        <is>
          <t>PreRich</t>
        </is>
      </c>
      <c r="B38" s="16" t="n">
        <v>32483590</v>
      </c>
      <c r="C38" s="16" t="n">
        <v>32483590</v>
      </c>
      <c r="D38" s="16" t="inlineStr">
        <is>
          <t>0.011010</t>
        </is>
      </c>
      <c r="E38" s="16" t="inlineStr">
        <is>
          <t>1.022 SOL</t>
        </is>
      </c>
      <c r="F38" s="16" t="inlineStr">
        <is>
          <t>2.026 SOL</t>
        </is>
      </c>
      <c r="G38" s="23" t="inlineStr">
        <is>
          <t>0.993 SOL</t>
        </is>
      </c>
      <c r="H38" s="23" t="inlineStr">
        <is>
          <t>96.12%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15.10.2024 03:26:40</t>
        </is>
      </c>
      <c r="M38" s="16" t="inlineStr">
        <is>
          <t>5 min</t>
        </is>
      </c>
      <c r="N38" s="16" t="inlineStr">
        <is>
          <t xml:space="preserve">        N/A           N/A           N/A</t>
        </is>
      </c>
      <c r="O38" s="16" t="inlineStr">
        <is>
          <t>4ZMdGvFPvgjAM6557hCZspydxgtG2aoeNPGFbvqCpump</t>
        </is>
      </c>
      <c r="P38" s="16">
        <f>HYPERLINK("https://photon-sol.tinyastro.io/en/lp/4ZMdGvFPvgjAM6557hCZspydxgtG2aoeNPGFbvqCpump?handle=676050794bc1b1657a56b", "View")</f>
        <v/>
      </c>
    </row>
    <row r="39">
      <c r="A39" s="19" t="inlineStr">
        <is>
          <t>0</t>
        </is>
      </c>
      <c r="B39" s="20" t="n">
        <v>55171251</v>
      </c>
      <c r="C39" s="20" t="n">
        <v>55171251</v>
      </c>
      <c r="D39" s="20" t="inlineStr">
        <is>
          <t>0.033030</t>
        </is>
      </c>
      <c r="E39" s="20" t="inlineStr">
        <is>
          <t>3.201 SOL</t>
        </is>
      </c>
      <c r="F39" s="20" t="inlineStr">
        <is>
          <t>3.524 SOL</t>
        </is>
      </c>
      <c r="G39" s="22" t="inlineStr">
        <is>
          <t>0.290 SOL</t>
        </is>
      </c>
      <c r="H39" s="22" t="inlineStr">
        <is>
          <t>8.97%</t>
        </is>
      </c>
      <c r="I39" s="20" t="inlineStr">
        <is>
          <t>N/A</t>
        </is>
      </c>
      <c r="J39" s="20" t="n">
        <v>3</v>
      </c>
      <c r="K39" s="20" t="n">
        <v>3</v>
      </c>
      <c r="L39" s="20" t="inlineStr">
        <is>
          <t>14.10.2024 22:03:04</t>
        </is>
      </c>
      <c r="M39" s="20" t="inlineStr">
        <is>
          <t>42 min</t>
        </is>
      </c>
      <c r="N39" s="20" t="inlineStr">
        <is>
          <t xml:space="preserve">        N/A           N/A           N/A</t>
        </is>
      </c>
      <c r="O39" s="20" t="inlineStr">
        <is>
          <t>4kDjw6juYpXyFNyY4MB5i5J2MhemPUhoipd5EYttpump</t>
        </is>
      </c>
      <c r="P39" s="20">
        <f>HYPERLINK("https://photon-sol.tinyastro.io/en/lp/4kDjw6juYpXyFNyY4MB5i5J2MhemPUhoipd5EYttpump?handle=676050794bc1b1657a56b", "View")</f>
        <v/>
      </c>
    </row>
    <row r="40">
      <c r="A40" s="15" t="inlineStr">
        <is>
          <t>Wait</t>
        </is>
      </c>
      <c r="B40" s="16" t="n">
        <v>23826797</v>
      </c>
      <c r="C40" s="16" t="n">
        <v>23826797</v>
      </c>
      <c r="D40" s="16" t="inlineStr">
        <is>
          <t>0.012010</t>
        </is>
      </c>
      <c r="E40" s="16" t="inlineStr">
        <is>
          <t>1.327 SOL</t>
        </is>
      </c>
      <c r="F40" s="16" t="inlineStr">
        <is>
          <t>0.716 SOL</t>
        </is>
      </c>
      <c r="G40" s="21" t="inlineStr">
        <is>
          <t>-0.623 SOL</t>
        </is>
      </c>
      <c r="H40" s="21" t="inlineStr">
        <is>
          <t>-46.53%</t>
        </is>
      </c>
      <c r="I40" s="16" t="inlineStr">
        <is>
          <t>N/A</t>
        </is>
      </c>
      <c r="J40" s="16" t="n">
        <v>2</v>
      </c>
      <c r="K40" s="16" t="n">
        <v>1</v>
      </c>
      <c r="L40" s="16" t="inlineStr">
        <is>
          <t>14.10.2024 14:34:51</t>
        </is>
      </c>
      <c r="M40" s="16" t="inlineStr">
        <is>
          <t>2 days</t>
        </is>
      </c>
      <c r="N40" s="16" t="inlineStr">
        <is>
          <t xml:space="preserve">        N/A           N/A           N/A</t>
        </is>
      </c>
      <c r="O40" s="16" t="inlineStr">
        <is>
          <t>7cCrPJPjjnLUpTaHvfqGzkNFpwt3rXY6N5FdNX3mpump</t>
        </is>
      </c>
      <c r="P40" s="16">
        <f>HYPERLINK("https://photon-sol.tinyastro.io/en/lp/7cCrPJPjjnLUpTaHvfqGzkNFpwt3rXY6N5FdNX3mpump?handle=676050794bc1b1657a56b", "View")</f>
        <v/>
      </c>
    </row>
    <row r="41">
      <c r="A41" s="19" t="inlineStr">
        <is>
          <t>Edmond</t>
        </is>
      </c>
      <c r="B41" s="20" t="n">
        <v>13222309</v>
      </c>
      <c r="C41" s="20" t="n">
        <v>13222309</v>
      </c>
      <c r="D41" s="20" t="inlineStr">
        <is>
          <t>0.011010</t>
        </is>
      </c>
      <c r="E41" s="20" t="inlineStr">
        <is>
          <t>1.015 SOL</t>
        </is>
      </c>
      <c r="F41" s="20" t="inlineStr">
        <is>
          <t>1.045 SOL</t>
        </is>
      </c>
      <c r="G41" s="22" t="inlineStr">
        <is>
          <t>0.018 SOL</t>
        </is>
      </c>
      <c r="H41" s="22" t="inlineStr">
        <is>
          <t>1.80%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14.10.2024 09:40:52</t>
        </is>
      </c>
      <c r="M41" s="20" t="inlineStr">
        <is>
          <t>3 min</t>
        </is>
      </c>
      <c r="N41" s="20" t="inlineStr">
        <is>
          <t xml:space="preserve">        N/A           N/A           N/A</t>
        </is>
      </c>
      <c r="O41" s="20" t="inlineStr">
        <is>
          <t>53eV9mpE5ANau6KngMjmuzK7PbxLY8Vrm56B2rKcpump</t>
        </is>
      </c>
      <c r="P41" s="20">
        <f>HYPERLINK("https://photon-sol.tinyastro.io/en/lp/53eV9mpE5ANau6KngMjmuzK7PbxLY8Vrm56B2rKcpump?handle=676050794bc1b1657a56b", "View")</f>
        <v/>
      </c>
    </row>
    <row r="42">
      <c r="A42" s="15" t="inlineStr">
        <is>
          <t>AKINATOR</t>
        </is>
      </c>
      <c r="B42" s="16" t="n">
        <v>30550334</v>
      </c>
      <c r="C42" s="16" t="n">
        <v>30550334</v>
      </c>
      <c r="D42" s="16" t="inlineStr">
        <is>
          <t>0.011010</t>
        </is>
      </c>
      <c r="E42" s="16" t="inlineStr">
        <is>
          <t>1.454 SOL</t>
        </is>
      </c>
      <c r="F42" s="16" t="inlineStr">
        <is>
          <t>1.284 SOL</t>
        </is>
      </c>
      <c r="G42" s="21" t="inlineStr">
        <is>
          <t>-0.181 SOL</t>
        </is>
      </c>
      <c r="H42" s="21" t="inlineStr">
        <is>
          <t>-12.37%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14.10.2024 08:05:51</t>
        </is>
      </c>
      <c r="M42" s="16" t="inlineStr">
        <is>
          <t>5 min</t>
        </is>
      </c>
      <c r="N42" s="16" t="inlineStr">
        <is>
          <t xml:space="preserve">        N/A           N/A           N/A</t>
        </is>
      </c>
      <c r="O42" s="16" t="inlineStr">
        <is>
          <t>2XBSJq1HBBue6uN9Pr54LqLHcnsFS7156mqRfN8npump</t>
        </is>
      </c>
      <c r="P42" s="16">
        <f>HYPERLINK("https://photon-sol.tinyastro.io/en/lp/2XBSJq1HBBue6uN9Pr54LqLHcnsFS7156mqRfN8npump?handle=676050794bc1b1657a56b", "View")</f>
        <v/>
      </c>
    </row>
    <row r="43">
      <c r="A43" s="19" t="inlineStr">
        <is>
          <t>Alan</t>
        </is>
      </c>
      <c r="B43" s="20" t="n">
        <v>37012088</v>
      </c>
      <c r="C43" s="20" t="n">
        <v>37012088</v>
      </c>
      <c r="D43" s="20" t="inlineStr">
        <is>
          <t>0.021010</t>
        </is>
      </c>
      <c r="E43" s="20" t="inlineStr">
        <is>
          <t>1.258 SOL</t>
        </is>
      </c>
      <c r="F43" s="20" t="inlineStr">
        <is>
          <t>1.416 SOL</t>
        </is>
      </c>
      <c r="G43" s="22" t="inlineStr">
        <is>
          <t>0.138 SOL</t>
        </is>
      </c>
      <c r="H43" s="22" t="inlineStr">
        <is>
          <t>10.75%</t>
        </is>
      </c>
      <c r="I43" s="20" t="inlineStr">
        <is>
          <t>N/A</t>
        </is>
      </c>
      <c r="J43" s="20" t="n">
        <v>1</v>
      </c>
      <c r="K43" s="20" t="n">
        <v>2</v>
      </c>
      <c r="L43" s="20" t="inlineStr">
        <is>
          <t>12.10.2024 23:35:07</t>
        </is>
      </c>
      <c r="M43" s="20" t="inlineStr">
        <is>
          <t>5 min</t>
        </is>
      </c>
      <c r="N43" s="20" t="inlineStr">
        <is>
          <t xml:space="preserve">        N/A           N/A           N/A</t>
        </is>
      </c>
      <c r="O43" s="20" t="inlineStr">
        <is>
          <t>GUsc3Y2hJExiDPWxBRAuVAaL9YJTYWN2ReUY3yhLpump</t>
        </is>
      </c>
      <c r="P43" s="20">
        <f>HYPERLINK("https://photon-sol.tinyastro.io/en/lp/GUsc3Y2hJExiDPWxBRAuVAaL9YJTYWN2ReUY3yhLpump?handle=676050794bc1b1657a56b", "View")</f>
        <v/>
      </c>
    </row>
    <row r="44">
      <c r="A44" s="15" t="inlineStr">
        <is>
          <t>HUSTLE</t>
        </is>
      </c>
      <c r="B44" s="16" t="n">
        <v>16473972</v>
      </c>
      <c r="C44" s="16" t="n">
        <v>16473972</v>
      </c>
      <c r="D44" s="16" t="inlineStr">
        <is>
          <t>0.011010</t>
        </is>
      </c>
      <c r="E44" s="16" t="inlineStr">
        <is>
          <t>1.069 SOL</t>
        </is>
      </c>
      <c r="F44" s="16" t="inlineStr">
        <is>
          <t>1.074 SOL</t>
        </is>
      </c>
      <c r="G44" s="21" t="inlineStr">
        <is>
          <t>-0.006 SOL</t>
        </is>
      </c>
      <c r="H44" s="21" t="inlineStr">
        <is>
          <t>-0.56%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11.10.2024 05:38:42</t>
        </is>
      </c>
      <c r="M44" s="18" t="inlineStr">
        <is>
          <t>51 sec</t>
        </is>
      </c>
      <c r="N44" s="16" t="inlineStr">
        <is>
          <t xml:space="preserve">        N/A           N/A           N/A</t>
        </is>
      </c>
      <c r="O44" s="16" t="inlineStr">
        <is>
          <t>9jUuAdL5T3f6bdoCk4P3YiHyjSs3mJhbGZHCURY1pump</t>
        </is>
      </c>
      <c r="P44" s="16">
        <f>HYPERLINK("https://photon-sol.tinyastro.io/en/lp/9jUuAdL5T3f6bdoCk4P3YiHyjSs3mJhbGZHCURY1pump?handle=676050794bc1b1657a56b", "View")</f>
        <v/>
      </c>
    </row>
    <row r="45">
      <c r="A45" s="19" t="inlineStr">
        <is>
          <t>MORE</t>
        </is>
      </c>
      <c r="B45" s="20" t="n">
        <v>13827523</v>
      </c>
      <c r="C45" s="20" t="n">
        <v>13827523</v>
      </c>
      <c r="D45" s="20" t="inlineStr">
        <is>
          <t>0.012020</t>
        </is>
      </c>
      <c r="E45" s="20" t="inlineStr">
        <is>
          <t>0.707 SOL</t>
        </is>
      </c>
      <c r="F45" s="20" t="inlineStr">
        <is>
          <t>0.660 SOL</t>
        </is>
      </c>
      <c r="G45" s="21" t="inlineStr">
        <is>
          <t>-0.060 SOL</t>
        </is>
      </c>
      <c r="H45" s="21" t="inlineStr">
        <is>
          <t>-8.28%</t>
        </is>
      </c>
      <c r="I45" s="20" t="inlineStr">
        <is>
          <t>N/A</t>
        </is>
      </c>
      <c r="J45" s="20" t="n">
        <v>2</v>
      </c>
      <c r="K45" s="20" t="n">
        <v>1</v>
      </c>
      <c r="L45" s="20" t="inlineStr">
        <is>
          <t>10.10.2024 12:43:45</t>
        </is>
      </c>
      <c r="M45" s="20" t="inlineStr">
        <is>
          <t>4 min</t>
        </is>
      </c>
      <c r="N45" s="20" t="inlineStr">
        <is>
          <t xml:space="preserve">        N/A           N/A           N/A</t>
        </is>
      </c>
      <c r="O45" s="20" t="inlineStr">
        <is>
          <t>F7Cu3aykm4d6f4VChNfwUSVbkLMe7NUsPuiqsCZxpump</t>
        </is>
      </c>
      <c r="P45" s="20">
        <f>HYPERLINK("https://photon-sol.tinyastro.io/en/lp/F7Cu3aykm4d6f4VChNfwUSVbkLMe7NUsPuiqsCZxpump?handle=676050794bc1b1657a56b", "View")</f>
        <v/>
      </c>
    </row>
    <row r="46">
      <c r="A46" s="15" t="inlineStr">
        <is>
          <t>WIN</t>
        </is>
      </c>
      <c r="B46" s="16" t="n">
        <v>35802051</v>
      </c>
      <c r="C46" s="16" t="n">
        <v>35802051</v>
      </c>
      <c r="D46" s="16" t="inlineStr">
        <is>
          <t>0.012020</t>
        </is>
      </c>
      <c r="E46" s="16" t="inlineStr">
        <is>
          <t>1.208 SOL</t>
        </is>
      </c>
      <c r="F46" s="16" t="inlineStr">
        <is>
          <t>1.113 SOL</t>
        </is>
      </c>
      <c r="G46" s="21" t="inlineStr">
        <is>
          <t>-0.107 SOL</t>
        </is>
      </c>
      <c r="H46" s="21" t="inlineStr">
        <is>
          <t>-8.77%</t>
        </is>
      </c>
      <c r="I46" s="16" t="inlineStr">
        <is>
          <t>N/A</t>
        </is>
      </c>
      <c r="J46" s="16" t="n">
        <v>2</v>
      </c>
      <c r="K46" s="16" t="n">
        <v>1</v>
      </c>
      <c r="L46" s="16" t="inlineStr">
        <is>
          <t>10.10.2024 09:28:18</t>
        </is>
      </c>
      <c r="M46" s="16" t="inlineStr">
        <is>
          <t>24 min</t>
        </is>
      </c>
      <c r="N46" s="16" t="inlineStr">
        <is>
          <t xml:space="preserve">        N/A           N/A           N/A</t>
        </is>
      </c>
      <c r="O46" s="16" t="inlineStr">
        <is>
          <t>3qRN97wb5kPy2f6wFP3Tx4ygwZjfgo8mbzUGQfLjpump</t>
        </is>
      </c>
      <c r="P46" s="16">
        <f>HYPERLINK("https://photon-sol.tinyastro.io/en/lp/3qRN97wb5kPy2f6wFP3Tx4ygwZjfgo8mbzUGQfLjpump?handle=676050794bc1b1657a56b", "View")</f>
        <v/>
      </c>
    </row>
    <row r="47">
      <c r="A47" s="19" t="inlineStr">
        <is>
          <t>IDGAF</t>
        </is>
      </c>
      <c r="B47" s="20" t="n">
        <v>8813919</v>
      </c>
      <c r="C47" s="20" t="n">
        <v>8813919</v>
      </c>
      <c r="D47" s="20" t="inlineStr">
        <is>
          <t>0.011010</t>
        </is>
      </c>
      <c r="E47" s="20" t="inlineStr">
        <is>
          <t>1.095 SOL</t>
        </is>
      </c>
      <c r="F47" s="20" t="inlineStr">
        <is>
          <t>0.767 SOL</t>
        </is>
      </c>
      <c r="G47" s="21" t="inlineStr">
        <is>
          <t>-0.339 SOL</t>
        </is>
      </c>
      <c r="H47" s="21" t="inlineStr">
        <is>
          <t>-30.63%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09.10.2024 13:09:20</t>
        </is>
      </c>
      <c r="M47" s="20" t="inlineStr">
        <is>
          <t>51 min</t>
        </is>
      </c>
      <c r="N47" s="20" t="inlineStr">
        <is>
          <t xml:space="preserve">        N/A           N/A           N/A</t>
        </is>
      </c>
      <c r="O47" s="20" t="inlineStr">
        <is>
          <t>6ZF4BuJ8ixFrhtNmWaZzihz3JhYZUKTxrWUzf1j5pump</t>
        </is>
      </c>
      <c r="P47" s="20">
        <f>HYPERLINK("https://photon-sol.tinyastro.io/en/lp/6ZF4BuJ8ixFrhtNmWaZzihz3JhYZUKTxrWUzf1j5pump?handle=676050794bc1b1657a56b", "View")</f>
        <v/>
      </c>
    </row>
    <row r="48">
      <c r="A48" s="15" t="inlineStr">
        <is>
          <t>AON</t>
        </is>
      </c>
      <c r="B48" s="16" t="n">
        <v>32485489</v>
      </c>
      <c r="C48" s="16" t="n">
        <v>32485489</v>
      </c>
      <c r="D48" s="16" t="inlineStr">
        <is>
          <t>0.021010</t>
        </is>
      </c>
      <c r="E48" s="16" t="inlineStr">
        <is>
          <t>1.022 SOL</t>
        </is>
      </c>
      <c r="F48" s="16" t="inlineStr">
        <is>
          <t>1.011 SOL</t>
        </is>
      </c>
      <c r="G48" s="21" t="inlineStr">
        <is>
          <t>-0.032 SOL</t>
        </is>
      </c>
      <c r="H48" s="21" t="inlineStr">
        <is>
          <t>-3.10%</t>
        </is>
      </c>
      <c r="I48" s="16" t="inlineStr">
        <is>
          <t>N/A</t>
        </is>
      </c>
      <c r="J48" s="16" t="n">
        <v>1</v>
      </c>
      <c r="K48" s="16" t="n">
        <v>2</v>
      </c>
      <c r="L48" s="16" t="inlineStr">
        <is>
          <t>09.10.2024 12:36:53</t>
        </is>
      </c>
      <c r="M48" s="16" t="inlineStr">
        <is>
          <t>1 min</t>
        </is>
      </c>
      <c r="N48" s="16" t="inlineStr">
        <is>
          <t xml:space="preserve">        N/A           N/A           N/A</t>
        </is>
      </c>
      <c r="O48" s="16" t="inlineStr">
        <is>
          <t>H3LAY5Wypn4pbUvHV6WyB7hwy14YPMqgwzm3B97rpump</t>
        </is>
      </c>
      <c r="P48" s="16">
        <f>HYPERLINK("https://photon-sol.tinyastro.io/en/lp/H3LAY5Wypn4pbUvHV6WyB7hwy14YPMqgwzm3B97rpump?handle=676050794bc1b1657a56b", "View")</f>
        <v/>
      </c>
    </row>
    <row r="49">
      <c r="A49" s="19" t="inlineStr">
        <is>
          <t>size</t>
        </is>
      </c>
      <c r="B49" s="20" t="n">
        <v>23772980</v>
      </c>
      <c r="C49" s="20" t="n">
        <v>23772980</v>
      </c>
      <c r="D49" s="20" t="inlineStr">
        <is>
          <t>0.011010</t>
        </is>
      </c>
      <c r="E49" s="20" t="inlineStr">
        <is>
          <t>0.717 SOL</t>
        </is>
      </c>
      <c r="F49" s="20" t="inlineStr">
        <is>
          <t>0.707 SOL</t>
        </is>
      </c>
      <c r="G49" s="21" t="inlineStr">
        <is>
          <t>-0.021 SOL</t>
        </is>
      </c>
      <c r="H49" s="21" t="inlineStr">
        <is>
          <t>-2.87%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09.10.2024 11:14:22</t>
        </is>
      </c>
      <c r="M49" s="18" t="inlineStr">
        <is>
          <t>39 sec</t>
        </is>
      </c>
      <c r="N49" s="20" t="inlineStr">
        <is>
          <t xml:space="preserve">        N/A           N/A           N/A</t>
        </is>
      </c>
      <c r="O49" s="20" t="inlineStr">
        <is>
          <t>9op8cByFUG2mDppnVpuNRHjgnBhEd7dANAhsYuWtpump</t>
        </is>
      </c>
      <c r="P49" s="20">
        <f>HYPERLINK("https://photon-sol.tinyastro.io/en/lp/9op8cByFUG2mDppnVpuNRHjgnBhEd7dANAhsYuWtpump?handle=676050794bc1b1657a56b", "View")</f>
        <v/>
      </c>
    </row>
    <row r="50">
      <c r="A50" s="15" t="inlineStr">
        <is>
          <t>THIS</t>
        </is>
      </c>
      <c r="B50" s="16" t="n">
        <v>15426027</v>
      </c>
      <c r="C50" s="16" t="n">
        <v>15426027</v>
      </c>
      <c r="D50" s="16" t="inlineStr">
        <is>
          <t>0.011010</t>
        </is>
      </c>
      <c r="E50" s="16" t="inlineStr">
        <is>
          <t>0.529 SOL</t>
        </is>
      </c>
      <c r="F50" s="16" t="inlineStr">
        <is>
          <t>0.581 SOL</t>
        </is>
      </c>
      <c r="G50" s="22" t="inlineStr">
        <is>
          <t>0.041 SOL</t>
        </is>
      </c>
      <c r="H50" s="22" t="inlineStr">
        <is>
          <t>7.58%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09.10.2024 10:57:31</t>
        </is>
      </c>
      <c r="M50" s="16" t="inlineStr">
        <is>
          <t>1 min</t>
        </is>
      </c>
      <c r="N50" s="16" t="inlineStr">
        <is>
          <t xml:space="preserve">        N/A           N/A           N/A</t>
        </is>
      </c>
      <c r="O50" s="16" t="inlineStr">
        <is>
          <t>FeLqLQhznywFBUueSGWtWoEjWGrjvhzV4eoBQq5Zpump</t>
        </is>
      </c>
      <c r="P50" s="16">
        <f>HYPERLINK("https://photon-sol.tinyastro.io/en/lp/FeLqLQhznywFBUueSGWtWoEjWGrjvhzV4eoBQq5Zpump?handle=676050794bc1b1657a56b", "View")</f>
        <v/>
      </c>
    </row>
    <row r="51">
      <c r="A51" s="19" t="inlineStr">
        <is>
          <t>Bibble</t>
        </is>
      </c>
      <c r="B51" s="20" t="n">
        <v>37499422</v>
      </c>
      <c r="C51" s="20" t="n">
        <v>37499422</v>
      </c>
      <c r="D51" s="20" t="inlineStr">
        <is>
          <t>0.012020</t>
        </is>
      </c>
      <c r="E51" s="20" t="inlineStr">
        <is>
          <t>1.195 SOL</t>
        </is>
      </c>
      <c r="F51" s="20" t="inlineStr">
        <is>
          <t>1.129 SOL</t>
        </is>
      </c>
      <c r="G51" s="21" t="inlineStr">
        <is>
          <t>-0.079 SOL</t>
        </is>
      </c>
      <c r="H51" s="21" t="inlineStr">
        <is>
          <t>-6.50%</t>
        </is>
      </c>
      <c r="I51" s="20" t="inlineStr">
        <is>
          <t>N/A</t>
        </is>
      </c>
      <c r="J51" s="20" t="n">
        <v>2</v>
      </c>
      <c r="K51" s="20" t="n">
        <v>1</v>
      </c>
      <c r="L51" s="20" t="inlineStr">
        <is>
          <t>07.10.2024 22:06:12</t>
        </is>
      </c>
      <c r="M51" s="20" t="inlineStr">
        <is>
          <t>3 min</t>
        </is>
      </c>
      <c r="N51" s="20" t="inlineStr">
        <is>
          <t xml:space="preserve">        N/A           N/A           N/A</t>
        </is>
      </c>
      <c r="O51" s="20" t="inlineStr">
        <is>
          <t>3PNuerX3pMhLeyTtYdbYQmsizq67Tbu9kB15nVa3pump</t>
        </is>
      </c>
      <c r="P51" s="20">
        <f>HYPERLINK("https://photon-sol.tinyastro.io/en/lp/3PNuerX3pMhLeyTtYdbYQmsizq67Tbu9kB15nVa3pump?handle=676050794bc1b1657a56b", "View")</f>
        <v/>
      </c>
    </row>
    <row r="52">
      <c r="A52" s="15" t="inlineStr">
        <is>
          <t>tweaking</t>
        </is>
      </c>
      <c r="B52" s="16" t="n">
        <v>23031009</v>
      </c>
      <c r="C52" s="16" t="n">
        <v>23031009</v>
      </c>
      <c r="D52" s="16" t="inlineStr">
        <is>
          <t>0.013020</t>
        </is>
      </c>
      <c r="E52" s="16" t="inlineStr">
        <is>
          <t>3.298 SOL</t>
        </is>
      </c>
      <c r="F52" s="16" t="inlineStr">
        <is>
          <t>3.232 SOL</t>
        </is>
      </c>
      <c r="G52" s="21" t="inlineStr">
        <is>
          <t>-0.079 SOL</t>
        </is>
      </c>
      <c r="H52" s="21" t="inlineStr">
        <is>
          <t>-2.40%</t>
        </is>
      </c>
      <c r="I52" s="16" t="inlineStr">
        <is>
          <t>N/A</t>
        </is>
      </c>
      <c r="J52" s="16" t="n">
        <v>3</v>
      </c>
      <c r="K52" s="16" t="n">
        <v>1</v>
      </c>
      <c r="L52" s="16" t="inlineStr">
        <is>
          <t>07.10.2024 20:07:48</t>
        </is>
      </c>
      <c r="M52" s="16" t="inlineStr">
        <is>
          <t>1 hours</t>
        </is>
      </c>
      <c r="N52" s="16" t="inlineStr">
        <is>
          <t xml:space="preserve">         26K            25K             4K</t>
        </is>
      </c>
      <c r="O52" s="16" t="inlineStr">
        <is>
          <t>7VfezGixpx7xFVQqULFgkiMroQxHAd8HWYpERrnkpump</t>
        </is>
      </c>
      <c r="P52" s="16">
        <f>HYPERLINK("https://photon-sol.tinyastro.io/en/lp/7VfezGixpx7xFVQqULFgkiMroQxHAd8HWYpERrnkpump?handle=676050794bc1b1657a56b", "View")</f>
        <v/>
      </c>
    </row>
    <row r="53">
      <c r="A53" s="19" t="inlineStr">
        <is>
          <t>Kiki</t>
        </is>
      </c>
      <c r="B53" s="20" t="n">
        <v>7804021</v>
      </c>
      <c r="C53" s="20" t="n">
        <v>7804021</v>
      </c>
      <c r="D53" s="20" t="inlineStr">
        <is>
          <t>0.011010</t>
        </is>
      </c>
      <c r="E53" s="20" t="inlineStr">
        <is>
          <t>1.021 SOL</t>
        </is>
      </c>
      <c r="F53" s="20" t="inlineStr">
        <is>
          <t>1.096 SOL</t>
        </is>
      </c>
      <c r="G53" s="22" t="inlineStr">
        <is>
          <t>0.063 SOL</t>
        </is>
      </c>
      <c r="H53" s="22" t="inlineStr">
        <is>
          <t>6.14%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07.10.2024 18:18:18</t>
        </is>
      </c>
      <c r="M53" s="18" t="inlineStr">
        <is>
          <t>54 sec</t>
        </is>
      </c>
      <c r="N53" s="20" t="inlineStr">
        <is>
          <t xml:space="preserve">        N/A           N/A           N/A</t>
        </is>
      </c>
      <c r="O53" s="20" t="inlineStr">
        <is>
          <t>9qdn59Cm44G3qXH1hNYbmL21JAgJvLyZBXGa48J4pump</t>
        </is>
      </c>
      <c r="P53" s="20">
        <f>HYPERLINK("https://photon-sol.tinyastro.io/en/lp/9qdn59Cm44G3qXH1hNYbmL21JAgJvLyZBXGa48J4pump?handle=676050794bc1b1657a56b", "View")</f>
        <v/>
      </c>
    </row>
    <row r="54">
      <c r="A54" s="15" t="inlineStr">
        <is>
          <t>sonny</t>
        </is>
      </c>
      <c r="B54" s="16" t="n">
        <v>16382954</v>
      </c>
      <c r="C54" s="16" t="n">
        <v>16382954</v>
      </c>
      <c r="D54" s="16" t="inlineStr">
        <is>
          <t>0.011010</t>
        </is>
      </c>
      <c r="E54" s="16" t="inlineStr">
        <is>
          <t>0.513 SOL</t>
        </is>
      </c>
      <c r="F54" s="16" t="inlineStr">
        <is>
          <t>13.469 SOL</t>
        </is>
      </c>
      <c r="G54" s="23" t="inlineStr">
        <is>
          <t>12.945 SOL</t>
        </is>
      </c>
      <c r="H54" s="23" t="inlineStr">
        <is>
          <t>2470.21%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07.10.2024 16:56:33</t>
        </is>
      </c>
      <c r="M54" s="16" t="inlineStr">
        <is>
          <t>1 days</t>
        </is>
      </c>
      <c r="N54" s="16" t="inlineStr">
        <is>
          <t xml:space="preserve">          5K           144K             2M</t>
        </is>
      </c>
      <c r="O54" s="16" t="inlineStr">
        <is>
          <t>FAJW358HjJ2mHXSHbHyxghfVGzX5SBoupdjRr2y9pump</t>
        </is>
      </c>
      <c r="P54" s="16">
        <f>HYPERLINK("https://photon-sol.tinyastro.io/en/lp/FAJW358HjJ2mHXSHbHyxghfVGzX5SBoupdjRr2y9pump?handle=676050794bc1b1657a56b", "View")</f>
        <v/>
      </c>
    </row>
    <row r="55">
      <c r="A55" s="19" t="inlineStr">
        <is>
          <t>W</t>
        </is>
      </c>
      <c r="B55" s="20" t="n">
        <v>29219075</v>
      </c>
      <c r="C55" s="20" t="n">
        <v>29219075</v>
      </c>
      <c r="D55" s="20" t="inlineStr">
        <is>
          <t>0.012020</t>
        </is>
      </c>
      <c r="E55" s="20" t="inlineStr">
        <is>
          <t>1.126 SOL</t>
        </is>
      </c>
      <c r="F55" s="20" t="inlineStr">
        <is>
          <t>1.045 SOL</t>
        </is>
      </c>
      <c r="G55" s="21" t="inlineStr">
        <is>
          <t>-0.093 SOL</t>
        </is>
      </c>
      <c r="H55" s="21" t="inlineStr">
        <is>
          <t>-8.18%</t>
        </is>
      </c>
      <c r="I55" s="20" t="inlineStr">
        <is>
          <t>N/A</t>
        </is>
      </c>
      <c r="J55" s="20" t="n">
        <v>2</v>
      </c>
      <c r="K55" s="20" t="n">
        <v>1</v>
      </c>
      <c r="L55" s="20" t="inlineStr">
        <is>
          <t>06.10.2024 19:12:24</t>
        </is>
      </c>
      <c r="M55" s="20" t="inlineStr">
        <is>
          <t>2 min</t>
        </is>
      </c>
      <c r="N55" s="20" t="inlineStr">
        <is>
          <t xml:space="preserve">        N/A           N/A           N/A</t>
        </is>
      </c>
      <c r="O55" s="20" t="inlineStr">
        <is>
          <t>BEYFxA7FLLKb9j3tbN3dpT1S6Uu6hGEGSUbdb6JBpump</t>
        </is>
      </c>
      <c r="P55" s="20">
        <f>HYPERLINK("https://photon-sol.tinyastro.io/en/lp/BEYFxA7FLLKb9j3tbN3dpT1S6Uu6hGEGSUbdb6JBpump?handle=676050794bc1b1657a56b", "View")</f>
        <v/>
      </c>
    </row>
    <row r="56">
      <c r="A56" s="15" t="inlineStr">
        <is>
          <t>YING</t>
        </is>
      </c>
      <c r="B56" s="16" t="n">
        <v>9860328</v>
      </c>
      <c r="C56" s="16" t="n">
        <v>9860328</v>
      </c>
      <c r="D56" s="16" t="inlineStr">
        <is>
          <t>0.011010</t>
        </is>
      </c>
      <c r="E56" s="16" t="inlineStr">
        <is>
          <t>1.019 SOL</t>
        </is>
      </c>
      <c r="F56" s="16" t="inlineStr">
        <is>
          <t>0.961 SOL</t>
        </is>
      </c>
      <c r="G56" s="21" t="inlineStr">
        <is>
          <t>-0.069 SOL</t>
        </is>
      </c>
      <c r="H56" s="21" t="inlineStr">
        <is>
          <t>-6.74%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04.10.2024 17:32:01</t>
        </is>
      </c>
      <c r="M56" s="16" t="inlineStr">
        <is>
          <t>4 hours</t>
        </is>
      </c>
      <c r="N56" s="16" t="inlineStr">
        <is>
          <t xml:space="preserve">        N/A           N/A           N/A</t>
        </is>
      </c>
      <c r="O56" s="16" t="inlineStr">
        <is>
          <t>HajdcWtCzR8ys7GPXQhJrwp4HF2YTvA2o28zTXVVpump</t>
        </is>
      </c>
      <c r="P56" s="16">
        <f>HYPERLINK("https://photon-sol.tinyastro.io/en/lp/HajdcWtCzR8ys7GPXQhJrwp4HF2YTvA2o28zTXVVpump?handle=676050794bc1b1657a56b", "View")</f>
        <v/>
      </c>
    </row>
    <row r="57">
      <c r="A57" s="19" t="inlineStr">
        <is>
          <t>LOLOLI</t>
        </is>
      </c>
      <c r="B57" s="20" t="n">
        <v>2700458</v>
      </c>
      <c r="C57" s="20" t="n">
        <v>0</v>
      </c>
      <c r="D57" s="20" t="inlineStr">
        <is>
          <t>0.001010</t>
        </is>
      </c>
      <c r="E57" s="20" t="inlineStr">
        <is>
          <t>1.000 SOL</t>
        </is>
      </c>
      <c r="F57" s="20" t="inlineStr">
        <is>
          <t>0.000 SOL</t>
        </is>
      </c>
      <c r="G57" s="17" t="inlineStr">
        <is>
          <t>-1.001 SOL</t>
        </is>
      </c>
      <c r="H57" s="17" t="inlineStr">
        <is>
          <t>0.00%</t>
        </is>
      </c>
      <c r="I57" s="20" t="inlineStr">
        <is>
          <t>2,700,458</t>
        </is>
      </c>
      <c r="J57" s="20" t="n">
        <v>1</v>
      </c>
      <c r="K57" s="20" t="n">
        <v>0</v>
      </c>
      <c r="L57" s="20" t="inlineStr">
        <is>
          <t>04.10.2024 16:13:05</t>
        </is>
      </c>
      <c r="M57" s="18" t="inlineStr">
        <is>
          <t>0 sec</t>
        </is>
      </c>
      <c r="N57" s="20" t="inlineStr">
        <is>
          <t xml:space="preserve">         65K            65K            11K</t>
        </is>
      </c>
      <c r="O57" s="20" t="inlineStr">
        <is>
          <t>3UyhzLnUsrVSmDVp98KjZvxjC94sJ4NPRn7m2KmZpump</t>
        </is>
      </c>
      <c r="P57" s="20">
        <f>HYPERLINK("https://dexscreener.com/solana/3UyhzLnUsrVSmDVp98KjZvxjC94sJ4NPRn7m2KmZpump", "View")</f>
        <v/>
      </c>
    </row>
    <row r="58">
      <c r="A58" s="15" t="inlineStr">
        <is>
          <t>Tao</t>
        </is>
      </c>
      <c r="B58" s="16" t="n">
        <v>16634992</v>
      </c>
      <c r="C58" s="16" t="n">
        <v>16634992</v>
      </c>
      <c r="D58" s="16" t="inlineStr">
        <is>
          <t>0.011010</t>
        </is>
      </c>
      <c r="E58" s="16" t="inlineStr">
        <is>
          <t>2.011 SOL</t>
        </is>
      </c>
      <c r="F58" s="16" t="inlineStr">
        <is>
          <t>2.189 SOL</t>
        </is>
      </c>
      <c r="G58" s="22" t="inlineStr">
        <is>
          <t>0.167 SOL</t>
        </is>
      </c>
      <c r="H58" s="22" t="inlineStr">
        <is>
          <t>8.24%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02.10.2024 14:23:11</t>
        </is>
      </c>
      <c r="M58" s="16" t="inlineStr">
        <is>
          <t>3 min</t>
        </is>
      </c>
      <c r="N58" s="16" t="inlineStr">
        <is>
          <t xml:space="preserve">        N/A           N/A           N/A</t>
        </is>
      </c>
      <c r="O58" s="16" t="inlineStr">
        <is>
          <t>EEmPuJe7SvFXCy238ebJm227t2eyugSeaVg79ZcCpump</t>
        </is>
      </c>
      <c r="P58" s="16">
        <f>HYPERLINK("https://photon-sol.tinyastro.io/en/lp/EEmPuJe7SvFXCy238ebJm227t2eyugSeaVg79ZcCpump?handle=676050794bc1b1657a56b", "View")</f>
        <v/>
      </c>
    </row>
    <row r="59">
      <c r="A59" s="19" t="inlineStr">
        <is>
          <t>warrior</t>
        </is>
      </c>
      <c r="B59" s="20" t="n">
        <v>34499243</v>
      </c>
      <c r="C59" s="20" t="n">
        <v>34499243</v>
      </c>
      <c r="D59" s="20" t="inlineStr">
        <is>
          <t>0.011010</t>
        </is>
      </c>
      <c r="E59" s="20" t="inlineStr">
        <is>
          <t>1.022 SOL</t>
        </is>
      </c>
      <c r="F59" s="20" t="inlineStr">
        <is>
          <t>1.723 SOL</t>
        </is>
      </c>
      <c r="G59" s="23" t="inlineStr">
        <is>
          <t>0.690 SOL</t>
        </is>
      </c>
      <c r="H59" s="23" t="inlineStr">
        <is>
          <t>66.83%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01.10.2024 16:45:23</t>
        </is>
      </c>
      <c r="M59" s="20" t="inlineStr">
        <is>
          <t>14 min</t>
        </is>
      </c>
      <c r="N59" s="20" t="inlineStr">
        <is>
          <t xml:space="preserve">        N/A           N/A           N/A</t>
        </is>
      </c>
      <c r="O59" s="20" t="inlineStr">
        <is>
          <t>DviCuKESnSs3uZgrSa18pLnmZ8pnzDvpe4MCZGpWpump</t>
        </is>
      </c>
      <c r="P59" s="20">
        <f>HYPERLINK("https://photon-sol.tinyastro.io/en/lp/DviCuKESnSs3uZgrSa18pLnmZ8pnzDvpe4MCZGpWpump?handle=676050794bc1b1657a56b", "View")</f>
        <v/>
      </c>
    </row>
    <row r="60">
      <c r="A60" s="15" t="inlineStr">
        <is>
          <t>marlin</t>
        </is>
      </c>
      <c r="B60" s="16" t="n">
        <v>35943348</v>
      </c>
      <c r="C60" s="16" t="n">
        <v>35943348</v>
      </c>
      <c r="D60" s="16" t="inlineStr">
        <is>
          <t>0.022020</t>
        </is>
      </c>
      <c r="E60" s="16" t="inlineStr">
        <is>
          <t>2.093 SOL</t>
        </is>
      </c>
      <c r="F60" s="16" t="inlineStr">
        <is>
          <t>1.929 SOL</t>
        </is>
      </c>
      <c r="G60" s="21" t="inlineStr">
        <is>
          <t>-0.186 SOL</t>
        </is>
      </c>
      <c r="H60" s="21" t="inlineStr">
        <is>
          <t>-8.78%</t>
        </is>
      </c>
      <c r="I60" s="16" t="inlineStr">
        <is>
          <t>N/A</t>
        </is>
      </c>
      <c r="J60" s="16" t="n">
        <v>2</v>
      </c>
      <c r="K60" s="16" t="n">
        <v>2</v>
      </c>
      <c r="L60" s="16" t="inlineStr">
        <is>
          <t>01.10.2024 02:25:55</t>
        </is>
      </c>
      <c r="M60" s="16" t="inlineStr">
        <is>
          <t>25 min</t>
        </is>
      </c>
      <c r="N60" s="16" t="inlineStr">
        <is>
          <t xml:space="preserve">        N/A           N/A           N/A</t>
        </is>
      </c>
      <c r="O60" s="16" t="inlineStr">
        <is>
          <t>7eMLVt4KDDgva6Ud15o6XkhSe2sV19AHAa4BXT1mpump</t>
        </is>
      </c>
      <c r="P60" s="16">
        <f>HYPERLINK("https://photon-sol.tinyastro.io/en/lp/7eMLVt4KDDgva6Ud15o6XkhSe2sV19AHAa4BXT1mpump?handle=676050794bc1b1657a56b", "View")</f>
        <v/>
      </c>
    </row>
    <row r="61">
      <c r="A61" s="19" t="inlineStr">
        <is>
          <t>TOBER</t>
        </is>
      </c>
      <c r="B61" s="20" t="n">
        <v>29780795</v>
      </c>
      <c r="C61" s="20" t="n">
        <v>29780795</v>
      </c>
      <c r="D61" s="20" t="inlineStr">
        <is>
          <t>0.011010</t>
        </is>
      </c>
      <c r="E61" s="20" t="inlineStr">
        <is>
          <t>1.022 SOL</t>
        </is>
      </c>
      <c r="F61" s="20" t="inlineStr">
        <is>
          <t>0.993 SOL</t>
        </is>
      </c>
      <c r="G61" s="21" t="inlineStr">
        <is>
          <t>-0.040 SOL</t>
        </is>
      </c>
      <c r="H61" s="21" t="inlineStr">
        <is>
          <t>-3.86%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01.10.2024 01:43:28</t>
        </is>
      </c>
      <c r="M61" s="18" t="inlineStr">
        <is>
          <t>27 sec</t>
        </is>
      </c>
      <c r="N61" s="20" t="inlineStr">
        <is>
          <t xml:space="preserve">        N/A           N/A           N/A</t>
        </is>
      </c>
      <c r="O61" s="20" t="inlineStr">
        <is>
          <t>8yVEZS32AHkgRGndiRWy2tLyHjVo4z6rn3Ch2f3ppump</t>
        </is>
      </c>
      <c r="P61" s="20">
        <f>HYPERLINK("https://photon-sol.tinyastro.io/en/lp/8yVEZS32AHkgRGndiRWy2tLyHjVo4z6rn3Ch2f3ppump?handle=676050794bc1b1657a56b", "View")</f>
        <v/>
      </c>
    </row>
    <row r="62">
      <c r="A62" s="15" t="inlineStr">
        <is>
          <t>MANYU</t>
        </is>
      </c>
      <c r="B62" s="16" t="n">
        <v>55245065</v>
      </c>
      <c r="C62" s="16" t="n">
        <v>55245065</v>
      </c>
      <c r="D62" s="16" t="inlineStr">
        <is>
          <t>0.023020</t>
        </is>
      </c>
      <c r="E62" s="16" t="inlineStr">
        <is>
          <t>2.208 SOL</t>
        </is>
      </c>
      <c r="F62" s="16" t="inlineStr">
        <is>
          <t>2.578 SOL</t>
        </is>
      </c>
      <c r="G62" s="22" t="inlineStr">
        <is>
          <t>0.347 SOL</t>
        </is>
      </c>
      <c r="H62" s="22" t="inlineStr">
        <is>
          <t>15.57%</t>
        </is>
      </c>
      <c r="I62" s="16" t="inlineStr">
        <is>
          <t>N/A</t>
        </is>
      </c>
      <c r="J62" s="16" t="n">
        <v>3</v>
      </c>
      <c r="K62" s="16" t="n">
        <v>2</v>
      </c>
      <c r="L62" s="16" t="inlineStr">
        <is>
          <t>01.10.2024 01:34:36</t>
        </is>
      </c>
      <c r="M62" s="16" t="inlineStr">
        <is>
          <t>24 min</t>
        </is>
      </c>
      <c r="N62" s="16" t="inlineStr">
        <is>
          <t xml:space="preserve">        N/A           N/A           N/A</t>
        </is>
      </c>
      <c r="O62" s="16" t="inlineStr">
        <is>
          <t>GYNB6GxPtiDCFZj6rYcegyswo4KbQ9t7K38PrQ8wSTYw</t>
        </is>
      </c>
      <c r="P62" s="16">
        <f>HYPERLINK("https://photon-sol.tinyastro.io/en/lp/GYNB6GxPtiDCFZj6rYcegyswo4KbQ9t7K38PrQ8wSTYw?handle=676050794bc1b1657a56b", "View")</f>
        <v/>
      </c>
    </row>
    <row r="63">
      <c r="A63" s="19" t="inlineStr">
        <is>
          <t>😈</t>
        </is>
      </c>
      <c r="B63" s="20" t="n">
        <v>36142113</v>
      </c>
      <c r="C63" s="20" t="n">
        <v>36142113</v>
      </c>
      <c r="D63" s="20" t="inlineStr">
        <is>
          <t>0.012020</t>
        </is>
      </c>
      <c r="E63" s="20" t="inlineStr">
        <is>
          <t>1.194 SOL</t>
        </is>
      </c>
      <c r="F63" s="20" t="inlineStr">
        <is>
          <t>1.189 SOL</t>
        </is>
      </c>
      <c r="G63" s="21" t="inlineStr">
        <is>
          <t>-0.017 SOL</t>
        </is>
      </c>
      <c r="H63" s="21" t="inlineStr">
        <is>
          <t>-1.43%</t>
        </is>
      </c>
      <c r="I63" s="20" t="inlineStr">
        <is>
          <t>N/A</t>
        </is>
      </c>
      <c r="J63" s="20" t="n">
        <v>2</v>
      </c>
      <c r="K63" s="20" t="n">
        <v>1</v>
      </c>
      <c r="L63" s="20" t="inlineStr">
        <is>
          <t>01.10.2024 00:49:10</t>
        </is>
      </c>
      <c r="M63" s="20" t="inlineStr">
        <is>
          <t>9 min</t>
        </is>
      </c>
      <c r="N63" s="20" t="inlineStr">
        <is>
          <t xml:space="preserve">        N/A           N/A           N/A</t>
        </is>
      </c>
      <c r="O63" s="20" t="inlineStr">
        <is>
          <t>CoPC4wHHZzyBG3HMNqnanh9dV3p59ozQivCuPCUEpump</t>
        </is>
      </c>
      <c r="P63" s="20">
        <f>HYPERLINK("https://photon-sol.tinyastro.io/en/lp/CoPC4wHHZzyBG3HMNqnanh9dV3p59ozQivCuPCUEpump?handle=676050794bc1b1657a56b", "View")</f>
        <v/>
      </c>
    </row>
    <row r="64">
      <c r="A64" s="15" t="inlineStr">
        <is>
          <t>Xiaobai</t>
        </is>
      </c>
      <c r="B64" s="16" t="n">
        <v>22543848</v>
      </c>
      <c r="C64" s="16" t="n">
        <v>22543848</v>
      </c>
      <c r="D64" s="16" t="inlineStr">
        <is>
          <t>0.011010</t>
        </is>
      </c>
      <c r="E64" s="16" t="inlineStr">
        <is>
          <t>2.000 SOL</t>
        </is>
      </c>
      <c r="F64" s="16" t="inlineStr">
        <is>
          <t>24.495 SOL</t>
        </is>
      </c>
      <c r="G64" s="23" t="inlineStr">
        <is>
          <t>22.484 SOL</t>
        </is>
      </c>
      <c r="H64" s="23" t="inlineStr">
        <is>
          <t>1118.04%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30.09.2024 23:57:38</t>
        </is>
      </c>
      <c r="M64" s="16" t="inlineStr">
        <is>
          <t>1 days</t>
        </is>
      </c>
      <c r="N64" s="16" t="inlineStr">
        <is>
          <t xml:space="preserve">         16K           191K            10K</t>
        </is>
      </c>
      <c r="O64" s="16" t="inlineStr">
        <is>
          <t>A9FFYjRPbKSgVe4qTxMqiQfGHEaV7TnNisjumYsbpump</t>
        </is>
      </c>
      <c r="P64" s="16">
        <f>HYPERLINK("https://dexscreener.com/solana/A9FFYjRPbKSgVe4qTxMqiQfGHEaV7TnNisjumYsbpump", "View")</f>
        <v/>
      </c>
    </row>
    <row r="65">
      <c r="A65" s="19" t="inlineStr">
        <is>
          <t>tan</t>
        </is>
      </c>
      <c r="B65" s="20" t="n">
        <v>24359508</v>
      </c>
      <c r="C65" s="20" t="n">
        <v>24359508</v>
      </c>
      <c r="D65" s="20" t="inlineStr">
        <is>
          <t>0.020010</t>
        </is>
      </c>
      <c r="E65" s="20" t="inlineStr">
        <is>
          <t>0.827 SOL</t>
        </is>
      </c>
      <c r="F65" s="20" t="inlineStr">
        <is>
          <t>0.927 SOL</t>
        </is>
      </c>
      <c r="G65" s="22" t="inlineStr">
        <is>
          <t>0.079 SOL</t>
        </is>
      </c>
      <c r="H65" s="22" t="inlineStr">
        <is>
          <t>9.33%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29.09.2024 16:37:25</t>
        </is>
      </c>
      <c r="M65" s="18" t="inlineStr">
        <is>
          <t>58 sec</t>
        </is>
      </c>
      <c r="N65" s="20" t="inlineStr">
        <is>
          <t xml:space="preserve">        N/A           N/A           N/A</t>
        </is>
      </c>
      <c r="O65" s="20" t="inlineStr">
        <is>
          <t>EaE2U6d1qBB54GFPU1AwLFkkqEHznyPBf3xWsR1dpump</t>
        </is>
      </c>
      <c r="P65" s="20">
        <f>HYPERLINK("https://photon-sol.tinyastro.io/en/lp/EaE2U6d1qBB54GFPU1AwLFkkqEHznyPBf3xWsR1dpump?handle=676050794bc1b1657a56b", "View")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HYPERLINK("https://gmgn.ai/sol/address/47KdXtjkFVcUkew2hwjhX7kaTrN3JYvEx8dBpgHVABoH", "GMGN")</f>
        <v/>
      </c>
    </row>
    <row r="2">
      <c r="A2" s="3" t="inlineStr">
        <is>
          <t>47KdXtjkFVcUkew2hwjhX7kaTrN3JYvEx8dBpgHVABoH</t>
        </is>
      </c>
      <c r="B2" s="3" t="inlineStr">
        <is>
          <t>8.32 SOL</t>
        </is>
      </c>
      <c r="C2" s="3" t="inlineStr">
        <is>
          <t>57%</t>
        </is>
      </c>
      <c r="D2" s="3" t="inlineStr">
        <is>
          <t>152%</t>
        </is>
      </c>
      <c r="E2" s="3" t="inlineStr">
        <is>
          <t>7.81 SOL</t>
        </is>
      </c>
      <c r="F2" s="3" t="inlineStr">
        <is>
          <t>0 (0%)</t>
        </is>
      </c>
      <c r="G2" s="3" t="inlineStr">
        <is>
          <t>0 (0%)</t>
        </is>
      </c>
      <c r="H2" s="3" t="n">
        <v>7</v>
      </c>
      <c r="I2" s="3" t="n">
        <v>0</v>
      </c>
      <c r="J2" s="3" t="inlineStr">
        <is>
          <t>17 h</t>
        </is>
      </c>
      <c r="K2" s="3" t="inlineStr">
        <is>
          <t>8 min</t>
        </is>
      </c>
      <c r="L2" s="3" t="n">
        <v>7</v>
      </c>
      <c r="M2" s="3" t="n">
        <v>4</v>
      </c>
      <c r="N2" s="3">
        <f>HYPERLINK("https://solscan.io/account/47KdXtjkFVcUkew2hwjhX7kaTrN3JYvEx8dBpgHVABoH", "Solscan")</f>
        <v/>
      </c>
    </row>
    <row r="3">
      <c r="A3" s="6" t="inlineStr">
        <is>
          <t>Median ROI</t>
        </is>
      </c>
      <c r="B3" s="4" t="inlineStr">
        <is>
          <t>30.87%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HYPERLINK("https://birdeye.so/profile/47KdXtjkFVcUkew2hwjhX7kaTrN3JYvEx8dBpgHVABoH", "Birdeye")</f>
        <v/>
      </c>
    </row>
    <row r="4">
      <c r="A4" s="6" t="inlineStr">
        <is>
          <t>Rockets percent</t>
        </is>
      </c>
      <c r="B4" s="3" t="inlineStr">
        <is>
          <t>29%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2</v>
      </c>
      <c r="D10" s="6" t="n">
        <v>1</v>
      </c>
      <c r="E10" s="6" t="n">
        <v>1</v>
      </c>
      <c r="F10" s="6" t="n">
        <v>2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28.6%</t>
        </is>
      </c>
      <c r="D11" s="6" t="inlineStr">
        <is>
          <t>14.3%</t>
        </is>
      </c>
      <c r="E11" s="6" t="inlineStr">
        <is>
          <t>14.3%</t>
        </is>
      </c>
      <c r="F11" s="6" t="inlineStr">
        <is>
          <t>28.6%</t>
        </is>
      </c>
      <c r="G11" s="6" t="inlineStr">
        <is>
          <t>14.3%</t>
        </is>
      </c>
      <c r="H11" s="3" t="n"/>
      <c r="I11" s="3" t="inlineStr">
        <is>
          <t>5k-30k</t>
        </is>
      </c>
      <c r="J11" s="3" t="inlineStr">
        <is>
          <t>5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7.6 SOL</t>
        </is>
      </c>
      <c r="D12" s="6" t="inlineStr">
        <is>
          <t>0.7 SOL</t>
        </is>
      </c>
      <c r="E12" s="6" t="inlineStr">
        <is>
          <t>0.2 SOL</t>
        </is>
      </c>
      <c r="F12" s="6" t="inlineStr">
        <is>
          <t>-0.5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11.0K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Torin</t>
        </is>
      </c>
      <c r="B20" s="16" t="n">
        <v>10163367</v>
      </c>
      <c r="C20" s="16" t="n">
        <v>10163367</v>
      </c>
      <c r="D20" s="16" t="inlineStr">
        <is>
          <t>0.140070</t>
        </is>
      </c>
      <c r="E20" s="16" t="inlineStr">
        <is>
          <t>0.452 SOL</t>
        </is>
      </c>
      <c r="F20" s="16" t="inlineStr">
        <is>
          <t>1.830 SOL</t>
        </is>
      </c>
      <c r="G20" s="23" t="inlineStr">
        <is>
          <t>1.237 SOL</t>
        </is>
      </c>
      <c r="H20" s="23" t="inlineStr">
        <is>
          <t>208.86%</t>
        </is>
      </c>
      <c r="I20" s="16" t="inlineStr">
        <is>
          <t>N/A</t>
        </is>
      </c>
      <c r="J20" s="16" t="n">
        <v>1</v>
      </c>
      <c r="K20" s="16" t="n">
        <v>13</v>
      </c>
      <c r="L20" s="16" t="inlineStr">
        <is>
          <t>30.10.2024 06:27:45</t>
        </is>
      </c>
      <c r="M20" s="16" t="inlineStr">
        <is>
          <t>7 min</t>
        </is>
      </c>
      <c r="N20" s="16" t="inlineStr">
        <is>
          <t xml:space="preserve">          7K            14K             3K</t>
        </is>
      </c>
      <c r="O20" s="16" t="inlineStr">
        <is>
          <t>HxdzGHd2jLF12UHjgFKCb6zMzgfqGnwRvwKweXmXpump</t>
        </is>
      </c>
      <c r="P20" s="16">
        <f>HYPERLINK("https://photon-sol.tinyastro.io/en/lp/HxdzGHd2jLF12UHjgFKCb6zMzgfqGnwRvwKweXmXpump?handle=676050794bc1b1657a56b", "View")</f>
        <v/>
      </c>
    </row>
    <row r="21">
      <c r="A21" s="19" t="inlineStr">
        <is>
          <t>Torin</t>
        </is>
      </c>
      <c r="B21" s="20" t="n">
        <v>8831328</v>
      </c>
      <c r="C21" s="20" t="n">
        <v>8831328</v>
      </c>
      <c r="D21" s="20" t="inlineStr">
        <is>
          <t>0.620310</t>
        </is>
      </c>
      <c r="E21" s="20" t="inlineStr">
        <is>
          <t>0.652 SOL</t>
        </is>
      </c>
      <c r="F21" s="20" t="inlineStr">
        <is>
          <t>7.633 SOL</t>
        </is>
      </c>
      <c r="G21" s="23" t="inlineStr">
        <is>
          <t>6.360 SOL</t>
        </is>
      </c>
      <c r="H21" s="23" t="inlineStr">
        <is>
          <t>499.87%</t>
        </is>
      </c>
      <c r="I21" s="20" t="inlineStr">
        <is>
          <t>N/A</t>
        </is>
      </c>
      <c r="J21" s="20" t="n">
        <v>1</v>
      </c>
      <c r="K21" s="20" t="n">
        <v>61</v>
      </c>
      <c r="L21" s="20" t="inlineStr">
        <is>
          <t>30.10.2024 06:17:46</t>
        </is>
      </c>
      <c r="M21" s="20" t="inlineStr">
        <is>
          <t>7 min</t>
        </is>
      </c>
      <c r="N21" s="20" t="inlineStr">
        <is>
          <t xml:space="preserve">         12K           102K             7K</t>
        </is>
      </c>
      <c r="O21" s="20" t="inlineStr">
        <is>
          <t>ALKTKLRTyF3P83KMCAvGEtY4CsoMzvh1k38uixCgpump</t>
        </is>
      </c>
      <c r="P21" s="20">
        <f>HYPERLINK("https://photon-sol.tinyastro.io/en/lp/ALKTKLRTyF3P83KMCAvGEtY4CsoMzvh1k38uixCgpump?handle=676050794bc1b1657a56b", "View")</f>
        <v/>
      </c>
    </row>
    <row r="22">
      <c r="A22" s="15" t="inlineStr">
        <is>
          <t>Butters</t>
        </is>
      </c>
      <c r="B22" s="16" t="n">
        <v>7929767</v>
      </c>
      <c r="C22" s="16" t="n">
        <v>7929767</v>
      </c>
      <c r="D22" s="16" t="inlineStr">
        <is>
          <t>0.020010</t>
        </is>
      </c>
      <c r="E22" s="16" t="inlineStr">
        <is>
          <t>0.500 SOL</t>
        </is>
      </c>
      <c r="F22" s="16" t="inlineStr">
        <is>
          <t>0.680 SOL</t>
        </is>
      </c>
      <c r="G22" s="22" t="inlineStr">
        <is>
          <t>0.160 SOL</t>
        </is>
      </c>
      <c r="H22" s="22" t="inlineStr">
        <is>
          <t>30.87%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29.10.2024 18:25:18</t>
        </is>
      </c>
      <c r="M22" s="16" t="inlineStr">
        <is>
          <t>8 min</t>
        </is>
      </c>
      <c r="N22" s="16" t="inlineStr">
        <is>
          <t xml:space="preserve">         11K            16K             4K</t>
        </is>
      </c>
      <c r="O22" s="16" t="inlineStr">
        <is>
          <t>BFc3G2JaqZA3eCJzWiSMhGZp7aXwonXETtr2Nudppump</t>
        </is>
      </c>
      <c r="P22" s="16">
        <f>HYPERLINK("https://photon-sol.tinyastro.io/en/lp/BFc3G2JaqZA3eCJzWiSMhGZp7aXwonXETtr2Nudppump?handle=676050794bc1b1657a56b", "View")</f>
        <v/>
      </c>
    </row>
    <row r="23">
      <c r="A23" s="19" t="inlineStr">
        <is>
          <t>Nina</t>
        </is>
      </c>
      <c r="B23" s="20" t="n">
        <v>11778199</v>
      </c>
      <c r="C23" s="20" t="n">
        <v>11778199</v>
      </c>
      <c r="D23" s="20" t="inlineStr">
        <is>
          <t>0.020010</t>
        </is>
      </c>
      <c r="E23" s="20" t="inlineStr">
        <is>
          <t>0.755 SOL</t>
        </is>
      </c>
      <c r="F23" s="20" t="inlineStr">
        <is>
          <t>0.636 SOL</t>
        </is>
      </c>
      <c r="G23" s="21" t="inlineStr">
        <is>
          <t>-0.139 SOL</t>
        </is>
      </c>
      <c r="H23" s="21" t="inlineStr">
        <is>
          <t>-17.94%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29.10.2024 15:47:07</t>
        </is>
      </c>
      <c r="M23" s="20" t="inlineStr">
        <is>
          <t>4 min</t>
        </is>
      </c>
      <c r="N23" s="20" t="inlineStr">
        <is>
          <t xml:space="preserve">         11K             9K             5K</t>
        </is>
      </c>
      <c r="O23" s="20" t="inlineStr">
        <is>
          <t>CDkwBE7pPovZLJC2KxM7jvWXkyygR1Y1u2R7f6hmpump</t>
        </is>
      </c>
      <c r="P23" s="20">
        <f>HYPERLINK("https://photon-sol.tinyastro.io/en/lp/CDkwBE7pPovZLJC2KxM7jvWXkyygR1Y1u2R7f6hmpump?handle=676050794bc1b1657a56b", "View")</f>
        <v/>
      </c>
    </row>
    <row r="24">
      <c r="A24" s="15" t="inlineStr">
        <is>
          <t>MOLANG</t>
        </is>
      </c>
      <c r="B24" s="16" t="n">
        <v>1793028</v>
      </c>
      <c r="C24" s="16" t="n">
        <v>1793028</v>
      </c>
      <c r="D24" s="16" t="inlineStr">
        <is>
          <t>0.220020</t>
        </is>
      </c>
      <c r="E24" s="16" t="inlineStr">
        <is>
          <t>0.554 SOL</t>
        </is>
      </c>
      <c r="F24" s="16" t="inlineStr">
        <is>
          <t>0.426 SOL</t>
        </is>
      </c>
      <c r="G24" s="21" t="inlineStr">
        <is>
          <t>-0.347 SOL</t>
        </is>
      </c>
      <c r="H24" s="21" t="inlineStr">
        <is>
          <t>-44.87%</t>
        </is>
      </c>
      <c r="I24" s="16" t="inlineStr">
        <is>
          <t>N/A</t>
        </is>
      </c>
      <c r="J24" s="16" t="n">
        <v>2</v>
      </c>
      <c r="K24" s="16" t="n">
        <v>2</v>
      </c>
      <c r="L24" s="16" t="inlineStr">
        <is>
          <t>29.10.2024 14:48:15</t>
        </is>
      </c>
      <c r="M24" s="16" t="inlineStr">
        <is>
          <t>10 min</t>
        </is>
      </c>
      <c r="N24" s="16" t="inlineStr">
        <is>
          <t xml:space="preserve">         54K            30K             4K</t>
        </is>
      </c>
      <c r="O24" s="16" t="inlineStr">
        <is>
          <t>BPFXTGBjoARa89gbSvbp7Dy6cQwgGc7efW1jE8nTpump</t>
        </is>
      </c>
      <c r="P24" s="16">
        <f>HYPERLINK("https://photon-sol.tinyastro.io/en/lp/BPFXTGBjoARa89gbSvbp7Dy6cQwgGc7efW1jE8nTpump?handle=676050794bc1b1657a56b", "View")</f>
        <v/>
      </c>
    </row>
    <row r="25">
      <c r="A25" s="19" t="inlineStr">
        <is>
          <t>Trina</t>
        </is>
      </c>
      <c r="B25" s="20" t="n">
        <v>11384893</v>
      </c>
      <c r="C25" s="20" t="n">
        <v>11384893</v>
      </c>
      <c r="D25" s="20" t="inlineStr">
        <is>
          <t>0.390150</t>
        </is>
      </c>
      <c r="E25" s="20" t="inlineStr">
        <is>
          <t>0.557 SOL</t>
        </is>
      </c>
      <c r="F25" s="20" t="inlineStr">
        <is>
          <t>1.615 SOL</t>
        </is>
      </c>
      <c r="G25" s="23" t="inlineStr">
        <is>
          <t>0.668 SOL</t>
        </is>
      </c>
      <c r="H25" s="23" t="inlineStr">
        <is>
          <t>70.53%</t>
        </is>
      </c>
      <c r="I25" s="20" t="inlineStr">
        <is>
          <t>N/A</t>
        </is>
      </c>
      <c r="J25" s="20" t="n">
        <v>1</v>
      </c>
      <c r="K25" s="20" t="n">
        <v>29</v>
      </c>
      <c r="L25" s="20" t="inlineStr">
        <is>
          <t>29.10.2024 13:33:37</t>
        </is>
      </c>
      <c r="M25" s="20" t="inlineStr">
        <is>
          <t>9 min</t>
        </is>
      </c>
      <c r="N25" s="20" t="inlineStr">
        <is>
          <t xml:space="preserve">          9K            11K             4K</t>
        </is>
      </c>
      <c r="O25" s="20" t="inlineStr">
        <is>
          <t>DirQ7FDi1C5SZCy8ai1GTSvnm9o8MDf9s4C4cExzpump</t>
        </is>
      </c>
      <c r="P25" s="20">
        <f>HYPERLINK("https://photon-sol.tinyastro.io/en/lp/DirQ7FDi1C5SZCy8ai1GTSvnm9o8MDf9s4C4cExzpump?handle=676050794bc1b1657a56b", "View")</f>
        <v/>
      </c>
    </row>
    <row r="26">
      <c r="A26" s="15" t="inlineStr">
        <is>
          <t>Trina</t>
        </is>
      </c>
      <c r="B26" s="16" t="n">
        <v>585788</v>
      </c>
      <c r="C26" s="16" t="n">
        <v>585788</v>
      </c>
      <c r="D26" s="16" t="inlineStr">
        <is>
          <t>0.110010</t>
        </is>
      </c>
      <c r="E26" s="16" t="inlineStr">
        <is>
          <t>0.131 SOL</t>
        </is>
      </c>
      <c r="F26" s="16" t="inlineStr">
        <is>
          <t>0.115 SOL</t>
        </is>
      </c>
      <c r="G26" s="24" t="inlineStr">
        <is>
          <t>-0.126 SOL</t>
        </is>
      </c>
      <c r="H26" s="24" t="inlineStr">
        <is>
          <t>-52.28%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29.10.2024 13:22:14</t>
        </is>
      </c>
      <c r="M26" s="16" t="inlineStr">
        <is>
          <t>8 min</t>
        </is>
      </c>
      <c r="N26" s="16" t="inlineStr">
        <is>
          <t xml:space="preserve">         39K            35K             5K</t>
        </is>
      </c>
      <c r="O26" s="16" t="inlineStr">
        <is>
          <t>CsT44i2W2MWp23WQ2EqjorxZVVzuN4niw1cj1Qr5pump</t>
        </is>
      </c>
      <c r="P26" s="16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151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HYPERLINK("https://gmgn.ai/sol/address/8vQjS83mYfGaF9bhmJHNcHodPUVQ8Vsgc2S84nRS4zfx", "GMGN")</f>
        <v/>
      </c>
    </row>
    <row r="2">
      <c r="A2" s="3" t="inlineStr">
        <is>
          <t>8vQjS83mYfGaF9bhmJHNcHodPUVQ8Vsgc2S84nRS4zfx</t>
        </is>
      </c>
      <c r="B2" s="3" t="inlineStr">
        <is>
          <t>12.30 SOL</t>
        </is>
      </c>
      <c r="C2" s="3" t="inlineStr">
        <is>
          <t>10%</t>
        </is>
      </c>
      <c r="D2" s="3" t="inlineStr">
        <is>
          <t>40%</t>
        </is>
      </c>
      <c r="E2" s="3" t="inlineStr">
        <is>
          <t>22.11 SOL</t>
        </is>
      </c>
      <c r="F2" s="3" t="inlineStr">
        <is>
          <t>0 (0%)</t>
        </is>
      </c>
      <c r="G2" s="3" t="inlineStr">
        <is>
          <t>0 (0%)</t>
        </is>
      </c>
      <c r="H2" s="3" t="n">
        <v>132</v>
      </c>
      <c r="I2" s="3" t="n">
        <v>30</v>
      </c>
      <c r="J2" s="3" t="inlineStr">
        <is>
          <t>11 days</t>
        </is>
      </c>
      <c r="K2" s="3" t="inlineStr">
        <is>
          <t>1 h</t>
        </is>
      </c>
      <c r="L2" s="3" t="n">
        <v>38</v>
      </c>
      <c r="M2" s="3" t="n">
        <v>127</v>
      </c>
      <c r="N2" s="3">
        <f>HYPERLINK("https://solscan.io/account/8vQjS83mYfGaF9bhmJHNcHodPUVQ8Vsgc2S84nRS4zfx", "Solscan")</f>
        <v/>
      </c>
    </row>
    <row r="3">
      <c r="A3" s="6" t="inlineStr">
        <is>
          <t>Median ROI</t>
        </is>
      </c>
      <c r="B3" s="5" t="inlineStr">
        <is>
          <t>-100.00%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HYPERLINK("https://birdeye.so/profile/8vQjS83mYfGaF9bhmJHNcHodPUVQ8Vsgc2S84nRS4zfx", "Birdeye")</f>
        <v/>
      </c>
    </row>
    <row r="4">
      <c r="A4" s="6" t="inlineStr">
        <is>
          <t>Rockets percent</t>
        </is>
      </c>
      <c r="B4" s="3" t="inlineStr">
        <is>
          <t>8%</t>
        </is>
      </c>
      <c r="C4" s="3" t="inlineStr"/>
      <c r="D4" s="3" t="inlineStr">
        <is>
          <t>21%</t>
        </is>
      </c>
      <c r="E4" s="3" t="inlineStr">
        <is>
          <t>11.43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1.5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5</v>
      </c>
      <c r="C10" s="6" t="n">
        <v>5</v>
      </c>
      <c r="D10" s="6" t="n">
        <v>0</v>
      </c>
      <c r="E10" s="6" t="n">
        <v>3</v>
      </c>
      <c r="F10" s="6" t="n">
        <v>1</v>
      </c>
      <c r="G10" s="6" t="n">
        <v>118</v>
      </c>
      <c r="H10" s="3" t="n"/>
      <c r="I10" s="3" t="inlineStr">
        <is>
          <t>&lt;5k</t>
        </is>
      </c>
      <c r="J10" s="3" t="inlineStr">
        <is>
          <t>1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3.8%</t>
        </is>
      </c>
      <c r="C11" s="6" t="inlineStr">
        <is>
          <t>3.8%</t>
        </is>
      </c>
      <c r="D11" s="6" t="inlineStr">
        <is>
          <t>0.0%</t>
        </is>
      </c>
      <c r="E11" s="6" t="inlineStr">
        <is>
          <t>2.3%</t>
        </is>
      </c>
      <c r="F11" s="6" t="inlineStr">
        <is>
          <t>0.8%</t>
        </is>
      </c>
      <c r="G11" s="6" t="inlineStr">
        <is>
          <t>89.4%</t>
        </is>
      </c>
      <c r="H11" s="3" t="n"/>
      <c r="I11" s="3" t="inlineStr">
        <is>
          <t>5k-30k</t>
        </is>
      </c>
      <c r="J11" s="3" t="inlineStr">
        <is>
          <t>41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63.5 SOL</t>
        </is>
      </c>
      <c r="C12" s="6" t="inlineStr">
        <is>
          <t>5.9 SOL</t>
        </is>
      </c>
      <c r="D12" s="6" t="inlineStr">
        <is>
          <t>0.0 SOL</t>
        </is>
      </c>
      <c r="E12" s="6" t="inlineStr">
        <is>
          <t>0.3 SOL</t>
        </is>
      </c>
      <c r="F12" s="6" t="inlineStr">
        <is>
          <t>-0.0 SOL</t>
        </is>
      </c>
      <c r="G12" s="6" t="inlineStr">
        <is>
          <t>-47.6 SOL</t>
        </is>
      </c>
      <c r="H12" s="3" t="n"/>
      <c r="I12" s="3" t="inlineStr">
        <is>
          <t>30k-100k</t>
        </is>
      </c>
      <c r="J12" s="3" t="inlineStr">
        <is>
          <t>31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33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25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74.0K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DOLPHIN</t>
        </is>
      </c>
      <c r="B20" s="16" t="n">
        <v>297125</v>
      </c>
      <c r="C20" s="16" t="n">
        <v>0</v>
      </c>
      <c r="D20" s="16" t="inlineStr">
        <is>
          <t>0.000710</t>
        </is>
      </c>
      <c r="E20" s="16" t="inlineStr">
        <is>
          <t>0.500 SOL</t>
        </is>
      </c>
      <c r="F20" s="16" t="inlineStr">
        <is>
          <t>0.000 SOL</t>
        </is>
      </c>
      <c r="G20" s="17" t="inlineStr">
        <is>
          <t>-0.501 SOL</t>
        </is>
      </c>
      <c r="H20" s="17" t="inlineStr">
        <is>
          <t>0.00%</t>
        </is>
      </c>
      <c r="I20" s="16" t="inlineStr">
        <is>
          <t>297,125</t>
        </is>
      </c>
      <c r="J20" s="16" t="n">
        <v>1</v>
      </c>
      <c r="K20" s="16" t="n">
        <v>0</v>
      </c>
      <c r="L20" s="16" t="inlineStr">
        <is>
          <t>30.10.2024 16:46:31</t>
        </is>
      </c>
      <c r="M20" s="18" t="inlineStr">
        <is>
          <t>0 sec</t>
        </is>
      </c>
      <c r="N20" s="16" t="inlineStr">
        <is>
          <t xml:space="preserve">        295K           295K             8K</t>
        </is>
      </c>
      <c r="O20" s="16" t="inlineStr">
        <is>
          <t>8zuLGDdCMELwGjD9b3gtyqfCKwj5hbNUnCCw66eBpump</t>
        </is>
      </c>
      <c r="P20" s="16">
        <f>HYPERLINK("https://dexscreener.com/solana/8zuLGDdCMELwGjD9b3gtyqfCKwj5hbNUnCCw66eBpump", "View")</f>
        <v/>
      </c>
    </row>
    <row r="21">
      <c r="A21" s="19" t="inlineStr">
        <is>
          <t>LIANA</t>
        </is>
      </c>
      <c r="B21" s="20" t="n">
        <v>1024586</v>
      </c>
      <c r="C21" s="20" t="n">
        <v>0</v>
      </c>
      <c r="D21" s="20" t="inlineStr">
        <is>
          <t>0.000710</t>
        </is>
      </c>
      <c r="E21" s="20" t="inlineStr">
        <is>
          <t>0.500 SOL</t>
        </is>
      </c>
      <c r="F21" s="20" t="inlineStr">
        <is>
          <t>0.000 SOL</t>
        </is>
      </c>
      <c r="G21" s="17" t="inlineStr">
        <is>
          <t>-0.501 SOL</t>
        </is>
      </c>
      <c r="H21" s="17" t="inlineStr">
        <is>
          <t>0.00%</t>
        </is>
      </c>
      <c r="I21" s="20" t="inlineStr">
        <is>
          <t>1,024,586</t>
        </is>
      </c>
      <c r="J21" s="20" t="n">
        <v>1</v>
      </c>
      <c r="K21" s="20" t="n">
        <v>0</v>
      </c>
      <c r="L21" s="20" t="inlineStr">
        <is>
          <t>30.10.2024 16:36:22</t>
        </is>
      </c>
      <c r="M21" s="18" t="inlineStr">
        <is>
          <t>0 sec</t>
        </is>
      </c>
      <c r="N21" s="20" t="inlineStr">
        <is>
          <t xml:space="preserve">         86K            86K             5K</t>
        </is>
      </c>
      <c r="O21" s="20" t="inlineStr">
        <is>
          <t>Gqm9CNRm3ZL6qVnbcjS9f4qvsPtW28gxanAuMbo4pump</t>
        </is>
      </c>
      <c r="P21" s="20">
        <f>HYPERLINK("https://dexscreener.com/solana/Gqm9CNRm3ZL6qVnbcjS9f4qvsPtW28gxanAuMbo4pump", "View")</f>
        <v/>
      </c>
    </row>
    <row r="22">
      <c r="A22" s="15" t="inlineStr">
        <is>
          <t>MOMO</t>
        </is>
      </c>
      <c r="B22" s="16" t="n">
        <v>217103</v>
      </c>
      <c r="C22" s="16" t="n">
        <v>0</v>
      </c>
      <c r="D22" s="16" t="inlineStr">
        <is>
          <t>0.000710</t>
        </is>
      </c>
      <c r="E22" s="16" t="inlineStr">
        <is>
          <t>0.500 SOL</t>
        </is>
      </c>
      <c r="F22" s="16" t="inlineStr">
        <is>
          <t>0.000 SOL</t>
        </is>
      </c>
      <c r="G22" s="17" t="inlineStr">
        <is>
          <t>-0.501 SOL</t>
        </is>
      </c>
      <c r="H22" s="17" t="inlineStr">
        <is>
          <t>0.00%</t>
        </is>
      </c>
      <c r="I22" s="16" t="inlineStr">
        <is>
          <t>217,103</t>
        </is>
      </c>
      <c r="J22" s="16" t="n">
        <v>1</v>
      </c>
      <c r="K22" s="16" t="n">
        <v>0</v>
      </c>
      <c r="L22" s="16" t="inlineStr">
        <is>
          <t>30.10.2024 16:33:53</t>
        </is>
      </c>
      <c r="M22" s="18" t="inlineStr">
        <is>
          <t>0 sec</t>
        </is>
      </c>
      <c r="N22" s="16" t="inlineStr">
        <is>
          <t xml:space="preserve">        404K           404K             9K</t>
        </is>
      </c>
      <c r="O22" s="16" t="inlineStr">
        <is>
          <t>4FieKJu1twj631v1NbDdpocqWS72Up36N3Lf3C1dpump</t>
        </is>
      </c>
      <c r="P22" s="16">
        <f>HYPERLINK("https://dexscreener.com/solana/4FieKJu1twj631v1NbDdpocqWS72Up36N3Lf3C1dpump", "View")</f>
        <v/>
      </c>
    </row>
    <row r="23">
      <c r="A23" s="19" t="inlineStr">
        <is>
          <t>tutu</t>
        </is>
      </c>
      <c r="B23" s="20" t="n">
        <v>953529</v>
      </c>
      <c r="C23" s="20" t="n">
        <v>0</v>
      </c>
      <c r="D23" s="20" t="inlineStr">
        <is>
          <t>0.000710</t>
        </is>
      </c>
      <c r="E23" s="20" t="inlineStr">
        <is>
          <t>0.267 SOL</t>
        </is>
      </c>
      <c r="F23" s="20" t="inlineStr">
        <is>
          <t>0.000 SOL</t>
        </is>
      </c>
      <c r="G23" s="17" t="inlineStr">
        <is>
          <t>-0.267 SOL</t>
        </is>
      </c>
      <c r="H23" s="17" t="inlineStr">
        <is>
          <t>0.00%</t>
        </is>
      </c>
      <c r="I23" s="20" t="inlineStr">
        <is>
          <t>953,529</t>
        </is>
      </c>
      <c r="J23" s="20" t="n">
        <v>1</v>
      </c>
      <c r="K23" s="20" t="n">
        <v>0</v>
      </c>
      <c r="L23" s="20" t="inlineStr">
        <is>
          <t>30.10.2024 13:48:38</t>
        </is>
      </c>
      <c r="M23" s="18" t="inlineStr">
        <is>
          <t>0 sec</t>
        </is>
      </c>
      <c r="N23" s="20" t="inlineStr">
        <is>
          <t xml:space="preserve">         49K            49K             6K</t>
        </is>
      </c>
      <c r="O23" s="20" t="inlineStr">
        <is>
          <t>3M85pJDvorLLtdq9zNcB2r5N36JvBvPpSFrB7pEnpump</t>
        </is>
      </c>
      <c r="P23" s="20">
        <f>HYPERLINK("https://photon-sol.tinyastro.io/en/lp/3M85pJDvorLLtdq9zNcB2r5N36JvBvPpSFrB7pEnpump?handle=676050794bc1b1657a56b", "View")</f>
        <v/>
      </c>
    </row>
    <row r="24">
      <c r="A24" s="15" t="inlineStr">
        <is>
          <t>OMBRA</t>
        </is>
      </c>
      <c r="B24" s="16" t="n">
        <v>572438</v>
      </c>
      <c r="C24" s="16" t="n">
        <v>0</v>
      </c>
      <c r="D24" s="16" t="inlineStr">
        <is>
          <t>0.000710</t>
        </is>
      </c>
      <c r="E24" s="16" t="inlineStr">
        <is>
          <t>0.500 SOL</t>
        </is>
      </c>
      <c r="F24" s="16" t="inlineStr">
        <is>
          <t>0.000 SOL</t>
        </is>
      </c>
      <c r="G24" s="17" t="inlineStr">
        <is>
          <t>-0.501 SOL</t>
        </is>
      </c>
      <c r="H24" s="17" t="inlineStr">
        <is>
          <t>0.00%</t>
        </is>
      </c>
      <c r="I24" s="16" t="inlineStr">
        <is>
          <t>572,438</t>
        </is>
      </c>
      <c r="J24" s="16" t="n">
        <v>1</v>
      </c>
      <c r="K24" s="16" t="n">
        <v>0</v>
      </c>
      <c r="L24" s="16" t="inlineStr">
        <is>
          <t>30.10.2024 12:34:09</t>
        </is>
      </c>
      <c r="M24" s="18" t="inlineStr">
        <is>
          <t>0 sec</t>
        </is>
      </c>
      <c r="N24" s="16" t="inlineStr">
        <is>
          <t xml:space="preserve">        153K           153K            19K</t>
        </is>
      </c>
      <c r="O24" s="16" t="inlineStr">
        <is>
          <t>ABGuyFsRx6coPxDqXnFwUmFNG3hsg5i24XSsHV1Apump</t>
        </is>
      </c>
      <c r="P24" s="16">
        <f>HYPERLINK("https://dexscreener.com/solana/ABGuyFsRx6coPxDqXnFwUmFNG3hsg5i24XSsHV1Apump", "View")</f>
        <v/>
      </c>
    </row>
    <row r="25">
      <c r="A25" s="19" t="inlineStr">
        <is>
          <t>JEETISM</t>
        </is>
      </c>
      <c r="B25" s="20" t="n">
        <v>1395946</v>
      </c>
      <c r="C25" s="20" t="n">
        <v>0</v>
      </c>
      <c r="D25" s="20" t="inlineStr">
        <is>
          <t>0.000710</t>
        </is>
      </c>
      <c r="E25" s="20" t="inlineStr">
        <is>
          <t>0.260 SOL</t>
        </is>
      </c>
      <c r="F25" s="20" t="inlineStr">
        <is>
          <t>0.000 SOL</t>
        </is>
      </c>
      <c r="G25" s="17" t="inlineStr">
        <is>
          <t>-0.261 SOL</t>
        </is>
      </c>
      <c r="H25" s="17" t="inlineStr">
        <is>
          <t>0.00%</t>
        </is>
      </c>
      <c r="I25" s="20" t="inlineStr">
        <is>
          <t>1,395,946</t>
        </is>
      </c>
      <c r="J25" s="20" t="n">
        <v>1</v>
      </c>
      <c r="K25" s="20" t="n">
        <v>0</v>
      </c>
      <c r="L25" s="20" t="inlineStr">
        <is>
          <t>30.10.2024 12:20:49</t>
        </is>
      </c>
      <c r="M25" s="18" t="inlineStr">
        <is>
          <t>0 sec</t>
        </is>
      </c>
      <c r="N25" s="20" t="inlineStr">
        <is>
          <t xml:space="preserve">         33K            33K             4K</t>
        </is>
      </c>
      <c r="O25" s="20" t="inlineStr">
        <is>
          <t>7gTqhPZNGfEJZ6yvE7WjkX76wmDhzKDjGeP9Rv74pump</t>
        </is>
      </c>
      <c r="P25" s="20">
        <f>HYPERLINK("https://photon-sol.tinyastro.io/en/lp/7gTqhPZNGfEJZ6yvE7WjkX76wmDhzKDjGeP9Rv74pump?handle=676050794bc1b1657a56b", "View")</f>
        <v/>
      </c>
    </row>
    <row r="26">
      <c r="A26" s="15" t="inlineStr">
        <is>
          <t>MOKSHA</t>
        </is>
      </c>
      <c r="B26" s="16" t="n">
        <v>241486</v>
      </c>
      <c r="C26" s="16" t="n">
        <v>241486</v>
      </c>
      <c r="D26" s="16" t="inlineStr">
        <is>
          <t>0.001110</t>
        </is>
      </c>
      <c r="E26" s="16" t="inlineStr">
        <is>
          <t>0.495 SOL</t>
        </is>
      </c>
      <c r="F26" s="16" t="inlineStr">
        <is>
          <t>1.061 SOL</t>
        </is>
      </c>
      <c r="G26" s="23" t="inlineStr">
        <is>
          <t>0.565 SOL</t>
        </is>
      </c>
      <c r="H26" s="23" t="inlineStr">
        <is>
          <t>113.94%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30.10.2024 11:55:37</t>
        </is>
      </c>
      <c r="M26" s="16" t="inlineStr">
        <is>
          <t>3 hours</t>
        </is>
      </c>
      <c r="N26" s="16" t="inlineStr">
        <is>
          <t xml:space="preserve">        360K           360K           233K</t>
        </is>
      </c>
      <c r="O26" s="16" t="inlineStr">
        <is>
          <t>D5S1nXXaMnJui8rCnMbP1GZQnL9TxzbF92hXvgkVpump</t>
        </is>
      </c>
      <c r="P26" s="16">
        <f>HYPERLINK("https://dexscreener.com/solana/D5S1nXXaMnJui8rCnMbP1GZQnL9TxzbF92hXvgkVpump", "View")</f>
        <v/>
      </c>
    </row>
    <row r="27">
      <c r="A27" s="19" t="inlineStr">
        <is>
          <t>EA</t>
        </is>
      </c>
      <c r="B27" s="20" t="n">
        <v>4419322</v>
      </c>
      <c r="C27" s="20" t="n">
        <v>0</v>
      </c>
      <c r="D27" s="20" t="inlineStr">
        <is>
          <t>0.000710</t>
        </is>
      </c>
      <c r="E27" s="20" t="inlineStr">
        <is>
          <t>0.336 SOL</t>
        </is>
      </c>
      <c r="F27" s="20" t="inlineStr">
        <is>
          <t>0.000 SOL</t>
        </is>
      </c>
      <c r="G27" s="17" t="inlineStr">
        <is>
          <t>-0.337 SOL</t>
        </is>
      </c>
      <c r="H27" s="17" t="inlineStr">
        <is>
          <t>0.00%</t>
        </is>
      </c>
      <c r="I27" s="20" t="inlineStr">
        <is>
          <t>4,419,322</t>
        </is>
      </c>
      <c r="J27" s="20" t="n">
        <v>1</v>
      </c>
      <c r="K27" s="20" t="n">
        <v>0</v>
      </c>
      <c r="L27" s="20" t="inlineStr">
        <is>
          <t>30.10.2024 09:31:44</t>
        </is>
      </c>
      <c r="M27" s="18" t="inlineStr">
        <is>
          <t>0 sec</t>
        </is>
      </c>
      <c r="N27" s="20" t="inlineStr">
        <is>
          <t xml:space="preserve">         14K            14K             5K</t>
        </is>
      </c>
      <c r="O27" s="20" t="inlineStr">
        <is>
          <t>Ffaxk9jV1xA7abZ36dyGanAk6gNbGMszTZ5JFMXhpump</t>
        </is>
      </c>
      <c r="P27" s="20">
        <f>HYPERLINK("https://photon-sol.tinyastro.io/en/lp/Ffaxk9jV1xA7abZ36dyGanAk6gNbGMszTZ5JFMXhpump?handle=676050794bc1b1657a56b", "View")</f>
        <v/>
      </c>
    </row>
    <row r="28">
      <c r="A28" s="15" t="inlineStr">
        <is>
          <t>69.420%</t>
        </is>
      </c>
      <c r="B28" s="16" t="n">
        <v>2113163</v>
      </c>
      <c r="C28" s="16" t="n">
        <v>0</v>
      </c>
      <c r="D28" s="16" t="inlineStr">
        <is>
          <t>0.000710</t>
        </is>
      </c>
      <c r="E28" s="16" t="inlineStr">
        <is>
          <t>0.377 SOL</t>
        </is>
      </c>
      <c r="F28" s="16" t="inlineStr">
        <is>
          <t>0.000 SOL</t>
        </is>
      </c>
      <c r="G28" s="17" t="inlineStr">
        <is>
          <t>-0.378 SOL</t>
        </is>
      </c>
      <c r="H28" s="17" t="inlineStr">
        <is>
          <t>0.00%</t>
        </is>
      </c>
      <c r="I28" s="16" t="inlineStr">
        <is>
          <t>2,113,163</t>
        </is>
      </c>
      <c r="J28" s="16" t="n">
        <v>1</v>
      </c>
      <c r="K28" s="16" t="n">
        <v>0</v>
      </c>
      <c r="L28" s="16" t="inlineStr">
        <is>
          <t>30.10.2024 09:25:56</t>
        </is>
      </c>
      <c r="M28" s="18" t="inlineStr">
        <is>
          <t>0 sec</t>
        </is>
      </c>
      <c r="N28" s="16" t="inlineStr">
        <is>
          <t xml:space="preserve">         32K            32K            35K</t>
        </is>
      </c>
      <c r="O28" s="16" t="inlineStr">
        <is>
          <t>Djv9h45qTD1Bf9KrePGDecHB9ynreMHssDTQkLrupump</t>
        </is>
      </c>
      <c r="P28" s="16">
        <f>HYPERLINK("https://photon-sol.tinyastro.io/en/lp/Djv9h45qTD1Bf9KrePGDecHB9ynreMHssDTQkLrupump?handle=676050794bc1b1657a56b", "View")</f>
        <v/>
      </c>
    </row>
    <row r="29">
      <c r="A29" s="19" t="inlineStr">
        <is>
          <t>Catdets</t>
        </is>
      </c>
      <c r="B29" s="20" t="n">
        <v>9561617</v>
      </c>
      <c r="C29" s="20" t="n">
        <v>0</v>
      </c>
      <c r="D29" s="20" t="inlineStr">
        <is>
          <t>0.000710</t>
        </is>
      </c>
      <c r="E29" s="20" t="inlineStr">
        <is>
          <t>0.289 SOL</t>
        </is>
      </c>
      <c r="F29" s="20" t="inlineStr">
        <is>
          <t>0.000 SOL</t>
        </is>
      </c>
      <c r="G29" s="17" t="inlineStr">
        <is>
          <t>-0.289 SOL</t>
        </is>
      </c>
      <c r="H29" s="17" t="inlineStr">
        <is>
          <t>0.00%</t>
        </is>
      </c>
      <c r="I29" s="20" t="inlineStr">
        <is>
          <t>9,561,617</t>
        </is>
      </c>
      <c r="J29" s="20" t="n">
        <v>1</v>
      </c>
      <c r="K29" s="20" t="n">
        <v>0</v>
      </c>
      <c r="L29" s="20" t="inlineStr">
        <is>
          <t>30.10.2024 08:27:22</t>
        </is>
      </c>
      <c r="M29" s="18" t="inlineStr">
        <is>
          <t>0 sec</t>
        </is>
      </c>
      <c r="N29" s="20" t="inlineStr">
        <is>
          <t xml:space="preserve">          5K             5K             5K</t>
        </is>
      </c>
      <c r="O29" s="20" t="inlineStr">
        <is>
          <t>6cf3ZvWPhaVo6Reoz5YqYwJ9anuBkWvqgnksHLf6pump</t>
        </is>
      </c>
      <c r="P29" s="20">
        <f>HYPERLINK("https://photon-sol.tinyastro.io/en/lp/6cf3ZvWPhaVo6Reoz5YqYwJ9anuBkWvqgnksHLf6pump?handle=676050794bc1b1657a56b", "View")</f>
        <v/>
      </c>
    </row>
    <row r="30">
      <c r="A30" s="15" t="inlineStr">
        <is>
          <t>WYR</t>
        </is>
      </c>
      <c r="B30" s="16" t="n">
        <v>1119130</v>
      </c>
      <c r="C30" s="16" t="n">
        <v>0</v>
      </c>
      <c r="D30" s="16" t="inlineStr">
        <is>
          <t>0.000710</t>
        </is>
      </c>
      <c r="E30" s="16" t="inlineStr">
        <is>
          <t>0.495 SOL</t>
        </is>
      </c>
      <c r="F30" s="16" t="inlineStr">
        <is>
          <t>0.000 SOL</t>
        </is>
      </c>
      <c r="G30" s="17" t="inlineStr">
        <is>
          <t>-0.496 SOL</t>
        </is>
      </c>
      <c r="H30" s="17" t="inlineStr">
        <is>
          <t>0.00%</t>
        </is>
      </c>
      <c r="I30" s="16" t="inlineStr">
        <is>
          <t>1,119,130</t>
        </is>
      </c>
      <c r="J30" s="16" t="n">
        <v>1</v>
      </c>
      <c r="K30" s="16" t="n">
        <v>0</v>
      </c>
      <c r="L30" s="16" t="inlineStr">
        <is>
          <t>30.10.2024 08:10:08</t>
        </is>
      </c>
      <c r="M30" s="18" t="inlineStr">
        <is>
          <t>0 sec</t>
        </is>
      </c>
      <c r="N30" s="16" t="inlineStr">
        <is>
          <t xml:space="preserve">         77K            77K            11K</t>
        </is>
      </c>
      <c r="O30" s="16" t="inlineStr">
        <is>
          <t>7595tbPqDXijgZ3q2raR9aS311agcokwAJ21aczVpump</t>
        </is>
      </c>
      <c r="P30" s="16">
        <f>HYPERLINK("https://dexscreener.com/solana/7595tbPqDXijgZ3q2raR9aS311agcokwAJ21aczVpump", "View")</f>
        <v/>
      </c>
    </row>
    <row r="31">
      <c r="A31" s="19" t="inlineStr">
        <is>
          <t>WYR</t>
        </is>
      </c>
      <c r="B31" s="20" t="n">
        <v>1957790</v>
      </c>
      <c r="C31" s="20" t="n">
        <v>0</v>
      </c>
      <c r="D31" s="20" t="inlineStr">
        <is>
          <t>0.000710</t>
        </is>
      </c>
      <c r="E31" s="20" t="inlineStr">
        <is>
          <t>0.495 SOL</t>
        </is>
      </c>
      <c r="F31" s="20" t="inlineStr">
        <is>
          <t>0.000 SOL</t>
        </is>
      </c>
      <c r="G31" s="17" t="inlineStr">
        <is>
          <t>-0.496 SOL</t>
        </is>
      </c>
      <c r="H31" s="17" t="inlineStr">
        <is>
          <t>0.00%</t>
        </is>
      </c>
      <c r="I31" s="20" t="inlineStr">
        <is>
          <t>1,957,790</t>
        </is>
      </c>
      <c r="J31" s="20" t="n">
        <v>1</v>
      </c>
      <c r="K31" s="20" t="n">
        <v>0</v>
      </c>
      <c r="L31" s="20" t="inlineStr">
        <is>
          <t>30.10.2024 07:44:22</t>
        </is>
      </c>
      <c r="M31" s="18" t="inlineStr">
        <is>
          <t>0 sec</t>
        </is>
      </c>
      <c r="N31" s="20" t="inlineStr">
        <is>
          <t xml:space="preserve">         44K            44K             5K</t>
        </is>
      </c>
      <c r="O31" s="20" t="inlineStr">
        <is>
          <t>2CtwtX2A3jXgxG8WFJThQiNZpHzvqiCVwNU4za9fWH23</t>
        </is>
      </c>
      <c r="P31" s="20">
        <f>HYPERLINK("https://dexscreener.com/solana/2CtwtX2A3jXgxG8WFJThQiNZpHzvqiCVwNU4za9fWH23", "View")</f>
        <v/>
      </c>
    </row>
    <row r="32">
      <c r="A32" s="15" t="inlineStr">
        <is>
          <t>ALPHACIRCL</t>
        </is>
      </c>
      <c r="B32" s="16" t="n">
        <v>1929834</v>
      </c>
      <c r="C32" s="16" t="n">
        <v>0</v>
      </c>
      <c r="D32" s="16" t="inlineStr">
        <is>
          <t>0.000710</t>
        </is>
      </c>
      <c r="E32" s="16" t="inlineStr">
        <is>
          <t>0.381 SOL</t>
        </is>
      </c>
      <c r="F32" s="16" t="inlineStr">
        <is>
          <t>0.000 SOL</t>
        </is>
      </c>
      <c r="G32" s="17" t="inlineStr">
        <is>
          <t>-0.382 SOL</t>
        </is>
      </c>
      <c r="H32" s="17" t="inlineStr">
        <is>
          <t>0.00%</t>
        </is>
      </c>
      <c r="I32" s="16" t="inlineStr">
        <is>
          <t>1,929,834</t>
        </is>
      </c>
      <c r="J32" s="16" t="n">
        <v>1</v>
      </c>
      <c r="K32" s="16" t="n">
        <v>0</v>
      </c>
      <c r="L32" s="16" t="inlineStr">
        <is>
          <t>30.10.2024 07:08:29</t>
        </is>
      </c>
      <c r="M32" s="18" t="inlineStr">
        <is>
          <t>0 sec</t>
        </is>
      </c>
      <c r="N32" s="16" t="inlineStr">
        <is>
          <t xml:space="preserve">         34K            34K            58K</t>
        </is>
      </c>
      <c r="O32" s="16" t="inlineStr">
        <is>
          <t>32GkYeFscJRLH1ZYxzg52kQxcTQxRK49cn87vGtHpump</t>
        </is>
      </c>
      <c r="P32" s="16">
        <f>HYPERLINK("https://photon-sol.tinyastro.io/en/lp/32GkYeFscJRLH1ZYxzg52kQxcTQxRK49cn87vGtHpump?handle=676050794bc1b1657a56b", "View")</f>
        <v/>
      </c>
    </row>
    <row r="33">
      <c r="A33" s="19" t="inlineStr">
        <is>
          <t>NUTBUTT</t>
        </is>
      </c>
      <c r="B33" s="20" t="n">
        <v>251382</v>
      </c>
      <c r="C33" s="20" t="n">
        <v>0</v>
      </c>
      <c r="D33" s="20" t="inlineStr">
        <is>
          <t>0.000710</t>
        </is>
      </c>
      <c r="E33" s="20" t="inlineStr">
        <is>
          <t>0.500 SOL</t>
        </is>
      </c>
      <c r="F33" s="20" t="inlineStr">
        <is>
          <t>0.000 SOL</t>
        </is>
      </c>
      <c r="G33" s="17" t="inlineStr">
        <is>
          <t>-0.501 SOL</t>
        </is>
      </c>
      <c r="H33" s="17" t="inlineStr">
        <is>
          <t>0.00%</t>
        </is>
      </c>
      <c r="I33" s="20" t="inlineStr">
        <is>
          <t>251,382</t>
        </is>
      </c>
      <c r="J33" s="20" t="n">
        <v>1</v>
      </c>
      <c r="K33" s="20" t="n">
        <v>0</v>
      </c>
      <c r="L33" s="20" t="inlineStr">
        <is>
          <t>30.10.2024 03:12:39</t>
        </is>
      </c>
      <c r="M33" s="18" t="inlineStr">
        <is>
          <t>0 sec</t>
        </is>
      </c>
      <c r="N33" s="20" t="inlineStr">
        <is>
          <t xml:space="preserve">        350K           350K           657K</t>
        </is>
      </c>
      <c r="O33" s="20" t="inlineStr">
        <is>
          <t>CFBYjzT357obRmihT9F5uyCY3kqgksRvXKM3RJN1pump</t>
        </is>
      </c>
      <c r="P33" s="20">
        <f>HYPERLINK("https://dexscreener.com/solana/CFBYjzT357obRmihT9F5uyCY3kqgksRvXKM3RJN1pump", "View")</f>
        <v/>
      </c>
    </row>
    <row r="34">
      <c r="A34" s="15" t="inlineStr">
        <is>
          <t>mofa</t>
        </is>
      </c>
      <c r="B34" s="16" t="n">
        <v>806208</v>
      </c>
      <c r="C34" s="16" t="n">
        <v>0</v>
      </c>
      <c r="D34" s="16" t="inlineStr">
        <is>
          <t>0.000710</t>
        </is>
      </c>
      <c r="E34" s="16" t="inlineStr">
        <is>
          <t>0.247 SOL</t>
        </is>
      </c>
      <c r="F34" s="16" t="inlineStr">
        <is>
          <t>0.000 SOL</t>
        </is>
      </c>
      <c r="G34" s="17" t="inlineStr">
        <is>
          <t>-0.248 SOL</t>
        </is>
      </c>
      <c r="H34" s="17" t="inlineStr">
        <is>
          <t>0.00%</t>
        </is>
      </c>
      <c r="I34" s="16" t="inlineStr">
        <is>
          <t>806,208</t>
        </is>
      </c>
      <c r="J34" s="16" t="n">
        <v>1</v>
      </c>
      <c r="K34" s="16" t="n">
        <v>0</v>
      </c>
      <c r="L34" s="16" t="inlineStr">
        <is>
          <t>30.10.2024 03:11:00</t>
        </is>
      </c>
      <c r="M34" s="18" t="inlineStr">
        <is>
          <t>0 sec</t>
        </is>
      </c>
      <c r="N34" s="16" t="inlineStr">
        <is>
          <t xml:space="preserve">         54K            54K            18K</t>
        </is>
      </c>
      <c r="O34" s="16" t="inlineStr">
        <is>
          <t>2aVCSF8R74m5Nh18nXUSx1YDNS3Zxj2kQCa3mrdgpump</t>
        </is>
      </c>
      <c r="P34" s="16">
        <f>HYPERLINK("https://dexscreener.com/solana/2aVCSF8R74m5Nh18nXUSx1YDNS3Zxj2kQCa3mrdgpump", "View")</f>
        <v/>
      </c>
    </row>
    <row r="35">
      <c r="A35" s="19" t="inlineStr">
        <is>
          <t>Delrey</t>
        </is>
      </c>
      <c r="B35" s="20" t="n">
        <v>3481809</v>
      </c>
      <c r="C35" s="20" t="n">
        <v>3481809</v>
      </c>
      <c r="D35" s="20" t="inlineStr">
        <is>
          <t>0.001410</t>
        </is>
      </c>
      <c r="E35" s="20" t="inlineStr">
        <is>
          <t>0.331 SOL</t>
        </is>
      </c>
      <c r="F35" s="20" t="inlineStr">
        <is>
          <t>0.112 SOL</t>
        </is>
      </c>
      <c r="G35" s="24" t="inlineStr">
        <is>
          <t>-0.220 SOL</t>
        </is>
      </c>
      <c r="H35" s="24" t="inlineStr">
        <is>
          <t>-66.38%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29.10.2024 21:02:37</t>
        </is>
      </c>
      <c r="M35" s="20" t="inlineStr">
        <is>
          <t>1 min</t>
        </is>
      </c>
      <c r="N35" s="20" t="inlineStr">
        <is>
          <t xml:space="preserve">         16K            16K             5K</t>
        </is>
      </c>
      <c r="O35" s="20" t="inlineStr">
        <is>
          <t>7CikmYdm5NDb4edDuJh2cpjiihBbbNiALobekcpUpump</t>
        </is>
      </c>
      <c r="P35" s="20">
        <f>HYPERLINK("https://photon-sol.tinyastro.io/en/lp/7CikmYdm5NDb4edDuJh2cpjiihBbbNiALobekcpUpump?handle=676050794bc1b1657a56b", "View")</f>
        <v/>
      </c>
    </row>
    <row r="36">
      <c r="A36" s="15" t="inlineStr">
        <is>
          <t>฿itcoin</t>
        </is>
      </c>
      <c r="B36" s="16" t="n">
        <v>1992338</v>
      </c>
      <c r="C36" s="16" t="n">
        <v>1992338</v>
      </c>
      <c r="D36" s="16" t="inlineStr">
        <is>
          <t>0.001410</t>
        </is>
      </c>
      <c r="E36" s="16" t="inlineStr">
        <is>
          <t>0.347 SOL</t>
        </is>
      </c>
      <c r="F36" s="16" t="inlineStr">
        <is>
          <t>0.062 SOL</t>
        </is>
      </c>
      <c r="G36" s="24" t="inlineStr">
        <is>
          <t>-0.287 SOL</t>
        </is>
      </c>
      <c r="H36" s="24" t="inlineStr">
        <is>
          <t>-82.31%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29.10.2024 20:09:36</t>
        </is>
      </c>
      <c r="M36" s="16" t="inlineStr">
        <is>
          <t>14 min</t>
        </is>
      </c>
      <c r="N36" s="16" t="inlineStr">
        <is>
          <t xml:space="preserve">         30K             5K             5K</t>
        </is>
      </c>
      <c r="O36" s="16" t="inlineStr">
        <is>
          <t>HpDFmLyMnxafwZZEPiJ65JZYvPxgCN5txusaAEvnpump</t>
        </is>
      </c>
      <c r="P36" s="16">
        <f>HYPERLINK("https://photon-sol.tinyastro.io/en/lp/HpDFmLyMnxafwZZEPiJ65JZYvPxgCN5txusaAEvnpump?handle=676050794bc1b1657a56b", "View")</f>
        <v/>
      </c>
    </row>
    <row r="37">
      <c r="A37" s="19" t="inlineStr">
        <is>
          <t>Qcats</t>
        </is>
      </c>
      <c r="B37" s="20" t="n">
        <v>1647194</v>
      </c>
      <c r="C37" s="20" t="n">
        <v>0</v>
      </c>
      <c r="D37" s="20" t="inlineStr">
        <is>
          <t>0.000710</t>
        </is>
      </c>
      <c r="E37" s="20" t="inlineStr">
        <is>
          <t>0.210 SOL</t>
        </is>
      </c>
      <c r="F37" s="20" t="inlineStr">
        <is>
          <t>0.000 SOL</t>
        </is>
      </c>
      <c r="G37" s="17" t="inlineStr">
        <is>
          <t>-0.211 SOL</t>
        </is>
      </c>
      <c r="H37" s="17" t="inlineStr">
        <is>
          <t>0.00%</t>
        </is>
      </c>
      <c r="I37" s="20" t="inlineStr">
        <is>
          <t>1,647,194</t>
        </is>
      </c>
      <c r="J37" s="20" t="n">
        <v>1</v>
      </c>
      <c r="K37" s="20" t="n">
        <v>0</v>
      </c>
      <c r="L37" s="20" t="inlineStr">
        <is>
          <t>29.10.2024 17:46:04</t>
        </is>
      </c>
      <c r="M37" s="18" t="inlineStr">
        <is>
          <t>0 sec</t>
        </is>
      </c>
      <c r="N37" s="20" t="inlineStr">
        <is>
          <t xml:space="preserve">         23K            23K             5K</t>
        </is>
      </c>
      <c r="O37" s="20" t="inlineStr">
        <is>
          <t>95kXx8ZyrRQfNHaHfDD6KyfR7gisCMSnmVrZU2QbPSaq</t>
        </is>
      </c>
      <c r="P37" s="20">
        <f>HYPERLINK("https://photon-sol.tinyastro.io/en/lp/95kXx8ZyrRQfNHaHfDD6KyfR7gisCMSnmVrZU2QbPSaq?handle=676050794bc1b1657a56b", "View")</f>
        <v/>
      </c>
    </row>
    <row r="38">
      <c r="A38" s="15" t="inlineStr">
        <is>
          <t>KANO</t>
        </is>
      </c>
      <c r="B38" s="16" t="n">
        <v>1473512</v>
      </c>
      <c r="C38" s="16" t="n">
        <v>0</v>
      </c>
      <c r="D38" s="16" t="inlineStr">
        <is>
          <t>0.000710</t>
        </is>
      </c>
      <c r="E38" s="16" t="inlineStr">
        <is>
          <t>0.224 SOL</t>
        </is>
      </c>
      <c r="F38" s="16" t="inlineStr">
        <is>
          <t>0.000 SOL</t>
        </is>
      </c>
      <c r="G38" s="17" t="inlineStr">
        <is>
          <t>-0.225 SOL</t>
        </is>
      </c>
      <c r="H38" s="17" t="inlineStr">
        <is>
          <t>0.00%</t>
        </is>
      </c>
      <c r="I38" s="16" t="inlineStr">
        <is>
          <t>1,473,512</t>
        </is>
      </c>
      <c r="J38" s="16" t="n">
        <v>1</v>
      </c>
      <c r="K38" s="16" t="n">
        <v>0</v>
      </c>
      <c r="L38" s="16" t="inlineStr">
        <is>
          <t>29.10.2024 17:33:56</t>
        </is>
      </c>
      <c r="M38" s="18" t="inlineStr">
        <is>
          <t>0 sec</t>
        </is>
      </c>
      <c r="N38" s="16" t="inlineStr">
        <is>
          <t xml:space="preserve">         26K            26K             5K</t>
        </is>
      </c>
      <c r="O38" s="16" t="inlineStr">
        <is>
          <t>7LoZyi93eNYz7WYWs3N7gxzPf3mLRj68wy82Tfu2pump</t>
        </is>
      </c>
      <c r="P38" s="16">
        <f>HYPERLINK("https://photon-sol.tinyastro.io/en/lp/7LoZyi93eNYz7WYWs3N7gxzPf3mLRj68wy82Tfu2pump?handle=676050794bc1b1657a56b", "View")</f>
        <v/>
      </c>
    </row>
    <row r="39">
      <c r="A39" s="19" t="inlineStr">
        <is>
          <t>holy shit</t>
        </is>
      </c>
      <c r="B39" s="20" t="n">
        <v>206334</v>
      </c>
      <c r="C39" s="20" t="n">
        <v>0</v>
      </c>
      <c r="D39" s="20" t="inlineStr">
        <is>
          <t>0.000710</t>
        </is>
      </c>
      <c r="E39" s="20" t="inlineStr">
        <is>
          <t>0.500 SOL</t>
        </is>
      </c>
      <c r="F39" s="20" t="inlineStr">
        <is>
          <t>0.000 SOL</t>
        </is>
      </c>
      <c r="G39" s="17" t="inlineStr">
        <is>
          <t>-0.501 SOL</t>
        </is>
      </c>
      <c r="H39" s="17" t="inlineStr">
        <is>
          <t>0.00%</t>
        </is>
      </c>
      <c r="I39" s="20" t="inlineStr">
        <is>
          <t>206,334</t>
        </is>
      </c>
      <c r="J39" s="20" t="n">
        <v>1</v>
      </c>
      <c r="K39" s="20" t="n">
        <v>0</v>
      </c>
      <c r="L39" s="20" t="inlineStr">
        <is>
          <t>29.10.2024 17:09:59</t>
        </is>
      </c>
      <c r="M39" s="18" t="inlineStr">
        <is>
          <t>0 sec</t>
        </is>
      </c>
      <c r="N39" s="20" t="inlineStr">
        <is>
          <t xml:space="preserve">        424K           424K             8K</t>
        </is>
      </c>
      <c r="O39" s="20" t="inlineStr">
        <is>
          <t>6iB7vcB6bcB5BGVf2gFXTvH2DfUeCiaT4FE9VYBQpump</t>
        </is>
      </c>
      <c r="P39" s="20">
        <f>HYPERLINK("https://dexscreener.com/solana/6iB7vcB6bcB5BGVf2gFXTvH2DfUeCiaT4FE9VYBQpump", "View")</f>
        <v/>
      </c>
    </row>
    <row r="40">
      <c r="A40" s="15" t="inlineStr">
        <is>
          <t>Mr.Noodles</t>
        </is>
      </c>
      <c r="B40" s="16" t="n">
        <v>3451133</v>
      </c>
      <c r="C40" s="16" t="n">
        <v>0</v>
      </c>
      <c r="D40" s="16" t="inlineStr">
        <is>
          <t>0.000710</t>
        </is>
      </c>
      <c r="E40" s="16" t="inlineStr">
        <is>
          <t>0.500 SOL</t>
        </is>
      </c>
      <c r="F40" s="16" t="inlineStr">
        <is>
          <t>0.000 SOL</t>
        </is>
      </c>
      <c r="G40" s="17" t="inlineStr">
        <is>
          <t>-0.501 SOL</t>
        </is>
      </c>
      <c r="H40" s="17" t="inlineStr">
        <is>
          <t>0.00%</t>
        </is>
      </c>
      <c r="I40" s="16" t="inlineStr">
        <is>
          <t>3,451,133</t>
        </is>
      </c>
      <c r="J40" s="16" t="n">
        <v>1</v>
      </c>
      <c r="K40" s="16" t="n">
        <v>0</v>
      </c>
      <c r="L40" s="16" t="inlineStr">
        <is>
          <t>29.10.2024 17:06:47</t>
        </is>
      </c>
      <c r="M40" s="18" t="inlineStr">
        <is>
          <t>0 sec</t>
        </is>
      </c>
      <c r="N40" s="16" t="inlineStr">
        <is>
          <t xml:space="preserve">         25K            25K             8K</t>
        </is>
      </c>
      <c r="O40" s="16" t="inlineStr">
        <is>
          <t>9jso3Fzdp8xuLXXbRuMAzZqpnp9U2Dn5s17Bxr11pump</t>
        </is>
      </c>
      <c r="P40" s="16">
        <f>HYPERLINK("https://dexscreener.com/solana/9jso3Fzdp8xuLXXbRuMAzZqpnp9U2Dn5s17Bxr11pump", "View")</f>
        <v/>
      </c>
    </row>
    <row r="41">
      <c r="A41" s="19" t="inlineStr">
        <is>
          <t>HC</t>
        </is>
      </c>
      <c r="B41" s="20" t="n">
        <v>183550</v>
      </c>
      <c r="C41" s="20" t="n">
        <v>0</v>
      </c>
      <c r="D41" s="20" t="inlineStr">
        <is>
          <t>0.000710</t>
        </is>
      </c>
      <c r="E41" s="20" t="inlineStr">
        <is>
          <t>0.500 SOL</t>
        </is>
      </c>
      <c r="F41" s="20" t="inlineStr">
        <is>
          <t>0.000 SOL</t>
        </is>
      </c>
      <c r="G41" s="17" t="inlineStr">
        <is>
          <t>-0.501 SOL</t>
        </is>
      </c>
      <c r="H41" s="17" t="inlineStr">
        <is>
          <t>0.00%</t>
        </is>
      </c>
      <c r="I41" s="20" t="inlineStr">
        <is>
          <t>183,550</t>
        </is>
      </c>
      <c r="J41" s="20" t="n">
        <v>1</v>
      </c>
      <c r="K41" s="20" t="n">
        <v>0</v>
      </c>
      <c r="L41" s="20" t="inlineStr">
        <is>
          <t>29.10.2024 16:57:17</t>
        </is>
      </c>
      <c r="M41" s="18" t="inlineStr">
        <is>
          <t>0 sec</t>
        </is>
      </c>
      <c r="N41" s="20" t="inlineStr">
        <is>
          <t xml:space="preserve">        478K           478K             8K</t>
        </is>
      </c>
      <c r="O41" s="20" t="inlineStr">
        <is>
          <t>6YHvVQ5B7tBbwmG4tU4ESbRKQKeiVBoE3q6u6sCWpump</t>
        </is>
      </c>
      <c r="P41" s="20">
        <f>HYPERLINK("https://dexscreener.com/solana/6YHvVQ5B7tBbwmG4tU4ESbRKQKeiVBoE3q6u6sCWpump", "View")</f>
        <v/>
      </c>
    </row>
    <row r="42">
      <c r="A42" s="15" t="inlineStr">
        <is>
          <t>DIANA</t>
        </is>
      </c>
      <c r="B42" s="16" t="n">
        <v>4344556</v>
      </c>
      <c r="C42" s="16" t="n">
        <v>0</v>
      </c>
      <c r="D42" s="16" t="inlineStr">
        <is>
          <t>0.000710</t>
        </is>
      </c>
      <c r="E42" s="16" t="inlineStr">
        <is>
          <t>0.250 SOL</t>
        </is>
      </c>
      <c r="F42" s="16" t="inlineStr">
        <is>
          <t>0.000 SOL</t>
        </is>
      </c>
      <c r="G42" s="17" t="inlineStr">
        <is>
          <t>-0.251 SOL</t>
        </is>
      </c>
      <c r="H42" s="17" t="inlineStr">
        <is>
          <t>0.00%</t>
        </is>
      </c>
      <c r="I42" s="16" t="inlineStr">
        <is>
          <t>4,344,556</t>
        </is>
      </c>
      <c r="J42" s="16" t="n">
        <v>1</v>
      </c>
      <c r="K42" s="16" t="n">
        <v>0</v>
      </c>
      <c r="L42" s="16" t="inlineStr">
        <is>
          <t>29.10.2024 16:50:43</t>
        </is>
      </c>
      <c r="M42" s="18" t="inlineStr">
        <is>
          <t>0 sec</t>
        </is>
      </c>
      <c r="N42" s="16" t="inlineStr">
        <is>
          <t xml:space="preserve">         11K            11K             4K</t>
        </is>
      </c>
      <c r="O42" s="16" t="inlineStr">
        <is>
          <t>GoxzQqv43D6e4AM9ZB9GtJXAuGsXaSh9nTvSRRnzpump</t>
        </is>
      </c>
      <c r="P42" s="16">
        <f>HYPERLINK("https://dexscreener.com/solana/GoxzQqv43D6e4AM9ZB9GtJXAuGsXaSh9nTvSRRnzpump", "View")</f>
        <v/>
      </c>
    </row>
    <row r="43">
      <c r="A43" s="19" t="inlineStr">
        <is>
          <t>Hanno</t>
        </is>
      </c>
      <c r="B43" s="20" t="n">
        <v>1450521</v>
      </c>
      <c r="C43" s="20" t="n">
        <v>0</v>
      </c>
      <c r="D43" s="20" t="inlineStr">
        <is>
          <t>0.000710</t>
        </is>
      </c>
      <c r="E43" s="20" t="inlineStr">
        <is>
          <t>0.087 SOL</t>
        </is>
      </c>
      <c r="F43" s="20" t="inlineStr">
        <is>
          <t>0.000 SOL</t>
        </is>
      </c>
      <c r="G43" s="17" t="inlineStr">
        <is>
          <t>-0.087 SOL</t>
        </is>
      </c>
      <c r="H43" s="17" t="inlineStr">
        <is>
          <t>0.00%</t>
        </is>
      </c>
      <c r="I43" s="20" t="inlineStr">
        <is>
          <t>1,450,521</t>
        </is>
      </c>
      <c r="J43" s="20" t="n">
        <v>1</v>
      </c>
      <c r="K43" s="20" t="n">
        <v>0</v>
      </c>
      <c r="L43" s="20" t="inlineStr">
        <is>
          <t>29.10.2024 16:45:38</t>
        </is>
      </c>
      <c r="M43" s="18" t="inlineStr">
        <is>
          <t>0 sec</t>
        </is>
      </c>
      <c r="N43" s="20" t="inlineStr">
        <is>
          <t xml:space="preserve">         11K            11K             4K</t>
        </is>
      </c>
      <c r="O43" s="20" t="inlineStr">
        <is>
          <t>HzPd7yoaFNYZKCXepstCr7u8QuMhXF1aBS7NjxNppump</t>
        </is>
      </c>
      <c r="P43" s="20">
        <f>HYPERLINK("https://dexscreener.com/solana/HzPd7yoaFNYZKCXepstCr7u8QuMhXF1aBS7NjxNppump", "View")</f>
        <v/>
      </c>
    </row>
    <row r="44">
      <c r="A44" s="15" t="inlineStr">
        <is>
          <t>ddog</t>
        </is>
      </c>
      <c r="B44" s="16" t="n">
        <v>197454</v>
      </c>
      <c r="C44" s="16" t="n">
        <v>0</v>
      </c>
      <c r="D44" s="16" t="inlineStr">
        <is>
          <t>0.000710</t>
        </is>
      </c>
      <c r="E44" s="16" t="inlineStr">
        <is>
          <t>0.500 SOL</t>
        </is>
      </c>
      <c r="F44" s="16" t="inlineStr">
        <is>
          <t>0.000 SOL</t>
        </is>
      </c>
      <c r="G44" s="17" t="inlineStr">
        <is>
          <t>-0.501 SOL</t>
        </is>
      </c>
      <c r="H44" s="17" t="inlineStr">
        <is>
          <t>0.00%</t>
        </is>
      </c>
      <c r="I44" s="16" t="inlineStr">
        <is>
          <t>197,454</t>
        </is>
      </c>
      <c r="J44" s="16" t="n">
        <v>1</v>
      </c>
      <c r="K44" s="16" t="n">
        <v>0</v>
      </c>
      <c r="L44" s="16" t="inlineStr">
        <is>
          <t>29.10.2024 16:39:57</t>
        </is>
      </c>
      <c r="M44" s="18" t="inlineStr">
        <is>
          <t>0 sec</t>
        </is>
      </c>
      <c r="N44" s="16" t="inlineStr">
        <is>
          <t xml:space="preserve">        444K           444K             8K</t>
        </is>
      </c>
      <c r="O44" s="16" t="inlineStr">
        <is>
          <t>EJdD2Tx4MWzbhjMRAHpTPt7xHTr9wKyDqQtnXH2wpump</t>
        </is>
      </c>
      <c r="P44" s="16">
        <f>HYPERLINK("https://dexscreener.com/solana/EJdD2Tx4MWzbhjMRAHpTPt7xHTr9wKyDqQtnXH2wpump", "View")</f>
        <v/>
      </c>
    </row>
    <row r="45">
      <c r="A45" s="19" t="inlineStr">
        <is>
          <t>ARIES</t>
        </is>
      </c>
      <c r="B45" s="20" t="n">
        <v>1442180</v>
      </c>
      <c r="C45" s="20" t="n">
        <v>0</v>
      </c>
      <c r="D45" s="20" t="inlineStr">
        <is>
          <t>0.000710</t>
        </is>
      </c>
      <c r="E45" s="20" t="inlineStr">
        <is>
          <t>0.074 SOL</t>
        </is>
      </c>
      <c r="F45" s="20" t="inlineStr">
        <is>
          <t>0.000 SOL</t>
        </is>
      </c>
      <c r="G45" s="17" t="inlineStr">
        <is>
          <t>-0.075 SOL</t>
        </is>
      </c>
      <c r="H45" s="17" t="inlineStr">
        <is>
          <t>0.00%</t>
        </is>
      </c>
      <c r="I45" s="20" t="inlineStr">
        <is>
          <t>1,442,180</t>
        </is>
      </c>
      <c r="J45" s="20" t="n">
        <v>1</v>
      </c>
      <c r="K45" s="20" t="n">
        <v>0</v>
      </c>
      <c r="L45" s="20" t="inlineStr">
        <is>
          <t>29.10.2024 16:08:17</t>
        </is>
      </c>
      <c r="M45" s="18" t="inlineStr">
        <is>
          <t>0 sec</t>
        </is>
      </c>
      <c r="N45" s="20" t="inlineStr">
        <is>
          <t xml:space="preserve">          9K             9K             4K</t>
        </is>
      </c>
      <c r="O45" s="20" t="inlineStr">
        <is>
          <t>DyjxrHGPiZYeanHJpSQS8gENSPfZgaqh1MdR4AoFpump</t>
        </is>
      </c>
      <c r="P45" s="20">
        <f>HYPERLINK("https://dexscreener.com/solana/DyjxrHGPiZYeanHJpSQS8gENSPfZgaqh1MdR4AoFpump", "View")</f>
        <v/>
      </c>
    </row>
    <row r="46">
      <c r="A46" s="15" t="inlineStr">
        <is>
          <t>Frida</t>
        </is>
      </c>
      <c r="B46" s="16" t="n">
        <v>1959234</v>
      </c>
      <c r="C46" s="16" t="n">
        <v>0</v>
      </c>
      <c r="D46" s="16" t="inlineStr">
        <is>
          <t>0.000710</t>
        </is>
      </c>
      <c r="E46" s="16" t="inlineStr">
        <is>
          <t>0.247 SOL</t>
        </is>
      </c>
      <c r="F46" s="16" t="inlineStr">
        <is>
          <t>0.000 SOL</t>
        </is>
      </c>
      <c r="G46" s="17" t="inlineStr">
        <is>
          <t>-0.248 SOL</t>
        </is>
      </c>
      <c r="H46" s="17" t="inlineStr">
        <is>
          <t>0.00%</t>
        </is>
      </c>
      <c r="I46" s="16" t="inlineStr">
        <is>
          <t>1,959,234</t>
        </is>
      </c>
      <c r="J46" s="16" t="n">
        <v>1</v>
      </c>
      <c r="K46" s="16" t="n">
        <v>0</v>
      </c>
      <c r="L46" s="16" t="inlineStr">
        <is>
          <t>29.10.2024 16:03:34</t>
        </is>
      </c>
      <c r="M46" s="18" t="inlineStr">
        <is>
          <t>0 sec</t>
        </is>
      </c>
      <c r="N46" s="16" t="inlineStr">
        <is>
          <t xml:space="preserve">         23K            23K             4K</t>
        </is>
      </c>
      <c r="O46" s="16" t="inlineStr">
        <is>
          <t>F8guQLPX3QfWwMTZ8SveQ7TAEYccyCDsayUh5ZoGpump</t>
        </is>
      </c>
      <c r="P46" s="16">
        <f>HYPERLINK("https://dexscreener.com/solana/F8guQLPX3QfWwMTZ8SveQ7TAEYccyCDsayUh5ZoGpump", "View")</f>
        <v/>
      </c>
    </row>
    <row r="47">
      <c r="A47" s="19" t="inlineStr">
        <is>
          <t>Rippus</t>
        </is>
      </c>
      <c r="B47" s="20" t="n">
        <v>229318</v>
      </c>
      <c r="C47" s="20" t="n">
        <v>0</v>
      </c>
      <c r="D47" s="20" t="inlineStr">
        <is>
          <t>0.000710</t>
        </is>
      </c>
      <c r="E47" s="20" t="inlineStr">
        <is>
          <t>0.500 SOL</t>
        </is>
      </c>
      <c r="F47" s="20" t="inlineStr">
        <is>
          <t>0.000 SOL</t>
        </is>
      </c>
      <c r="G47" s="17" t="inlineStr">
        <is>
          <t>-0.501 SOL</t>
        </is>
      </c>
      <c r="H47" s="17" t="inlineStr">
        <is>
          <t>0.00%</t>
        </is>
      </c>
      <c r="I47" s="20" t="inlineStr">
        <is>
          <t>229,318</t>
        </is>
      </c>
      <c r="J47" s="20" t="n">
        <v>1</v>
      </c>
      <c r="K47" s="20" t="n">
        <v>0</v>
      </c>
      <c r="L47" s="20" t="inlineStr">
        <is>
          <t>29.10.2024 15:01:57</t>
        </is>
      </c>
      <c r="M47" s="18" t="inlineStr">
        <is>
          <t>0 sec</t>
        </is>
      </c>
      <c r="N47" s="20" t="inlineStr">
        <is>
          <t xml:space="preserve">        383K           383K            13K</t>
        </is>
      </c>
      <c r="O47" s="20" t="inlineStr">
        <is>
          <t>9AFJZo69ATfqf6qms3kd2hyDg7wKt1MHhr6dg8Tspump</t>
        </is>
      </c>
      <c r="P47" s="20">
        <f>HYPERLINK("https://dexscreener.com/solana/9AFJZo69ATfqf6qms3kd2hyDg7wKt1MHhr6dg8Tspump", "View")</f>
        <v/>
      </c>
    </row>
    <row r="48">
      <c r="A48" s="15" t="inlineStr">
        <is>
          <t>gs</t>
        </is>
      </c>
      <c r="B48" s="16" t="n">
        <v>1027398</v>
      </c>
      <c r="C48" s="16" t="n">
        <v>0</v>
      </c>
      <c r="D48" s="16" t="inlineStr">
        <is>
          <t>0.000710</t>
        </is>
      </c>
      <c r="E48" s="16" t="inlineStr">
        <is>
          <t>0.495 SOL</t>
        </is>
      </c>
      <c r="F48" s="16" t="inlineStr">
        <is>
          <t>0.000 SOL</t>
        </is>
      </c>
      <c r="G48" s="17" t="inlineStr">
        <is>
          <t>-0.496 SOL</t>
        </is>
      </c>
      <c r="H48" s="17" t="inlineStr">
        <is>
          <t>0.00%</t>
        </is>
      </c>
      <c r="I48" s="16" t="inlineStr">
        <is>
          <t>1,027,398</t>
        </is>
      </c>
      <c r="J48" s="16" t="n">
        <v>1</v>
      </c>
      <c r="K48" s="16" t="n">
        <v>0</v>
      </c>
      <c r="L48" s="16" t="inlineStr">
        <is>
          <t>29.10.2024 14:57:12</t>
        </is>
      </c>
      <c r="M48" s="18" t="inlineStr">
        <is>
          <t>0 sec</t>
        </is>
      </c>
      <c r="N48" s="16" t="inlineStr">
        <is>
          <t xml:space="preserve">         84K            84K             4K</t>
        </is>
      </c>
      <c r="O48" s="16" t="inlineStr">
        <is>
          <t>CBAZNZrZtiBB3GToBqCZ9sRiXZV1z81F6ncH9Exqpump</t>
        </is>
      </c>
      <c r="P48" s="16">
        <f>HYPERLINK("https://dexscreener.com/solana/CBAZNZrZtiBB3GToBqCZ9sRiXZV1z81F6ncH9Exqpump", "View")</f>
        <v/>
      </c>
    </row>
    <row r="49">
      <c r="A49" s="19" t="inlineStr">
        <is>
          <t>pixy</t>
        </is>
      </c>
      <c r="B49" s="20" t="n">
        <v>315470</v>
      </c>
      <c r="C49" s="20" t="n">
        <v>0</v>
      </c>
      <c r="D49" s="20" t="inlineStr">
        <is>
          <t>0.000710</t>
        </is>
      </c>
      <c r="E49" s="20" t="inlineStr">
        <is>
          <t>0.500 SOL</t>
        </is>
      </c>
      <c r="F49" s="20" t="inlineStr">
        <is>
          <t>0.000 SOL</t>
        </is>
      </c>
      <c r="G49" s="17" t="inlineStr">
        <is>
          <t>-0.501 SOL</t>
        </is>
      </c>
      <c r="H49" s="17" t="inlineStr">
        <is>
          <t>0.00%</t>
        </is>
      </c>
      <c r="I49" s="20" t="inlineStr">
        <is>
          <t>315,470</t>
        </is>
      </c>
      <c r="J49" s="20" t="n">
        <v>1</v>
      </c>
      <c r="K49" s="20" t="n">
        <v>0</v>
      </c>
      <c r="L49" s="20" t="inlineStr">
        <is>
          <t>29.10.2024 13:03:22</t>
        </is>
      </c>
      <c r="M49" s="18" t="inlineStr">
        <is>
          <t>0 sec</t>
        </is>
      </c>
      <c r="N49" s="20" t="inlineStr">
        <is>
          <t xml:space="preserve">        277K           277K             7K</t>
        </is>
      </c>
      <c r="O49" s="20" t="inlineStr">
        <is>
          <t>EegQmCFNWdhZsh75XUdW2TaM8S13LAGf6JzNgHpxpump</t>
        </is>
      </c>
      <c r="P49" s="20">
        <f>HYPERLINK("https://dexscreener.com/solana/EegQmCFNWdhZsh75XUdW2TaM8S13LAGf6JzNgHpxpump", "View")</f>
        <v/>
      </c>
    </row>
    <row r="50">
      <c r="A50" s="15" t="inlineStr">
        <is>
          <t>TOS</t>
        </is>
      </c>
      <c r="B50" s="16" t="n">
        <v>678240</v>
      </c>
      <c r="C50" s="16" t="n">
        <v>0</v>
      </c>
      <c r="D50" s="16" t="inlineStr">
        <is>
          <t>0.000710</t>
        </is>
      </c>
      <c r="E50" s="16" t="inlineStr">
        <is>
          <t>0.495 SOL</t>
        </is>
      </c>
      <c r="F50" s="16" t="inlineStr">
        <is>
          <t>0.000 SOL</t>
        </is>
      </c>
      <c r="G50" s="17" t="inlineStr">
        <is>
          <t>-0.496 SOL</t>
        </is>
      </c>
      <c r="H50" s="17" t="inlineStr">
        <is>
          <t>0.00%</t>
        </is>
      </c>
      <c r="I50" s="16" t="inlineStr">
        <is>
          <t>678,240</t>
        </is>
      </c>
      <c r="J50" s="16" t="n">
        <v>1</v>
      </c>
      <c r="K50" s="16" t="n">
        <v>0</v>
      </c>
      <c r="L50" s="16" t="inlineStr">
        <is>
          <t>29.10.2024 12:18:57</t>
        </is>
      </c>
      <c r="M50" s="18" t="inlineStr">
        <is>
          <t>0 sec</t>
        </is>
      </c>
      <c r="N50" s="16" t="inlineStr">
        <is>
          <t xml:space="preserve">        128K           128K            17K</t>
        </is>
      </c>
      <c r="O50" s="16" t="inlineStr">
        <is>
          <t>HcSHefAEHNtxbDASQEeMrjjF26FFjMFV7pqfifBXpump</t>
        </is>
      </c>
      <c r="P50" s="16">
        <f>HYPERLINK("https://dexscreener.com/solana/HcSHefAEHNtxbDASQEeMrjjF26FFjMFV7pqfifBXpump", "View")</f>
        <v/>
      </c>
    </row>
    <row r="51">
      <c r="A51" s="19" t="inlineStr">
        <is>
          <t>RURIK</t>
        </is>
      </c>
      <c r="B51" s="20" t="n">
        <v>399501</v>
      </c>
      <c r="C51" s="20" t="n">
        <v>399501</v>
      </c>
      <c r="D51" s="20" t="inlineStr">
        <is>
          <t>0.001110</t>
        </is>
      </c>
      <c r="E51" s="20" t="inlineStr">
        <is>
          <t>0.500 SOL</t>
        </is>
      </c>
      <c r="F51" s="20" t="inlineStr">
        <is>
          <t>0.183 SOL</t>
        </is>
      </c>
      <c r="G51" s="24" t="inlineStr">
        <is>
          <t>-0.318 SOL</t>
        </is>
      </c>
      <c r="H51" s="24" t="inlineStr">
        <is>
          <t>-63.50%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29.10.2024 11:44:10</t>
        </is>
      </c>
      <c r="M51" s="20" t="inlineStr">
        <is>
          <t>1 hours</t>
        </is>
      </c>
      <c r="N51" s="20" t="inlineStr">
        <is>
          <t xml:space="preserve">        220K           220K             6K</t>
        </is>
      </c>
      <c r="O51" s="20" t="inlineStr">
        <is>
          <t>HEYEkK75ZTh5CBbozwWbxJBsjUVygtzuetCxXUjmpump</t>
        </is>
      </c>
      <c r="P51" s="20">
        <f>HYPERLINK("https://dexscreener.com/solana/HEYEkK75ZTh5CBbozwWbxJBsjUVygtzuetCxXUjmpump", "View")</f>
        <v/>
      </c>
    </row>
    <row r="52">
      <c r="A52" s="15" t="inlineStr">
        <is>
          <t>Miggy</t>
        </is>
      </c>
      <c r="B52" s="16" t="n">
        <v>487281</v>
      </c>
      <c r="C52" s="16" t="n">
        <v>0</v>
      </c>
      <c r="D52" s="16" t="inlineStr">
        <is>
          <t>0.000710</t>
        </is>
      </c>
      <c r="E52" s="16" t="inlineStr">
        <is>
          <t>0.500 SOL</t>
        </is>
      </c>
      <c r="F52" s="16" t="inlineStr">
        <is>
          <t>0.000 SOL</t>
        </is>
      </c>
      <c r="G52" s="17" t="inlineStr">
        <is>
          <t>-0.501 SOL</t>
        </is>
      </c>
      <c r="H52" s="17" t="inlineStr">
        <is>
          <t>0.00%</t>
        </is>
      </c>
      <c r="I52" s="16" t="inlineStr">
        <is>
          <t>487,281</t>
        </is>
      </c>
      <c r="J52" s="16" t="n">
        <v>1</v>
      </c>
      <c r="K52" s="16" t="n">
        <v>0</v>
      </c>
      <c r="L52" s="16" t="inlineStr">
        <is>
          <t>29.10.2024 05:42:36</t>
        </is>
      </c>
      <c r="M52" s="18" t="inlineStr">
        <is>
          <t>0 sec</t>
        </is>
      </c>
      <c r="N52" s="16" t="inlineStr">
        <is>
          <t xml:space="preserve">        181K           181K             4K</t>
        </is>
      </c>
      <c r="O52" s="16" t="inlineStr">
        <is>
          <t>58ofVUi8HEDL22i6BMgv4Xycirs7uHgLVqfRiXS7pump</t>
        </is>
      </c>
      <c r="P52" s="16">
        <f>HYPERLINK("https://dexscreener.com/solana/58ofVUi8HEDL22i6BMgv4Xycirs7uHgLVqfRiXS7pump", "View")</f>
        <v/>
      </c>
    </row>
    <row r="53">
      <c r="A53" s="19" t="inlineStr">
        <is>
          <t>Gemma-7b</t>
        </is>
      </c>
      <c r="B53" s="20" t="n">
        <v>515320</v>
      </c>
      <c r="C53" s="20" t="n">
        <v>0</v>
      </c>
      <c r="D53" s="20" t="inlineStr">
        <is>
          <t>0.000710</t>
        </is>
      </c>
      <c r="E53" s="20" t="inlineStr">
        <is>
          <t>0.500 SOL</t>
        </is>
      </c>
      <c r="F53" s="20" t="inlineStr">
        <is>
          <t>0.000 SOL</t>
        </is>
      </c>
      <c r="G53" s="17" t="inlineStr">
        <is>
          <t>-0.501 SOL</t>
        </is>
      </c>
      <c r="H53" s="17" t="inlineStr">
        <is>
          <t>0.00%</t>
        </is>
      </c>
      <c r="I53" s="20" t="inlineStr">
        <is>
          <t>515,320</t>
        </is>
      </c>
      <c r="J53" s="20" t="n">
        <v>1</v>
      </c>
      <c r="K53" s="20" t="n">
        <v>0</v>
      </c>
      <c r="L53" s="20" t="inlineStr">
        <is>
          <t>29.10.2024 04:51:20</t>
        </is>
      </c>
      <c r="M53" s="18" t="inlineStr">
        <is>
          <t>0 sec</t>
        </is>
      </c>
      <c r="N53" s="20" t="inlineStr">
        <is>
          <t xml:space="preserve">        170K           170K             4K</t>
        </is>
      </c>
      <c r="O53" s="20" t="inlineStr">
        <is>
          <t>AFmnF7gsWVmKCvcLM4xFgsZfz4JNLw53d3uAZYLWpump</t>
        </is>
      </c>
      <c r="P53" s="20">
        <f>HYPERLINK("https://dexscreener.com/solana/AFmnF7gsWVmKCvcLM4xFgsZfz4JNLw53d3uAZYLWpump", "View")</f>
        <v/>
      </c>
    </row>
    <row r="54">
      <c r="A54" s="15" t="inlineStr">
        <is>
          <t>AIMC</t>
        </is>
      </c>
      <c r="B54" s="16" t="n">
        <v>292583</v>
      </c>
      <c r="C54" s="16" t="n">
        <v>0</v>
      </c>
      <c r="D54" s="16" t="inlineStr">
        <is>
          <t>0.000710</t>
        </is>
      </c>
      <c r="E54" s="16" t="inlineStr">
        <is>
          <t>0.500 SOL</t>
        </is>
      </c>
      <c r="F54" s="16" t="inlineStr">
        <is>
          <t>0.000 SOL</t>
        </is>
      </c>
      <c r="G54" s="17" t="inlineStr">
        <is>
          <t>-0.501 SOL</t>
        </is>
      </c>
      <c r="H54" s="17" t="inlineStr">
        <is>
          <t>0.00%</t>
        </is>
      </c>
      <c r="I54" s="16" t="inlineStr">
        <is>
          <t>292,583</t>
        </is>
      </c>
      <c r="J54" s="16" t="n">
        <v>1</v>
      </c>
      <c r="K54" s="16" t="n">
        <v>0</v>
      </c>
      <c r="L54" s="16" t="inlineStr">
        <is>
          <t>29.10.2024 03:29:56</t>
        </is>
      </c>
      <c r="M54" s="18" t="inlineStr">
        <is>
          <t>0 sec</t>
        </is>
      </c>
      <c r="N54" s="16" t="inlineStr">
        <is>
          <t xml:space="preserve">        300K           300K             5K</t>
        </is>
      </c>
      <c r="O54" s="16" t="inlineStr">
        <is>
          <t>iByRAnwB6oHjphgaixPkKqno41ida9yqKwwmrsKpump</t>
        </is>
      </c>
      <c r="P54" s="16">
        <f>HYPERLINK("https://dexscreener.com/solana/iByRAnwB6oHjphgaixPkKqno41ida9yqKwwmrsKpump", "View")</f>
        <v/>
      </c>
    </row>
    <row r="55">
      <c r="A55" s="19" t="inlineStr">
        <is>
          <t>TAW</t>
        </is>
      </c>
      <c r="B55" s="20" t="n">
        <v>1088862</v>
      </c>
      <c r="C55" s="20" t="n">
        <v>0</v>
      </c>
      <c r="D55" s="20" t="inlineStr">
        <is>
          <t>0.000710</t>
        </is>
      </c>
      <c r="E55" s="20" t="inlineStr">
        <is>
          <t>0.495 SOL</t>
        </is>
      </c>
      <c r="F55" s="20" t="inlineStr">
        <is>
          <t>0.000 SOL</t>
        </is>
      </c>
      <c r="G55" s="17" t="inlineStr">
        <is>
          <t>-0.496 SOL</t>
        </is>
      </c>
      <c r="H55" s="17" t="inlineStr">
        <is>
          <t>0.00%</t>
        </is>
      </c>
      <c r="I55" s="20" t="inlineStr">
        <is>
          <t>1,088,862</t>
        </is>
      </c>
      <c r="J55" s="20" t="n">
        <v>1</v>
      </c>
      <c r="K55" s="20" t="n">
        <v>0</v>
      </c>
      <c r="L55" s="20" t="inlineStr">
        <is>
          <t>29.10.2024 03:14:51</t>
        </is>
      </c>
      <c r="M55" s="18" t="inlineStr">
        <is>
          <t>0 sec</t>
        </is>
      </c>
      <c r="N55" s="20" t="inlineStr">
        <is>
          <t xml:space="preserve">         79K            79K            11K</t>
        </is>
      </c>
      <c r="O55" s="20" t="inlineStr">
        <is>
          <t>7458jTLdMTuqtfHg1eiPY3vUvDX6RgKZAntATVPDpump</t>
        </is>
      </c>
      <c r="P55" s="20">
        <f>HYPERLINK("https://dexscreener.com/solana/7458jTLdMTuqtfHg1eiPY3vUvDX6RgKZAntATVPDpump", "View")</f>
        <v/>
      </c>
    </row>
    <row r="56">
      <c r="A56" s="15" t="inlineStr">
        <is>
          <t>TRENCH</t>
        </is>
      </c>
      <c r="B56" s="16" t="n">
        <v>2582871</v>
      </c>
      <c r="C56" s="16" t="n">
        <v>2582871</v>
      </c>
      <c r="D56" s="16" t="inlineStr">
        <is>
          <t>0.001110</t>
        </is>
      </c>
      <c r="E56" s="16" t="inlineStr">
        <is>
          <t>0.159 SOL</t>
        </is>
      </c>
      <c r="F56" s="16" t="inlineStr">
        <is>
          <t>0.938 SOL</t>
        </is>
      </c>
      <c r="G56" s="23" t="inlineStr">
        <is>
          <t>0.778 SOL</t>
        </is>
      </c>
      <c r="H56" s="23" t="inlineStr">
        <is>
          <t>487.01%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28.10.2024 16:24:20</t>
        </is>
      </c>
      <c r="M56" s="16" t="inlineStr">
        <is>
          <t>1 hours</t>
        </is>
      </c>
      <c r="N56" s="16" t="inlineStr">
        <is>
          <t xml:space="preserve">         11K            11K             8K</t>
        </is>
      </c>
      <c r="O56" s="16" t="inlineStr">
        <is>
          <t>AnQCNde4nXGG4vT6XGpYJc7tyh1cjwyjC3raeRxnNN4F</t>
        </is>
      </c>
      <c r="P56" s="16">
        <f>HYPERLINK("https://photon-sol.tinyastro.io/en/lp/AnQCNde4nXGG4vT6XGpYJc7tyh1cjwyjC3raeRxnNN4F?handle=676050794bc1b1657a56b", "View")</f>
        <v/>
      </c>
    </row>
    <row r="57">
      <c r="A57" s="19" t="inlineStr">
        <is>
          <t>AHEGAO</t>
        </is>
      </c>
      <c r="B57" s="20" t="n">
        <v>1789083</v>
      </c>
      <c r="C57" s="20" t="n">
        <v>0</v>
      </c>
      <c r="D57" s="20" t="inlineStr">
        <is>
          <t>0.000710</t>
        </is>
      </c>
      <c r="E57" s="20" t="inlineStr">
        <is>
          <t>0.224 SOL</t>
        </is>
      </c>
      <c r="F57" s="20" t="inlineStr">
        <is>
          <t>0.000 SOL</t>
        </is>
      </c>
      <c r="G57" s="17" t="inlineStr">
        <is>
          <t>-0.224 SOL</t>
        </is>
      </c>
      <c r="H57" s="17" t="inlineStr">
        <is>
          <t>0.00%</t>
        </is>
      </c>
      <c r="I57" s="20" t="inlineStr">
        <is>
          <t>1,789,083</t>
        </is>
      </c>
      <c r="J57" s="20" t="n">
        <v>1</v>
      </c>
      <c r="K57" s="20" t="n">
        <v>0</v>
      </c>
      <c r="L57" s="20" t="inlineStr">
        <is>
          <t>28.10.2024 16:10:38</t>
        </is>
      </c>
      <c r="M57" s="18" t="inlineStr">
        <is>
          <t>0 sec</t>
        </is>
      </c>
      <c r="N57" s="20" t="inlineStr">
        <is>
          <t xml:space="preserve">         23K            23K             5K</t>
        </is>
      </c>
      <c r="O57" s="20" t="inlineStr">
        <is>
          <t>3PgU1nJK3NSimGLDpC3BnzVarxNSfcMwwGrt9SF6pump</t>
        </is>
      </c>
      <c r="P57" s="20">
        <f>HYPERLINK("https://photon-sol.tinyastro.io/en/lp/3PgU1nJK3NSimGLDpC3BnzVarxNSfcMwwGrt9SF6pump?handle=676050794bc1b1657a56b", "View")</f>
        <v/>
      </c>
    </row>
    <row r="58">
      <c r="A58" s="15" t="inlineStr">
        <is>
          <t>HOL</t>
        </is>
      </c>
      <c r="B58" s="16" t="n">
        <v>1984145</v>
      </c>
      <c r="C58" s="16" t="n">
        <v>0</v>
      </c>
      <c r="D58" s="16" t="inlineStr">
        <is>
          <t>0.000710</t>
        </is>
      </c>
      <c r="E58" s="16" t="inlineStr">
        <is>
          <t>0.208 SOL</t>
        </is>
      </c>
      <c r="F58" s="16" t="inlineStr">
        <is>
          <t>0.000 SOL</t>
        </is>
      </c>
      <c r="G58" s="17" t="inlineStr">
        <is>
          <t>-0.209 SOL</t>
        </is>
      </c>
      <c r="H58" s="17" t="inlineStr">
        <is>
          <t>0.00%</t>
        </is>
      </c>
      <c r="I58" s="16" t="inlineStr">
        <is>
          <t>1,984,145</t>
        </is>
      </c>
      <c r="J58" s="16" t="n">
        <v>1</v>
      </c>
      <c r="K58" s="16" t="n">
        <v>0</v>
      </c>
      <c r="L58" s="16" t="inlineStr">
        <is>
          <t>28.10.2024 16:03:19</t>
        </is>
      </c>
      <c r="M58" s="18" t="inlineStr">
        <is>
          <t>0 sec</t>
        </is>
      </c>
      <c r="N58" s="16" t="inlineStr">
        <is>
          <t xml:space="preserve">         19K            19K             5K</t>
        </is>
      </c>
      <c r="O58" s="16" t="inlineStr">
        <is>
          <t>HUvjDmYNXL45eaPqi8176ihpYTAMxknr2dUWKN8spump</t>
        </is>
      </c>
      <c r="P58" s="16">
        <f>HYPERLINK("https://photon-sol.tinyastro.io/en/lp/HUvjDmYNXL45eaPqi8176ihpYTAMxknr2dUWKN8spump?handle=676050794bc1b1657a56b", "View")</f>
        <v/>
      </c>
    </row>
    <row r="59">
      <c r="A59" s="19" t="inlineStr">
        <is>
          <t>FISHAI</t>
        </is>
      </c>
      <c r="B59" s="20" t="n">
        <v>1238645</v>
      </c>
      <c r="C59" s="20" t="n">
        <v>0</v>
      </c>
      <c r="D59" s="20" t="inlineStr">
        <is>
          <t>0.000710</t>
        </is>
      </c>
      <c r="E59" s="20" t="inlineStr">
        <is>
          <t>0.249 SOL</t>
        </is>
      </c>
      <c r="F59" s="20" t="inlineStr">
        <is>
          <t>0.000 SOL</t>
        </is>
      </c>
      <c r="G59" s="17" t="inlineStr">
        <is>
          <t>-0.249 SOL</t>
        </is>
      </c>
      <c r="H59" s="17" t="inlineStr">
        <is>
          <t>0.00%</t>
        </is>
      </c>
      <c r="I59" s="20" t="inlineStr">
        <is>
          <t>1,238,645</t>
        </is>
      </c>
      <c r="J59" s="20" t="n">
        <v>1</v>
      </c>
      <c r="K59" s="20" t="n">
        <v>0</v>
      </c>
      <c r="L59" s="20" t="inlineStr">
        <is>
          <t>28.10.2024 16:01:52</t>
        </is>
      </c>
      <c r="M59" s="18" t="inlineStr">
        <is>
          <t>0 sec</t>
        </is>
      </c>
      <c r="N59" s="20" t="inlineStr">
        <is>
          <t xml:space="preserve">         35K            35K             5K</t>
        </is>
      </c>
      <c r="O59" s="20" t="inlineStr">
        <is>
          <t>DCqFw7Pu4eMgWdEqNPDuvLRRaRgD2xbJ6pozMED6pump</t>
        </is>
      </c>
      <c r="P59" s="20">
        <f>HYPERLINK("https://photon-sol.tinyastro.io/en/lp/DCqFw7Pu4eMgWdEqNPDuvLRRaRgD2xbJ6pozMED6pump?handle=676050794bc1b1657a56b", "View")</f>
        <v/>
      </c>
    </row>
    <row r="60">
      <c r="A60" s="15" t="inlineStr">
        <is>
          <t>Dolly</t>
        </is>
      </c>
      <c r="B60" s="16" t="n">
        <v>1549954</v>
      </c>
      <c r="C60" s="16" t="n">
        <v>0</v>
      </c>
      <c r="D60" s="16" t="inlineStr">
        <is>
          <t>0.000710</t>
        </is>
      </c>
      <c r="E60" s="16" t="inlineStr">
        <is>
          <t>0.220 SOL</t>
        </is>
      </c>
      <c r="F60" s="16" t="inlineStr">
        <is>
          <t>0.000 SOL</t>
        </is>
      </c>
      <c r="G60" s="17" t="inlineStr">
        <is>
          <t>-0.220 SOL</t>
        </is>
      </c>
      <c r="H60" s="17" t="inlineStr">
        <is>
          <t>0.00%</t>
        </is>
      </c>
      <c r="I60" s="16" t="inlineStr">
        <is>
          <t>1,549,954</t>
        </is>
      </c>
      <c r="J60" s="16" t="n">
        <v>1</v>
      </c>
      <c r="K60" s="16" t="n">
        <v>0</v>
      </c>
      <c r="L60" s="16" t="inlineStr">
        <is>
          <t>28.10.2024 16:00:01</t>
        </is>
      </c>
      <c r="M60" s="18" t="inlineStr">
        <is>
          <t>0 sec</t>
        </is>
      </c>
      <c r="N60" s="16" t="inlineStr">
        <is>
          <t xml:space="preserve">         25K            25K             5K</t>
        </is>
      </c>
      <c r="O60" s="16" t="inlineStr">
        <is>
          <t>embRm6LVgkHiV4cSwHzuoYRMuW5ybk3GtimnPLrpump</t>
        </is>
      </c>
      <c r="P60" s="16">
        <f>HYPERLINK("https://photon-sol.tinyastro.io/en/lp/embRm6LVgkHiV4cSwHzuoYRMuW5ybk3GtimnPLrpump?handle=676050794bc1b1657a56b", "View")</f>
        <v/>
      </c>
    </row>
    <row r="61">
      <c r="A61" s="19" t="inlineStr">
        <is>
          <t>DCF</t>
        </is>
      </c>
      <c r="B61" s="20" t="n">
        <v>2433338</v>
      </c>
      <c r="C61" s="20" t="n">
        <v>0</v>
      </c>
      <c r="D61" s="20" t="inlineStr">
        <is>
          <t>0.000710</t>
        </is>
      </c>
      <c r="E61" s="20" t="inlineStr">
        <is>
          <t>0.201 SOL</t>
        </is>
      </c>
      <c r="F61" s="20" t="inlineStr">
        <is>
          <t>0.000 SOL</t>
        </is>
      </c>
      <c r="G61" s="17" t="inlineStr">
        <is>
          <t>-0.201 SOL</t>
        </is>
      </c>
      <c r="H61" s="17" t="inlineStr">
        <is>
          <t>0.00%</t>
        </is>
      </c>
      <c r="I61" s="20" t="inlineStr">
        <is>
          <t>2,433,338</t>
        </is>
      </c>
      <c r="J61" s="20" t="n">
        <v>1</v>
      </c>
      <c r="K61" s="20" t="n">
        <v>0</v>
      </c>
      <c r="L61" s="20" t="inlineStr">
        <is>
          <t>28.10.2024 15:57:31</t>
        </is>
      </c>
      <c r="M61" s="18" t="inlineStr">
        <is>
          <t>0 sec</t>
        </is>
      </c>
      <c r="N61" s="20" t="inlineStr">
        <is>
          <t xml:space="preserve">         14K            14K             6K</t>
        </is>
      </c>
      <c r="O61" s="20" t="inlineStr">
        <is>
          <t>5oqmSZe3mYnvda4uuzvif2KGXzx77VzRm8ez4aswpump</t>
        </is>
      </c>
      <c r="P61" s="20">
        <f>HYPERLINK("https://photon-sol.tinyastro.io/en/lp/5oqmSZe3mYnvda4uuzvif2KGXzx77VzRm8ez4aswpump?handle=676050794bc1b1657a56b", "View")</f>
        <v/>
      </c>
    </row>
    <row r="62">
      <c r="A62" s="15" t="inlineStr">
        <is>
          <t>nGPT 𒀭</t>
        </is>
      </c>
      <c r="B62" s="16" t="n">
        <v>4013451</v>
      </c>
      <c r="C62" s="16" t="n">
        <v>0</v>
      </c>
      <c r="D62" s="16" t="inlineStr">
        <is>
          <t>0.000710</t>
        </is>
      </c>
      <c r="E62" s="16" t="inlineStr">
        <is>
          <t>0.191 SOL</t>
        </is>
      </c>
      <c r="F62" s="16" t="inlineStr">
        <is>
          <t>0.000 SOL</t>
        </is>
      </c>
      <c r="G62" s="17" t="inlineStr">
        <is>
          <t>-0.192 SOL</t>
        </is>
      </c>
      <c r="H62" s="17" t="inlineStr">
        <is>
          <t>0.00%</t>
        </is>
      </c>
      <c r="I62" s="16" t="inlineStr">
        <is>
          <t>4,013,451</t>
        </is>
      </c>
      <c r="J62" s="16" t="n">
        <v>1</v>
      </c>
      <c r="K62" s="16" t="n">
        <v>0</v>
      </c>
      <c r="L62" s="16" t="inlineStr">
        <is>
          <t>28.10.2024 15:40:27</t>
        </is>
      </c>
      <c r="M62" s="18" t="inlineStr">
        <is>
          <t>0 sec</t>
        </is>
      </c>
      <c r="N62" s="16" t="inlineStr">
        <is>
          <t xml:space="preserve">          9K             9K             5K</t>
        </is>
      </c>
      <c r="O62" s="16" t="inlineStr">
        <is>
          <t>GqTt3nV6JnhVHSuDFr6DYuLU9zWmwgDc7myeihnQpump</t>
        </is>
      </c>
      <c r="P62" s="16">
        <f>HYPERLINK("https://photon-sol.tinyastro.io/en/lp/GqTt3nV6JnhVHSuDFr6DYuLU9zWmwgDc7myeihnQpump?handle=676050794bc1b1657a56b", "View")</f>
        <v/>
      </c>
    </row>
    <row r="63">
      <c r="A63" s="19" t="inlineStr">
        <is>
          <t>NOBOX</t>
        </is>
      </c>
      <c r="B63" s="20" t="n">
        <v>1287362</v>
      </c>
      <c r="C63" s="20" t="n">
        <v>0</v>
      </c>
      <c r="D63" s="20" t="inlineStr">
        <is>
          <t>0.000710</t>
        </is>
      </c>
      <c r="E63" s="20" t="inlineStr">
        <is>
          <t>0.124 SOL</t>
        </is>
      </c>
      <c r="F63" s="20" t="inlineStr">
        <is>
          <t>0.000 SOL</t>
        </is>
      </c>
      <c r="G63" s="17" t="inlineStr">
        <is>
          <t>-0.124 SOL</t>
        </is>
      </c>
      <c r="H63" s="17" t="inlineStr">
        <is>
          <t>0.00%</t>
        </is>
      </c>
      <c r="I63" s="20" t="inlineStr">
        <is>
          <t>1,287,362</t>
        </is>
      </c>
      <c r="J63" s="20" t="n">
        <v>1</v>
      </c>
      <c r="K63" s="20" t="n">
        <v>0</v>
      </c>
      <c r="L63" s="20" t="inlineStr">
        <is>
          <t>28.10.2024 15:27:20</t>
        </is>
      </c>
      <c r="M63" s="18" t="inlineStr">
        <is>
          <t>0 sec</t>
        </is>
      </c>
      <c r="N63" s="20" t="inlineStr">
        <is>
          <t xml:space="preserve">         18K            18K             4K</t>
        </is>
      </c>
      <c r="O63" s="20" t="inlineStr">
        <is>
          <t>738jvbkArGJ5pr969bzTohhfCqqw4x6mnsxoyJY7pump</t>
        </is>
      </c>
      <c r="P63" s="20">
        <f>HYPERLINK("https://dexscreener.com/solana/738jvbkArGJ5pr969bzTohhfCqqw4x6mnsxoyJY7pump", "View")</f>
        <v/>
      </c>
    </row>
    <row r="64">
      <c r="A64" s="15" t="inlineStr">
        <is>
          <t>xavier</t>
        </is>
      </c>
      <c r="B64" s="16" t="n">
        <v>449013</v>
      </c>
      <c r="C64" s="16" t="n">
        <v>0</v>
      </c>
      <c r="D64" s="16" t="inlineStr">
        <is>
          <t>0.000710</t>
        </is>
      </c>
      <c r="E64" s="16" t="inlineStr">
        <is>
          <t>0.500 SOL</t>
        </is>
      </c>
      <c r="F64" s="16" t="inlineStr">
        <is>
          <t>0.000 SOL</t>
        </is>
      </c>
      <c r="G64" s="17" t="inlineStr">
        <is>
          <t>-0.501 SOL</t>
        </is>
      </c>
      <c r="H64" s="17" t="inlineStr">
        <is>
          <t>0.00%</t>
        </is>
      </c>
      <c r="I64" s="16" t="inlineStr">
        <is>
          <t>449,013</t>
        </is>
      </c>
      <c r="J64" s="16" t="n">
        <v>1</v>
      </c>
      <c r="K64" s="16" t="n">
        <v>0</v>
      </c>
      <c r="L64" s="16" t="inlineStr">
        <is>
          <t>28.10.2024 15:24:23</t>
        </is>
      </c>
      <c r="M64" s="18" t="inlineStr">
        <is>
          <t>0 sec</t>
        </is>
      </c>
      <c r="N64" s="16" t="inlineStr">
        <is>
          <t xml:space="preserve">        195K           195K            39K</t>
        </is>
      </c>
      <c r="O64" s="16" t="inlineStr">
        <is>
          <t>69G8CpUVZAxbPMiEBrfCCCH445NwFxH6PzVL693Xpump</t>
        </is>
      </c>
      <c r="P64" s="16">
        <f>HYPERLINK("https://dexscreener.com/solana/69G8CpUVZAxbPMiEBrfCCCH445NwFxH6PzVL693Xpump", "View")</f>
        <v/>
      </c>
    </row>
    <row r="65">
      <c r="A65" s="19" t="inlineStr">
        <is>
          <t>SirFloyd</t>
        </is>
      </c>
      <c r="B65" s="20" t="n">
        <v>1256777</v>
      </c>
      <c r="C65" s="20" t="n">
        <v>1256777</v>
      </c>
      <c r="D65" s="20" t="inlineStr">
        <is>
          <t>0.002120</t>
        </is>
      </c>
      <c r="E65" s="20" t="inlineStr">
        <is>
          <t>0.208 SOL</t>
        </is>
      </c>
      <c r="F65" s="20" t="inlineStr">
        <is>
          <t>0.096 SOL</t>
        </is>
      </c>
      <c r="G65" s="24" t="inlineStr">
        <is>
          <t>-0.114 SOL</t>
        </is>
      </c>
      <c r="H65" s="24" t="inlineStr">
        <is>
          <t>-54.39%</t>
        </is>
      </c>
      <c r="I65" s="20" t="inlineStr">
        <is>
          <t>N/A</t>
        </is>
      </c>
      <c r="J65" s="20" t="n">
        <v>1</v>
      </c>
      <c r="K65" s="20" t="n">
        <v>2</v>
      </c>
      <c r="L65" s="20" t="inlineStr">
        <is>
          <t>28.10.2024 15:20:27</t>
        </is>
      </c>
      <c r="M65" s="20" t="inlineStr">
        <is>
          <t>2 min</t>
        </is>
      </c>
      <c r="N65" s="20" t="inlineStr">
        <is>
          <t xml:space="preserve">         30K            14K             5K</t>
        </is>
      </c>
      <c r="O65" s="20" t="inlineStr">
        <is>
          <t>sjk6fNpHQEeWvk9sJrKEqTTLVZePbFqyeJSqB7kpump</t>
        </is>
      </c>
      <c r="P65" s="20">
        <f>HYPERLINK("https://photon-sol.tinyastro.io/en/lp/sjk6fNpHQEeWvk9sJrKEqTTLVZePbFqyeJSqB7kpump?handle=676050794bc1b1657a56b", "View")</f>
        <v/>
      </c>
    </row>
    <row r="66">
      <c r="A66" s="15" t="inlineStr">
        <is>
          <t>AllAI</t>
        </is>
      </c>
      <c r="B66" s="16" t="n">
        <v>3180968</v>
      </c>
      <c r="C66" s="16" t="n">
        <v>0</v>
      </c>
      <c r="D66" s="16" t="inlineStr">
        <is>
          <t>0.000710</t>
        </is>
      </c>
      <c r="E66" s="16" t="inlineStr">
        <is>
          <t>0.196 SOL</t>
        </is>
      </c>
      <c r="F66" s="16" t="inlineStr">
        <is>
          <t>0.000 SOL</t>
        </is>
      </c>
      <c r="G66" s="17" t="inlineStr">
        <is>
          <t>-0.197 SOL</t>
        </is>
      </c>
      <c r="H66" s="17" t="inlineStr">
        <is>
          <t>0.00%</t>
        </is>
      </c>
      <c r="I66" s="16" t="inlineStr">
        <is>
          <t>3,180,968</t>
        </is>
      </c>
      <c r="J66" s="16" t="n">
        <v>1</v>
      </c>
      <c r="K66" s="16" t="n">
        <v>0</v>
      </c>
      <c r="L66" s="16" t="inlineStr">
        <is>
          <t>28.10.2024 15:15:08</t>
        </is>
      </c>
      <c r="M66" s="18" t="inlineStr">
        <is>
          <t>0 sec</t>
        </is>
      </c>
      <c r="N66" s="16" t="inlineStr">
        <is>
          <t xml:space="preserve">         11K            11K             5K</t>
        </is>
      </c>
      <c r="O66" s="16" t="inlineStr">
        <is>
          <t>GQobcP4xokNpNK9oKghwDdeACtsw4AyP3Lpq7ghjpump</t>
        </is>
      </c>
      <c r="P66" s="16">
        <f>HYPERLINK("https://photon-sol.tinyastro.io/en/lp/GQobcP4xokNpNK9oKghwDdeACtsw4AyP3Lpq7ghjpump?handle=676050794bc1b1657a56b", "View")</f>
        <v/>
      </c>
    </row>
    <row r="67">
      <c r="A67" s="19" t="inlineStr">
        <is>
          <t>AvatarOS</t>
        </is>
      </c>
      <c r="B67" s="20" t="n">
        <v>532543</v>
      </c>
      <c r="C67" s="20" t="n">
        <v>532543</v>
      </c>
      <c r="D67" s="20" t="inlineStr">
        <is>
          <t>0.001110</t>
        </is>
      </c>
      <c r="E67" s="20" t="inlineStr">
        <is>
          <t>0.500 SOL</t>
        </is>
      </c>
      <c r="F67" s="20" t="inlineStr">
        <is>
          <t>0.690 SOL</t>
        </is>
      </c>
      <c r="G67" s="22" t="inlineStr">
        <is>
          <t>0.189 SOL</t>
        </is>
      </c>
      <c r="H67" s="22" t="inlineStr">
        <is>
          <t>37.79%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28.10.2024 14:54:07</t>
        </is>
      </c>
      <c r="M67" s="20" t="inlineStr">
        <is>
          <t>1 hours</t>
        </is>
      </c>
      <c r="N67" s="20" t="inlineStr">
        <is>
          <t xml:space="preserve">        165K           165K             8K</t>
        </is>
      </c>
      <c r="O67" s="20" t="inlineStr">
        <is>
          <t>8q3PiifMQxnjs1NAETVXw8xMVN8q3Zfuoops9BSjpump</t>
        </is>
      </c>
      <c r="P67" s="20">
        <f>HYPERLINK("https://dexscreener.com/solana/8q3PiifMQxnjs1NAETVXw8xMVN8q3Zfuoops9BSjpump", "View")</f>
        <v/>
      </c>
    </row>
    <row r="68">
      <c r="A68" s="15" t="inlineStr">
        <is>
          <t>LARPAI</t>
        </is>
      </c>
      <c r="B68" s="16" t="n">
        <v>153179</v>
      </c>
      <c r="C68" s="16" t="n">
        <v>0</v>
      </c>
      <c r="D68" s="16" t="inlineStr">
        <is>
          <t>0.000710</t>
        </is>
      </c>
      <c r="E68" s="16" t="inlineStr">
        <is>
          <t>0.500 SOL</t>
        </is>
      </c>
      <c r="F68" s="16" t="inlineStr">
        <is>
          <t>0.000 SOL</t>
        </is>
      </c>
      <c r="G68" s="17" t="inlineStr">
        <is>
          <t>-0.501 SOL</t>
        </is>
      </c>
      <c r="H68" s="17" t="inlineStr">
        <is>
          <t>0.00%</t>
        </is>
      </c>
      <c r="I68" s="16" t="inlineStr">
        <is>
          <t>153,179</t>
        </is>
      </c>
      <c r="J68" s="16" t="n">
        <v>1</v>
      </c>
      <c r="K68" s="16" t="n">
        <v>0</v>
      </c>
      <c r="L68" s="16" t="inlineStr">
        <is>
          <t>28.10.2024 14:34:09</t>
        </is>
      </c>
      <c r="M68" s="18" t="inlineStr">
        <is>
          <t>0 sec</t>
        </is>
      </c>
      <c r="N68" s="16" t="inlineStr">
        <is>
          <t xml:space="preserve">        572K           572K            14K</t>
        </is>
      </c>
      <c r="O68" s="16" t="inlineStr">
        <is>
          <t>Z5qTBYTgbK9nezJPSLxuJEpEhDimcJKLq9xN6MF2sh1</t>
        </is>
      </c>
      <c r="P68" s="16">
        <f>HYPERLINK("https://dexscreener.com/solana/Z5qTBYTgbK9nezJPSLxuJEpEhDimcJKLq9xN6MF2sh1", "View")</f>
        <v/>
      </c>
    </row>
    <row r="69">
      <c r="A69" s="19" t="inlineStr">
        <is>
          <t>🎈</t>
        </is>
      </c>
      <c r="B69" s="20" t="n">
        <v>638262</v>
      </c>
      <c r="C69" s="20" t="n">
        <v>0</v>
      </c>
      <c r="D69" s="20" t="inlineStr">
        <is>
          <t>0.000710</t>
        </is>
      </c>
      <c r="E69" s="20" t="inlineStr">
        <is>
          <t>0.495 SOL</t>
        </is>
      </c>
      <c r="F69" s="20" t="inlineStr">
        <is>
          <t>0.000 SOL</t>
        </is>
      </c>
      <c r="G69" s="17" t="inlineStr">
        <is>
          <t>-0.496 SOL</t>
        </is>
      </c>
      <c r="H69" s="17" t="inlineStr">
        <is>
          <t>0.00%</t>
        </is>
      </c>
      <c r="I69" s="20" t="inlineStr">
        <is>
          <t>638,262</t>
        </is>
      </c>
      <c r="J69" s="20" t="n">
        <v>1</v>
      </c>
      <c r="K69" s="20" t="n">
        <v>0</v>
      </c>
      <c r="L69" s="20" t="inlineStr">
        <is>
          <t>28.10.2024 14:20:52</t>
        </is>
      </c>
      <c r="M69" s="18" t="inlineStr">
        <is>
          <t>0 sec</t>
        </is>
      </c>
      <c r="N69" s="20" t="inlineStr">
        <is>
          <t xml:space="preserve">        137K           137K             4K</t>
        </is>
      </c>
      <c r="O69" s="20" t="inlineStr">
        <is>
          <t>DFwNZPHkZWix2LutzYKD5rzpyayKSLY5Uw88pRDypump</t>
        </is>
      </c>
      <c r="P69" s="20">
        <f>HYPERLINK("https://dexscreener.com/solana/DFwNZPHkZWix2LutzYKD5rzpyayKSLY5Uw88pRDypump", "View")</f>
        <v/>
      </c>
    </row>
    <row r="70">
      <c r="A70" s="15" t="inlineStr">
        <is>
          <t>HLLWN</t>
        </is>
      </c>
      <c r="B70" s="16" t="n">
        <v>697698</v>
      </c>
      <c r="C70" s="16" t="n">
        <v>697698</v>
      </c>
      <c r="D70" s="16" t="inlineStr">
        <is>
          <t>0.002120</t>
        </is>
      </c>
      <c r="E70" s="16" t="inlineStr">
        <is>
          <t>0.495 SOL</t>
        </is>
      </c>
      <c r="F70" s="16" t="inlineStr">
        <is>
          <t>0.032 SOL</t>
        </is>
      </c>
      <c r="G70" s="24" t="inlineStr">
        <is>
          <t>-0.465 SOL</t>
        </is>
      </c>
      <c r="H70" s="24" t="inlineStr">
        <is>
          <t>-93.55%</t>
        </is>
      </c>
      <c r="I70" s="16" t="inlineStr">
        <is>
          <t>N/A</t>
        </is>
      </c>
      <c r="J70" s="16" t="n">
        <v>1</v>
      </c>
      <c r="K70" s="16" t="n">
        <v>2</v>
      </c>
      <c r="L70" s="16" t="inlineStr">
        <is>
          <t>28.10.2024 14:16:47</t>
        </is>
      </c>
      <c r="M70" s="16" t="inlineStr">
        <is>
          <t>1 hours</t>
        </is>
      </c>
      <c r="N70" s="16" t="inlineStr">
        <is>
          <t xml:space="preserve">        125K           125K             5K</t>
        </is>
      </c>
      <c r="O70" s="16" t="inlineStr">
        <is>
          <t>CVcAA5iKzvQg5yYrEFs3AoRWZZUgdpNKUEeyaUPpump</t>
        </is>
      </c>
      <c r="P70" s="16">
        <f>HYPERLINK("https://dexscreener.com/solana/CVcAA5iKzvQg5yYrEFs3AoRWZZUgdpNKUEeyaUPpump", "View")</f>
        <v/>
      </c>
    </row>
    <row r="71">
      <c r="A71" s="19" t="inlineStr">
        <is>
          <t>IA</t>
        </is>
      </c>
      <c r="B71" s="20" t="n">
        <v>1795073</v>
      </c>
      <c r="C71" s="20" t="n">
        <v>0</v>
      </c>
      <c r="D71" s="20" t="inlineStr">
        <is>
          <t>0.000710</t>
        </is>
      </c>
      <c r="E71" s="20" t="inlineStr">
        <is>
          <t>0.100 SOL</t>
        </is>
      </c>
      <c r="F71" s="20" t="inlineStr">
        <is>
          <t>0.000 SOL</t>
        </is>
      </c>
      <c r="G71" s="17" t="inlineStr">
        <is>
          <t>-0.101 SOL</t>
        </is>
      </c>
      <c r="H71" s="17" t="inlineStr">
        <is>
          <t>0.00%</t>
        </is>
      </c>
      <c r="I71" s="20" t="inlineStr">
        <is>
          <t>1,795,073</t>
        </is>
      </c>
      <c r="J71" s="20" t="n">
        <v>1</v>
      </c>
      <c r="K71" s="20" t="n">
        <v>0</v>
      </c>
      <c r="L71" s="20" t="inlineStr">
        <is>
          <t>28.10.2024 13:17:33</t>
        </is>
      </c>
      <c r="M71" s="18" t="inlineStr">
        <is>
          <t>0 sec</t>
        </is>
      </c>
      <c r="N71" s="20" t="inlineStr">
        <is>
          <t xml:space="preserve">         11K            11K             4K</t>
        </is>
      </c>
      <c r="O71" s="20" t="inlineStr">
        <is>
          <t>8tASPZToUJYaB8LPK6YftH3TghCX9aQd8v9Tnqgtpump</t>
        </is>
      </c>
      <c r="P71" s="20">
        <f>HYPERLINK("https://dexscreener.com/solana/8tASPZToUJYaB8LPK6YftH3TghCX9aQd8v9Tnqgtpump", "View")</f>
        <v/>
      </c>
    </row>
    <row r="72">
      <c r="A72" s="15" t="inlineStr">
        <is>
          <t>x982a{j:+</t>
        </is>
      </c>
      <c r="B72" s="16" t="n">
        <v>615336</v>
      </c>
      <c r="C72" s="16" t="n">
        <v>0</v>
      </c>
      <c r="D72" s="16" t="inlineStr">
        <is>
          <t>0.000710</t>
        </is>
      </c>
      <c r="E72" s="16" t="inlineStr">
        <is>
          <t>0.211 SOL</t>
        </is>
      </c>
      <c r="F72" s="16" t="inlineStr">
        <is>
          <t>0.000 SOL</t>
        </is>
      </c>
      <c r="G72" s="17" t="inlineStr">
        <is>
          <t>-0.212 SOL</t>
        </is>
      </c>
      <c r="H72" s="17" t="inlineStr">
        <is>
          <t>0.00%</t>
        </is>
      </c>
      <c r="I72" s="16" t="inlineStr">
        <is>
          <t>615,336</t>
        </is>
      </c>
      <c r="J72" s="16" t="n">
        <v>1</v>
      </c>
      <c r="K72" s="16" t="n">
        <v>0</v>
      </c>
      <c r="L72" s="16" t="inlineStr">
        <is>
          <t>28.10.2024 12:59:15</t>
        </is>
      </c>
      <c r="M72" s="18" t="inlineStr">
        <is>
          <t>0 sec</t>
        </is>
      </c>
      <c r="N72" s="16" t="inlineStr">
        <is>
          <t xml:space="preserve">         60K            60K             7K</t>
        </is>
      </c>
      <c r="O72" s="16" t="inlineStr">
        <is>
          <t>9RiG5eXy9zExjCFuY9npNrSSzZestokgSP4mgpCiK9f8</t>
        </is>
      </c>
      <c r="P72" s="16">
        <f>HYPERLINK("https://photon-sol.tinyastro.io/en/lp/9RiG5eXy9zExjCFuY9npNrSSzZestokgSP4mgpCiK9f8?handle=676050794bc1b1657a56b", "View")</f>
        <v/>
      </c>
    </row>
    <row r="73">
      <c r="A73" s="19" t="inlineStr">
        <is>
          <t>CLEMENTINE</t>
        </is>
      </c>
      <c r="B73" s="20" t="n">
        <v>1014101</v>
      </c>
      <c r="C73" s="20" t="n">
        <v>0</v>
      </c>
      <c r="D73" s="20" t="inlineStr">
        <is>
          <t>0.000710</t>
        </is>
      </c>
      <c r="E73" s="20" t="inlineStr">
        <is>
          <t>0.121 SOL</t>
        </is>
      </c>
      <c r="F73" s="20" t="inlineStr">
        <is>
          <t>0.000 SOL</t>
        </is>
      </c>
      <c r="G73" s="17" t="inlineStr">
        <is>
          <t>-0.121 SOL</t>
        </is>
      </c>
      <c r="H73" s="17" t="inlineStr">
        <is>
          <t>0.00%</t>
        </is>
      </c>
      <c r="I73" s="20" t="inlineStr">
        <is>
          <t>1,014,101</t>
        </is>
      </c>
      <c r="J73" s="20" t="n">
        <v>1</v>
      </c>
      <c r="K73" s="20" t="n">
        <v>0</v>
      </c>
      <c r="L73" s="20" t="inlineStr">
        <is>
          <t>28.10.2024 12:46:17</t>
        </is>
      </c>
      <c r="M73" s="18" t="inlineStr">
        <is>
          <t>0 sec</t>
        </is>
      </c>
      <c r="N73" s="20" t="inlineStr">
        <is>
          <t xml:space="preserve">         21K            21K             5K</t>
        </is>
      </c>
      <c r="O73" s="20" t="inlineStr">
        <is>
          <t>B2QYkRZURXV4DbWMGnJhmqij6QNp7sRWx4jHY4hkpump</t>
        </is>
      </c>
      <c r="P73" s="20">
        <f>HYPERLINK("https://photon-sol.tinyastro.io/en/lp/B2QYkRZURXV4DbWMGnJhmqij6QNp7sRWx4jHY4hkpump?handle=676050794bc1b1657a56b", "View")</f>
        <v/>
      </c>
    </row>
    <row r="74">
      <c r="A74" s="15" t="inlineStr">
        <is>
          <t>GOTCH</t>
        </is>
      </c>
      <c r="B74" s="16" t="n">
        <v>352258</v>
      </c>
      <c r="C74" s="16" t="n">
        <v>0</v>
      </c>
      <c r="D74" s="16" t="inlineStr">
        <is>
          <t>0.000710</t>
        </is>
      </c>
      <c r="E74" s="16" t="inlineStr">
        <is>
          <t>0.500 SOL</t>
        </is>
      </c>
      <c r="F74" s="16" t="inlineStr">
        <is>
          <t>0.000 SOL</t>
        </is>
      </c>
      <c r="G74" s="17" t="inlineStr">
        <is>
          <t>-0.501 SOL</t>
        </is>
      </c>
      <c r="H74" s="17" t="inlineStr">
        <is>
          <t>0.00%</t>
        </is>
      </c>
      <c r="I74" s="16" t="inlineStr">
        <is>
          <t>352,258</t>
        </is>
      </c>
      <c r="J74" s="16" t="n">
        <v>1</v>
      </c>
      <c r="K74" s="16" t="n">
        <v>0</v>
      </c>
      <c r="L74" s="16" t="inlineStr">
        <is>
          <t>28.10.2024 12:10:28</t>
        </is>
      </c>
      <c r="M74" s="18" t="inlineStr">
        <is>
          <t>0 sec</t>
        </is>
      </c>
      <c r="N74" s="16" t="inlineStr">
        <is>
          <t xml:space="preserve">        249K           249K             6K</t>
        </is>
      </c>
      <c r="O74" s="16" t="inlineStr">
        <is>
          <t>78ao5qrL3WPJ1u6i6cjQMi4iCzq43YECPyNMT2cpump</t>
        </is>
      </c>
      <c r="P74" s="16">
        <f>HYPERLINK("https://dexscreener.com/solana/78ao5qrL3WPJ1u6i6cjQMi4iCzq43YECPyNMT2cpump", "View")</f>
        <v/>
      </c>
    </row>
    <row r="75">
      <c r="A75" s="19" t="inlineStr">
        <is>
          <t>TT</t>
        </is>
      </c>
      <c r="B75" s="20" t="n">
        <v>1440646</v>
      </c>
      <c r="C75" s="20" t="n">
        <v>1440646</v>
      </c>
      <c r="D75" s="20" t="inlineStr">
        <is>
          <t>0.002820</t>
        </is>
      </c>
      <c r="E75" s="20" t="inlineStr">
        <is>
          <t>0.276 SOL</t>
        </is>
      </c>
      <c r="F75" s="20" t="inlineStr">
        <is>
          <t>0.067 SOL</t>
        </is>
      </c>
      <c r="G75" s="24" t="inlineStr">
        <is>
          <t>-0.213 SOL</t>
        </is>
      </c>
      <c r="H75" s="24" t="inlineStr">
        <is>
          <t>-76.14%</t>
        </is>
      </c>
      <c r="I75" s="20" t="inlineStr">
        <is>
          <t>N/A</t>
        </is>
      </c>
      <c r="J75" s="20" t="n">
        <v>1</v>
      </c>
      <c r="K75" s="20" t="n">
        <v>3</v>
      </c>
      <c r="L75" s="20" t="inlineStr">
        <is>
          <t>28.10.2024 07:30:00</t>
        </is>
      </c>
      <c r="M75" s="20" t="inlineStr">
        <is>
          <t>43 min</t>
        </is>
      </c>
      <c r="N75" s="20" t="inlineStr">
        <is>
          <t xml:space="preserve">         33K            33K             5K</t>
        </is>
      </c>
      <c r="O75" s="20" t="inlineStr">
        <is>
          <t>3aQGUbyruXP9cFvsjcoVSpmGJ33XLACPqfzgD89Xpump</t>
        </is>
      </c>
      <c r="P75" s="20">
        <f>HYPERLINK("https://photon-sol.tinyastro.io/en/lp/3aQGUbyruXP9cFvsjcoVSpmGJ33XLACPqfzgD89Xpump?handle=676050794bc1b1657a56b", "View")</f>
        <v/>
      </c>
    </row>
    <row r="76">
      <c r="A76" s="15" t="inlineStr">
        <is>
          <t>SCAT</t>
        </is>
      </c>
      <c r="B76" s="16" t="n">
        <v>3031690</v>
      </c>
      <c r="C76" s="16" t="n">
        <v>0</v>
      </c>
      <c r="D76" s="16" t="inlineStr">
        <is>
          <t>0.000710</t>
        </is>
      </c>
      <c r="E76" s="16" t="inlineStr">
        <is>
          <t>0.075 SOL</t>
        </is>
      </c>
      <c r="F76" s="16" t="inlineStr">
        <is>
          <t>0.000 SOL</t>
        </is>
      </c>
      <c r="G76" s="17" t="inlineStr">
        <is>
          <t>-0.076 SOL</t>
        </is>
      </c>
      <c r="H76" s="17" t="inlineStr">
        <is>
          <t>0.00%</t>
        </is>
      </c>
      <c r="I76" s="16" t="inlineStr">
        <is>
          <t>3,031,690</t>
        </is>
      </c>
      <c r="J76" s="16" t="n">
        <v>1</v>
      </c>
      <c r="K76" s="16" t="n">
        <v>0</v>
      </c>
      <c r="L76" s="16" t="inlineStr">
        <is>
          <t>28.10.2024 07:16:57</t>
        </is>
      </c>
      <c r="M76" s="18" t="inlineStr">
        <is>
          <t>0 sec</t>
        </is>
      </c>
      <c r="N76" s="16" t="inlineStr">
        <is>
          <t xml:space="preserve">          4K             4K             4K</t>
        </is>
      </c>
      <c r="O76" s="16" t="inlineStr">
        <is>
          <t>EEvAzgVykroPTytRm1NxR4pJrVdT4784CMXbMneMpump</t>
        </is>
      </c>
      <c r="P76" s="16">
        <f>HYPERLINK("https://dexscreener.com/solana/EEvAzgVykroPTytRm1NxR4pJrVdT4784CMXbMneMpump", "View")</f>
        <v/>
      </c>
    </row>
    <row r="77">
      <c r="A77" s="19" t="inlineStr">
        <is>
          <t>SL</t>
        </is>
      </c>
      <c r="B77" s="20" t="n">
        <v>222903</v>
      </c>
      <c r="C77" s="20" t="n">
        <v>155000</v>
      </c>
      <c r="D77" s="20" t="inlineStr">
        <is>
          <t>0.001920</t>
        </is>
      </c>
      <c r="E77" s="20" t="inlineStr">
        <is>
          <t>0.495 SOL</t>
        </is>
      </c>
      <c r="F77" s="20" t="inlineStr">
        <is>
          <t>1.247 SOL</t>
        </is>
      </c>
      <c r="G77" s="23" t="inlineStr">
        <is>
          <t>0.750 SOL</t>
        </is>
      </c>
      <c r="H77" s="23" t="inlineStr">
        <is>
          <t>151.01%</t>
        </is>
      </c>
      <c r="I77" s="20" t="inlineStr">
        <is>
          <t>N/A</t>
        </is>
      </c>
      <c r="J77" s="20" t="n">
        <v>1</v>
      </c>
      <c r="K77" s="20" t="n">
        <v>3</v>
      </c>
      <c r="L77" s="20" t="inlineStr">
        <is>
          <t>28.10.2024 06:17:25</t>
        </is>
      </c>
      <c r="M77" s="20" t="inlineStr">
        <is>
          <t>2 hours</t>
        </is>
      </c>
      <c r="N77" s="20" t="inlineStr">
        <is>
          <t xml:space="preserve">        390K           390K             1M</t>
        </is>
      </c>
      <c r="O77" s="20" t="inlineStr">
        <is>
          <t>7wUwkXo8Qjt3cYM8BaHHHeyfDY7ZSn7qvod92pNupump</t>
        </is>
      </c>
      <c r="P77" s="20">
        <f>HYPERLINK("https://dexscreener.com/solana/7wUwkXo8Qjt3cYM8BaHHHeyfDY7ZSn7qvod92pNupump", "View")</f>
        <v/>
      </c>
    </row>
    <row r="78">
      <c r="A78" s="15" t="inlineStr">
        <is>
          <t>CRYPTOIDS</t>
        </is>
      </c>
      <c r="B78" s="16" t="n">
        <v>216643</v>
      </c>
      <c r="C78" s="16" t="n">
        <v>0</v>
      </c>
      <c r="D78" s="16" t="inlineStr">
        <is>
          <t>0.000710</t>
        </is>
      </c>
      <c r="E78" s="16" t="inlineStr">
        <is>
          <t>0.500 SOL</t>
        </is>
      </c>
      <c r="F78" s="16" t="inlineStr">
        <is>
          <t>0.000 SOL</t>
        </is>
      </c>
      <c r="G78" s="17" t="inlineStr">
        <is>
          <t>-0.501 SOL</t>
        </is>
      </c>
      <c r="H78" s="17" t="inlineStr">
        <is>
          <t>0.00%</t>
        </is>
      </c>
      <c r="I78" s="16" t="inlineStr">
        <is>
          <t>216,643</t>
        </is>
      </c>
      <c r="J78" s="16" t="n">
        <v>1</v>
      </c>
      <c r="K78" s="16" t="n">
        <v>0</v>
      </c>
      <c r="L78" s="16" t="inlineStr">
        <is>
          <t>28.10.2024 05:20:19</t>
        </is>
      </c>
      <c r="M78" s="18" t="inlineStr">
        <is>
          <t>0 sec</t>
        </is>
      </c>
      <c r="N78" s="16" t="inlineStr">
        <is>
          <t xml:space="preserve">        406K           406K             4K</t>
        </is>
      </c>
      <c r="O78" s="16" t="inlineStr">
        <is>
          <t>14aD1cQRLTxDNJAtvkPx8iqqssjHqjRLXAL5wPaipump</t>
        </is>
      </c>
      <c r="P78" s="16">
        <f>HYPERLINK("https://dexscreener.com/solana/14aD1cQRLTxDNJAtvkPx8iqqssjHqjRLXAL5wPaipump", "View")</f>
        <v/>
      </c>
    </row>
    <row r="79">
      <c r="A79" s="19" t="inlineStr">
        <is>
          <t>Toad</t>
        </is>
      </c>
      <c r="B79" s="20" t="n">
        <v>188044</v>
      </c>
      <c r="C79" s="20" t="n">
        <v>0</v>
      </c>
      <c r="D79" s="20" t="inlineStr">
        <is>
          <t>0.000710</t>
        </is>
      </c>
      <c r="E79" s="20" t="inlineStr">
        <is>
          <t>0.495 SOL</t>
        </is>
      </c>
      <c r="F79" s="20" t="inlineStr">
        <is>
          <t>0.000 SOL</t>
        </is>
      </c>
      <c r="G79" s="17" t="inlineStr">
        <is>
          <t>-0.496 SOL</t>
        </is>
      </c>
      <c r="H79" s="17" t="inlineStr">
        <is>
          <t>0.00%</t>
        </is>
      </c>
      <c r="I79" s="20" t="inlineStr">
        <is>
          <t>188,044</t>
        </is>
      </c>
      <c r="J79" s="20" t="n">
        <v>1</v>
      </c>
      <c r="K79" s="20" t="n">
        <v>0</v>
      </c>
      <c r="L79" s="20" t="inlineStr">
        <is>
          <t>28.10.2024 02:44:23</t>
        </is>
      </c>
      <c r="M79" s="18" t="inlineStr">
        <is>
          <t>0 sec</t>
        </is>
      </c>
      <c r="N79" s="20" t="inlineStr">
        <is>
          <t xml:space="preserve">        462K           462K            73K</t>
        </is>
      </c>
      <c r="O79" s="20" t="inlineStr">
        <is>
          <t>7xn2T1x7xw5quHmzy2YvFWyFUNwp75fsw5bxiXGRpump</t>
        </is>
      </c>
      <c r="P79" s="20">
        <f>HYPERLINK("https://dexscreener.com/solana/7xn2T1x7xw5quHmzy2YvFWyFUNwp75fsw5bxiXGRpump", "View")</f>
        <v/>
      </c>
    </row>
    <row r="80">
      <c r="A80" s="15" t="inlineStr">
        <is>
          <t>DARIUS</t>
        </is>
      </c>
      <c r="B80" s="16" t="n">
        <v>287353</v>
      </c>
      <c r="C80" s="16" t="n">
        <v>0</v>
      </c>
      <c r="D80" s="16" t="inlineStr">
        <is>
          <t>0.000710</t>
        </is>
      </c>
      <c r="E80" s="16" t="inlineStr">
        <is>
          <t>0.200 SOL</t>
        </is>
      </c>
      <c r="F80" s="16" t="inlineStr">
        <is>
          <t>0.000 SOL</t>
        </is>
      </c>
      <c r="G80" s="17" t="inlineStr">
        <is>
          <t>-0.201 SOL</t>
        </is>
      </c>
      <c r="H80" s="17" t="inlineStr">
        <is>
          <t>0.00%</t>
        </is>
      </c>
      <c r="I80" s="16" t="inlineStr">
        <is>
          <t>287,353</t>
        </is>
      </c>
      <c r="J80" s="16" t="n">
        <v>1</v>
      </c>
      <c r="K80" s="16" t="n">
        <v>0</v>
      </c>
      <c r="L80" s="16" t="inlineStr">
        <is>
          <t>28.10.2024 02:33:39</t>
        </is>
      </c>
      <c r="M80" s="18" t="inlineStr">
        <is>
          <t>0 sec</t>
        </is>
      </c>
      <c r="N80" s="16" t="inlineStr">
        <is>
          <t xml:space="preserve">        123K           123K           130K</t>
        </is>
      </c>
      <c r="O80" s="16" t="inlineStr">
        <is>
          <t>8QXM6vf7E1TUJ9MvFf8p6BDWCYwBLYd9T26MPiprsX3w</t>
        </is>
      </c>
      <c r="P80" s="16">
        <f>HYPERLINK("https://dexscreener.com/solana/8QXM6vf7E1TUJ9MvFf8p6BDWCYwBLYd9T26MPiprsX3w", "View")</f>
        <v/>
      </c>
    </row>
    <row r="81">
      <c r="A81" s="19" t="inlineStr">
        <is>
          <t>ZOA</t>
        </is>
      </c>
      <c r="B81" s="20" t="n">
        <v>1740805</v>
      </c>
      <c r="C81" s="20" t="n">
        <v>1580403</v>
      </c>
      <c r="D81" s="20" t="inlineStr">
        <is>
          <t>0.002730</t>
        </is>
      </c>
      <c r="E81" s="20" t="inlineStr">
        <is>
          <t>0.258 SOL</t>
        </is>
      </c>
      <c r="F81" s="20" t="inlineStr">
        <is>
          <t>15.210 SOL</t>
        </is>
      </c>
      <c r="G81" s="23" t="inlineStr">
        <is>
          <t>14.949 SOL</t>
        </is>
      </c>
      <c r="H81" s="23" t="inlineStr">
        <is>
          <t>5727.14%</t>
        </is>
      </c>
      <c r="I81" s="20" t="inlineStr">
        <is>
          <t>N/A</t>
        </is>
      </c>
      <c r="J81" s="20" t="n">
        <v>1</v>
      </c>
      <c r="K81" s="20" t="n">
        <v>5</v>
      </c>
      <c r="L81" s="20" t="inlineStr">
        <is>
          <t>27.10.2024 22:48:27</t>
        </is>
      </c>
      <c r="M81" s="20" t="inlineStr">
        <is>
          <t>1 hours</t>
        </is>
      </c>
      <c r="N81" s="20" t="inlineStr">
        <is>
          <t xml:space="preserve">         26K            26K           297K</t>
        </is>
      </c>
      <c r="O81" s="20" t="inlineStr">
        <is>
          <t>AwcCFuJgUYNYHXm6tHhr7DsXDY6FKvXUt2DFjmgHpump</t>
        </is>
      </c>
      <c r="P81" s="20">
        <f>HYPERLINK("https://photon-sol.tinyastro.io/en/lp/AwcCFuJgUYNYHXm6tHhr7DsXDY6FKvXUt2DFjmgHpump?handle=676050794bc1b1657a56b", "View")</f>
        <v/>
      </c>
    </row>
    <row r="82">
      <c r="A82" s="15" t="inlineStr">
        <is>
          <t>Profit</t>
        </is>
      </c>
      <c r="B82" s="16" t="n">
        <v>717362</v>
      </c>
      <c r="C82" s="16" t="n">
        <v>0</v>
      </c>
      <c r="D82" s="16" t="inlineStr">
        <is>
          <t>0.000710</t>
        </is>
      </c>
      <c r="E82" s="16" t="inlineStr">
        <is>
          <t>0.219 SOL</t>
        </is>
      </c>
      <c r="F82" s="16" t="inlineStr">
        <is>
          <t>0.000 SOL</t>
        </is>
      </c>
      <c r="G82" s="17" t="inlineStr">
        <is>
          <t>-0.220 SOL</t>
        </is>
      </c>
      <c r="H82" s="17" t="inlineStr">
        <is>
          <t>0.00%</t>
        </is>
      </c>
      <c r="I82" s="16" t="inlineStr">
        <is>
          <t>717,362</t>
        </is>
      </c>
      <c r="J82" s="16" t="n">
        <v>1</v>
      </c>
      <c r="K82" s="16" t="n">
        <v>0</v>
      </c>
      <c r="L82" s="16" t="inlineStr">
        <is>
          <t>27.10.2024 22:36:48</t>
        </is>
      </c>
      <c r="M82" s="18" t="inlineStr">
        <is>
          <t>0 sec</t>
        </is>
      </c>
      <c r="N82" s="16" t="inlineStr">
        <is>
          <t xml:space="preserve">         54K            54K             6K</t>
        </is>
      </c>
      <c r="O82" s="16" t="inlineStr">
        <is>
          <t>F56SaheWy5U96xHnGaR8GAZiTpwp3kFrRZcBbHWtpump</t>
        </is>
      </c>
      <c r="P82" s="16">
        <f>HYPERLINK("https://photon-sol.tinyastro.io/en/lp/F56SaheWy5U96xHnGaR8GAZiTpwp3kFrRZcBbHWtpump?handle=676050794bc1b1657a56b", "View")</f>
        <v/>
      </c>
    </row>
    <row r="83">
      <c r="A83" s="19" t="inlineStr">
        <is>
          <t>FOREVER</t>
        </is>
      </c>
      <c r="B83" s="20" t="n">
        <v>2274948</v>
      </c>
      <c r="C83" s="20" t="n">
        <v>0</v>
      </c>
      <c r="D83" s="20" t="inlineStr">
        <is>
          <t>0.000710</t>
        </is>
      </c>
      <c r="E83" s="20" t="inlineStr">
        <is>
          <t>0.227 SOL</t>
        </is>
      </c>
      <c r="F83" s="20" t="inlineStr">
        <is>
          <t>0.000 SOL</t>
        </is>
      </c>
      <c r="G83" s="17" t="inlineStr">
        <is>
          <t>-0.228 SOL</t>
        </is>
      </c>
      <c r="H83" s="17" t="inlineStr">
        <is>
          <t>0.00%</t>
        </is>
      </c>
      <c r="I83" s="20" t="inlineStr">
        <is>
          <t>2,274,948</t>
        </is>
      </c>
      <c r="J83" s="20" t="n">
        <v>1</v>
      </c>
      <c r="K83" s="20" t="n">
        <v>0</v>
      </c>
      <c r="L83" s="20" t="inlineStr">
        <is>
          <t>27.10.2024 22:19:08</t>
        </is>
      </c>
      <c r="M83" s="18" t="inlineStr">
        <is>
          <t>0 sec</t>
        </is>
      </c>
      <c r="N83" s="20" t="inlineStr">
        <is>
          <t xml:space="preserve">         18K            18K             5K</t>
        </is>
      </c>
      <c r="O83" s="20" t="inlineStr">
        <is>
          <t>6Kt6fyL87dPcyjaehBsMNAQ3PKSCPTJyPM67ZgNGpump</t>
        </is>
      </c>
      <c r="P83" s="20">
        <f>HYPERLINK("https://photon-sol.tinyastro.io/en/lp/6Kt6fyL87dPcyjaehBsMNAQ3PKSCPTJyPM67ZgNGpump?handle=676050794bc1b1657a56b", "View")</f>
        <v/>
      </c>
    </row>
    <row r="84">
      <c r="A84" s="15" t="inlineStr">
        <is>
          <t>SALMON</t>
        </is>
      </c>
      <c r="B84" s="16" t="n">
        <v>150373</v>
      </c>
      <c r="C84" s="16" t="n">
        <v>0</v>
      </c>
      <c r="D84" s="16" t="inlineStr">
        <is>
          <t>0.000710</t>
        </is>
      </c>
      <c r="E84" s="16" t="inlineStr">
        <is>
          <t>0.200 SOL</t>
        </is>
      </c>
      <c r="F84" s="16" t="inlineStr">
        <is>
          <t>0.000 SOL</t>
        </is>
      </c>
      <c r="G84" s="17" t="inlineStr">
        <is>
          <t>-0.201 SOL</t>
        </is>
      </c>
      <c r="H84" s="17" t="inlineStr">
        <is>
          <t>0.00%</t>
        </is>
      </c>
      <c r="I84" s="16" t="inlineStr">
        <is>
          <t>150,373</t>
        </is>
      </c>
      <c r="J84" s="16" t="n">
        <v>1</v>
      </c>
      <c r="K84" s="16" t="n">
        <v>0</v>
      </c>
      <c r="L84" s="16" t="inlineStr">
        <is>
          <t>27.10.2024 21:44:48</t>
        </is>
      </c>
      <c r="M84" s="18" t="inlineStr">
        <is>
          <t>0 sec</t>
        </is>
      </c>
      <c r="N84" s="16" t="inlineStr">
        <is>
          <t xml:space="preserve">        225K           225K             5K</t>
        </is>
      </c>
      <c r="O84" s="16" t="inlineStr">
        <is>
          <t>Ay4Br5jCE3UqmhrSDysdAjo9c4F5vMjf7pHQh78Jpump</t>
        </is>
      </c>
      <c r="P84" s="16">
        <f>HYPERLINK("https://dexscreener.com/solana/Ay4Br5jCE3UqmhrSDysdAjo9c4F5vMjf7pHQh78Jpump", "View")</f>
        <v/>
      </c>
    </row>
    <row r="85">
      <c r="A85" s="19" t="inlineStr">
        <is>
          <t>MEMEMAXI</t>
        </is>
      </c>
      <c r="B85" s="20" t="n">
        <v>109713</v>
      </c>
      <c r="C85" s="20" t="n">
        <v>0</v>
      </c>
      <c r="D85" s="20" t="inlineStr">
        <is>
          <t>0.000710</t>
        </is>
      </c>
      <c r="E85" s="20" t="inlineStr">
        <is>
          <t>0.200 SOL</t>
        </is>
      </c>
      <c r="F85" s="20" t="inlineStr">
        <is>
          <t>0.000 SOL</t>
        </is>
      </c>
      <c r="G85" s="17" t="inlineStr">
        <is>
          <t>-0.201 SOL</t>
        </is>
      </c>
      <c r="H85" s="17" t="inlineStr">
        <is>
          <t>0.00%</t>
        </is>
      </c>
      <c r="I85" s="20" t="inlineStr">
        <is>
          <t>109,713</t>
        </is>
      </c>
      <c r="J85" s="20" t="n">
        <v>1</v>
      </c>
      <c r="K85" s="20" t="n">
        <v>0</v>
      </c>
      <c r="L85" s="20" t="inlineStr">
        <is>
          <t>27.10.2024 21:29:28</t>
        </is>
      </c>
      <c r="M85" s="18" t="inlineStr">
        <is>
          <t>0 sec</t>
        </is>
      </c>
      <c r="N85" s="20" t="inlineStr">
        <is>
          <t xml:space="preserve">        320K           320K            12K</t>
        </is>
      </c>
      <c r="O85" s="20" t="inlineStr">
        <is>
          <t>Cc4sinjiaruP69C7Eotftsu2AjFHAaKZyGtpaLbApump</t>
        </is>
      </c>
      <c r="P85" s="20">
        <f>HYPERLINK("https://dexscreener.com/solana/Cc4sinjiaruP69C7Eotftsu2AjFHAaKZyGtpaLbApump", "View")</f>
        <v/>
      </c>
    </row>
    <row r="86">
      <c r="A86" s="15" t="inlineStr">
        <is>
          <t>BURNEY</t>
        </is>
      </c>
      <c r="B86" s="16" t="n">
        <v>3243016</v>
      </c>
      <c r="C86" s="16" t="n">
        <v>0</v>
      </c>
      <c r="D86" s="16" t="inlineStr">
        <is>
          <t>0.000710</t>
        </is>
      </c>
      <c r="E86" s="16" t="inlineStr">
        <is>
          <t>0.216 SOL</t>
        </is>
      </c>
      <c r="F86" s="16" t="inlineStr">
        <is>
          <t>0.000 SOL</t>
        </is>
      </c>
      <c r="G86" s="17" t="inlineStr">
        <is>
          <t>-0.217 SOL</t>
        </is>
      </c>
      <c r="H86" s="17" t="inlineStr">
        <is>
          <t>0.00%</t>
        </is>
      </c>
      <c r="I86" s="16" t="inlineStr">
        <is>
          <t>3,243,016</t>
        </is>
      </c>
      <c r="J86" s="16" t="n">
        <v>1</v>
      </c>
      <c r="K86" s="16" t="n">
        <v>0</v>
      </c>
      <c r="L86" s="16" t="inlineStr">
        <is>
          <t>27.10.2024 21:26:07</t>
        </is>
      </c>
      <c r="M86" s="18" t="inlineStr">
        <is>
          <t>0 sec</t>
        </is>
      </c>
      <c r="N86" s="16" t="inlineStr">
        <is>
          <t xml:space="preserve">         12K            12K             6K</t>
        </is>
      </c>
      <c r="O86" s="16" t="inlineStr">
        <is>
          <t>HjVucq5tfxXJYmssCT5mm3kUG18UtEVViAmiMmyUpump</t>
        </is>
      </c>
      <c r="P86" s="16">
        <f>HYPERLINK("https://photon-sol.tinyastro.io/en/lp/HjVucq5tfxXJYmssCT5mm3kUG18UtEVViAmiMmyUpump?handle=676050794bc1b1657a56b", "View")</f>
        <v/>
      </c>
    </row>
    <row r="87">
      <c r="A87" s="19" t="inlineStr">
        <is>
          <t>BURNEY</t>
        </is>
      </c>
      <c r="B87" s="20" t="n">
        <v>810159</v>
      </c>
      <c r="C87" s="20" t="n">
        <v>0</v>
      </c>
      <c r="D87" s="20" t="inlineStr">
        <is>
          <t>0.000710</t>
        </is>
      </c>
      <c r="E87" s="20" t="inlineStr">
        <is>
          <t>0.230 SOL</t>
        </is>
      </c>
      <c r="F87" s="20" t="inlineStr">
        <is>
          <t>0.000 SOL</t>
        </is>
      </c>
      <c r="G87" s="17" t="inlineStr">
        <is>
          <t>-0.231 SOL</t>
        </is>
      </c>
      <c r="H87" s="17" t="inlineStr">
        <is>
          <t>0.00%</t>
        </is>
      </c>
      <c r="I87" s="20" t="inlineStr">
        <is>
          <t>810,159</t>
        </is>
      </c>
      <c r="J87" s="20" t="n">
        <v>1</v>
      </c>
      <c r="K87" s="20" t="n">
        <v>0</v>
      </c>
      <c r="L87" s="20" t="inlineStr">
        <is>
          <t>27.10.2024 21:25:04</t>
        </is>
      </c>
      <c r="M87" s="18" t="inlineStr">
        <is>
          <t>0 sec</t>
        </is>
      </c>
      <c r="N87" s="20" t="inlineStr">
        <is>
          <t xml:space="preserve">         49K            49K             4K</t>
        </is>
      </c>
      <c r="O87" s="20" t="inlineStr">
        <is>
          <t>31pyJGWmd9nxb3UN4cmhpZZeeMHXWcf6Nh8VU2vPpump</t>
        </is>
      </c>
      <c r="P87" s="20">
        <f>HYPERLINK("https://photon-sol.tinyastro.io/en/lp/31pyJGWmd9nxb3UN4cmhpZZeeMHXWcf6Nh8VU2vPpump?handle=676050794bc1b1657a56b", "View")</f>
        <v/>
      </c>
    </row>
    <row r="88">
      <c r="A88" s="15" t="inlineStr">
        <is>
          <t>AI</t>
        </is>
      </c>
      <c r="B88" s="16" t="n">
        <v>5625437</v>
      </c>
      <c r="C88" s="16" t="n">
        <v>0</v>
      </c>
      <c r="D88" s="16" t="inlineStr">
        <is>
          <t>0.000710</t>
        </is>
      </c>
      <c r="E88" s="16" t="inlineStr">
        <is>
          <t>0.197 SOL</t>
        </is>
      </c>
      <c r="F88" s="16" t="inlineStr">
        <is>
          <t>0.000 SOL</t>
        </is>
      </c>
      <c r="G88" s="17" t="inlineStr">
        <is>
          <t>-0.197 SOL</t>
        </is>
      </c>
      <c r="H88" s="17" t="inlineStr">
        <is>
          <t>0.00%</t>
        </is>
      </c>
      <c r="I88" s="16" t="inlineStr">
        <is>
          <t>5,625,437</t>
        </is>
      </c>
      <c r="J88" s="16" t="n">
        <v>1</v>
      </c>
      <c r="K88" s="16" t="n">
        <v>0</v>
      </c>
      <c r="L88" s="16" t="inlineStr">
        <is>
          <t>27.10.2024 21:13:33</t>
        </is>
      </c>
      <c r="M88" s="18" t="inlineStr">
        <is>
          <t>0 sec</t>
        </is>
      </c>
      <c r="N88" s="16" t="inlineStr">
        <is>
          <t xml:space="preserve">          5K             5K             5K</t>
        </is>
      </c>
      <c r="O88" s="16" t="inlineStr">
        <is>
          <t>4ktEhYgYhP7oYUPYwH4yQFQ8p3Vr3uQ8HMeccJdopump</t>
        </is>
      </c>
      <c r="P88" s="16">
        <f>HYPERLINK("https://photon-sol.tinyastro.io/en/lp/4ktEhYgYhP7oYUPYwH4yQFQ8p3Vr3uQ8HMeccJdopump?handle=676050794bc1b1657a56b", "View")</f>
        <v/>
      </c>
    </row>
    <row r="89">
      <c r="A89" s="19" t="inlineStr">
        <is>
          <t>STFU</t>
        </is>
      </c>
      <c r="B89" s="20" t="n">
        <v>2246948</v>
      </c>
      <c r="C89" s="20" t="n">
        <v>0</v>
      </c>
      <c r="D89" s="20" t="inlineStr">
        <is>
          <t>0.000710</t>
        </is>
      </c>
      <c r="E89" s="20" t="inlineStr">
        <is>
          <t>0.200 SOL</t>
        </is>
      </c>
      <c r="F89" s="20" t="inlineStr">
        <is>
          <t>0.000 SOL</t>
        </is>
      </c>
      <c r="G89" s="17" t="inlineStr">
        <is>
          <t>-0.201 SOL</t>
        </is>
      </c>
      <c r="H89" s="17" t="inlineStr">
        <is>
          <t>0.00%</t>
        </is>
      </c>
      <c r="I89" s="20" t="inlineStr">
        <is>
          <t>2,246,948</t>
        </is>
      </c>
      <c r="J89" s="20" t="n">
        <v>1</v>
      </c>
      <c r="K89" s="20" t="n">
        <v>0</v>
      </c>
      <c r="L89" s="20" t="inlineStr">
        <is>
          <t>27.10.2024 20:48:27</t>
        </is>
      </c>
      <c r="M89" s="18" t="inlineStr">
        <is>
          <t>0 sec</t>
        </is>
      </c>
      <c r="N89" s="20" t="inlineStr">
        <is>
          <t xml:space="preserve">         16K            16K             3K</t>
        </is>
      </c>
      <c r="O89" s="20" t="inlineStr">
        <is>
          <t>FQfeJYLmD7wf6YyV29E1bjzxX7JeGKavmwociXWipump</t>
        </is>
      </c>
      <c r="P89" s="20">
        <f>HYPERLINK("https://dexscreener.com/solana/FQfeJYLmD7wf6YyV29E1bjzxX7JeGKavmwociXWipump", "View")</f>
        <v/>
      </c>
    </row>
    <row r="90">
      <c r="A90" s="15" t="inlineStr">
        <is>
          <t>SHUTUP</t>
        </is>
      </c>
      <c r="B90" s="16" t="n">
        <v>1180820</v>
      </c>
      <c r="C90" s="16" t="n">
        <v>0</v>
      </c>
      <c r="D90" s="16" t="inlineStr">
        <is>
          <t>0.000710</t>
        </is>
      </c>
      <c r="E90" s="16" t="inlineStr">
        <is>
          <t>0.248 SOL</t>
        </is>
      </c>
      <c r="F90" s="16" t="inlineStr">
        <is>
          <t>0.000 SOL</t>
        </is>
      </c>
      <c r="G90" s="17" t="inlineStr">
        <is>
          <t>-0.249 SOL</t>
        </is>
      </c>
      <c r="H90" s="17" t="inlineStr">
        <is>
          <t>0.00%</t>
        </is>
      </c>
      <c r="I90" s="16" t="inlineStr">
        <is>
          <t>1,180,820</t>
        </is>
      </c>
      <c r="J90" s="16" t="n">
        <v>1</v>
      </c>
      <c r="K90" s="16" t="n">
        <v>0</v>
      </c>
      <c r="L90" s="16" t="inlineStr">
        <is>
          <t>27.10.2024 20:47:45</t>
        </is>
      </c>
      <c r="M90" s="18" t="inlineStr">
        <is>
          <t>0 sec</t>
        </is>
      </c>
      <c r="N90" s="16" t="inlineStr">
        <is>
          <t xml:space="preserve">         37K            37K             5K</t>
        </is>
      </c>
      <c r="O90" s="16" t="inlineStr">
        <is>
          <t>9Hh3Kxo4oarGr5kA4uciKPEaFm3spqqNFfvPJALrpump</t>
        </is>
      </c>
      <c r="P90" s="16">
        <f>HYPERLINK("https://photon-sol.tinyastro.io/en/lp/9Hh3Kxo4oarGr5kA4uciKPEaFm3spqqNFfvPJALrpump?handle=676050794bc1b1657a56b", "View")</f>
        <v/>
      </c>
    </row>
    <row r="91">
      <c r="A91" s="19" t="inlineStr">
        <is>
          <t>@AI</t>
        </is>
      </c>
      <c r="B91" s="20" t="n">
        <v>1613304</v>
      </c>
      <c r="C91" s="20" t="n">
        <v>0</v>
      </c>
      <c r="D91" s="20" t="inlineStr">
        <is>
          <t>0.000710</t>
        </is>
      </c>
      <c r="E91" s="20" t="inlineStr">
        <is>
          <t>0.229 SOL</t>
        </is>
      </c>
      <c r="F91" s="20" t="inlineStr">
        <is>
          <t>0.000 SOL</t>
        </is>
      </c>
      <c r="G91" s="17" t="inlineStr">
        <is>
          <t>-0.229 SOL</t>
        </is>
      </c>
      <c r="H91" s="17" t="inlineStr">
        <is>
          <t>0.00%</t>
        </is>
      </c>
      <c r="I91" s="20" t="inlineStr">
        <is>
          <t>1,613,304</t>
        </is>
      </c>
      <c r="J91" s="20" t="n">
        <v>1</v>
      </c>
      <c r="K91" s="20" t="n">
        <v>0</v>
      </c>
      <c r="L91" s="20" t="inlineStr">
        <is>
          <t>27.10.2024 20:31:46</t>
        </is>
      </c>
      <c r="M91" s="18" t="inlineStr">
        <is>
          <t>0 sec</t>
        </is>
      </c>
      <c r="N91" s="20" t="inlineStr">
        <is>
          <t xml:space="preserve">         25K            25K             5K</t>
        </is>
      </c>
      <c r="O91" s="20" t="inlineStr">
        <is>
          <t>2DrfBeGy3iXWgmUfwxqPcA4QHkR3aPmDquu1dj5Zpump</t>
        </is>
      </c>
      <c r="P91" s="20">
        <f>HYPERLINK("https://photon-sol.tinyastro.io/en/lp/2DrfBeGy3iXWgmUfwxqPcA4QHkR3aPmDquu1dj5Zpump?handle=676050794bc1b1657a56b", "View")</f>
        <v/>
      </c>
    </row>
    <row r="92">
      <c r="A92" s="15" t="inlineStr">
        <is>
          <t>BANKSY</t>
        </is>
      </c>
      <c r="B92" s="16" t="n">
        <v>2442145</v>
      </c>
      <c r="C92" s="16" t="n">
        <v>0</v>
      </c>
      <c r="D92" s="16" t="inlineStr">
        <is>
          <t>0.000710</t>
        </is>
      </c>
      <c r="E92" s="16" t="inlineStr">
        <is>
          <t>0.100 SOL</t>
        </is>
      </c>
      <c r="F92" s="16" t="inlineStr">
        <is>
          <t>0.000 SOL</t>
        </is>
      </c>
      <c r="G92" s="17" t="inlineStr">
        <is>
          <t>-0.101 SOL</t>
        </is>
      </c>
      <c r="H92" s="17" t="inlineStr">
        <is>
          <t>0.00%</t>
        </is>
      </c>
      <c r="I92" s="16" t="inlineStr">
        <is>
          <t>2,442,145</t>
        </is>
      </c>
      <c r="J92" s="16" t="n">
        <v>1</v>
      </c>
      <c r="K92" s="16" t="n">
        <v>0</v>
      </c>
      <c r="L92" s="16" t="inlineStr">
        <is>
          <t>27.10.2024 19:45:14</t>
        </is>
      </c>
      <c r="M92" s="18" t="inlineStr">
        <is>
          <t>0 sec</t>
        </is>
      </c>
      <c r="N92" s="16" t="inlineStr">
        <is>
          <t xml:space="preserve">          7K             7K             5K</t>
        </is>
      </c>
      <c r="O92" s="16" t="inlineStr">
        <is>
          <t>GG4V3Lh63NAkvpXqfdnjgsEMTbXP4BFZA2FC5HJpump</t>
        </is>
      </c>
      <c r="P92" s="16">
        <f>HYPERLINK("https://dexscreener.com/solana/GG4V3Lh63NAkvpXqfdnjgsEMTbXP4BFZA2FC5HJpump", "View")</f>
        <v/>
      </c>
    </row>
    <row r="93">
      <c r="A93" s="19" t="inlineStr">
        <is>
          <t>iykyk</t>
        </is>
      </c>
      <c r="B93" s="20" t="n">
        <v>2185849</v>
      </c>
      <c r="C93" s="20" t="n">
        <v>0</v>
      </c>
      <c r="D93" s="20" t="inlineStr">
        <is>
          <t>0.000710</t>
        </is>
      </c>
      <c r="E93" s="20" t="inlineStr">
        <is>
          <t>0.105 SOL</t>
        </is>
      </c>
      <c r="F93" s="20" t="inlineStr">
        <is>
          <t>0.000 SOL</t>
        </is>
      </c>
      <c r="G93" s="17" t="inlineStr">
        <is>
          <t>-0.106 SOL</t>
        </is>
      </c>
      <c r="H93" s="17" t="inlineStr">
        <is>
          <t>0.00%</t>
        </is>
      </c>
      <c r="I93" s="20" t="inlineStr">
        <is>
          <t>2,185,849</t>
        </is>
      </c>
      <c r="J93" s="20" t="n">
        <v>1</v>
      </c>
      <c r="K93" s="20" t="n">
        <v>0</v>
      </c>
      <c r="L93" s="20" t="inlineStr">
        <is>
          <t>27.10.2024 19:43:24</t>
        </is>
      </c>
      <c r="M93" s="18" t="inlineStr">
        <is>
          <t>0 sec</t>
        </is>
      </c>
      <c r="N93" s="20" t="inlineStr">
        <is>
          <t xml:space="preserve">          9K             9K             5K</t>
        </is>
      </c>
      <c r="O93" s="20" t="inlineStr">
        <is>
          <t>7ruuEZv2UwSLUA8Kjyh5vUAnLFHN7GuG6T1wkfrpump</t>
        </is>
      </c>
      <c r="P93" s="20">
        <f>HYPERLINK("https://photon-sol.tinyastro.io/en/lp/7ruuEZv2UwSLUA8Kjyh5vUAnLFHN7GuG6T1wkfrpump?handle=676050794bc1b1657a56b", "View")</f>
        <v/>
      </c>
    </row>
    <row r="94">
      <c r="A94" s="15" t="inlineStr">
        <is>
          <t>TDS</t>
        </is>
      </c>
      <c r="B94" s="16" t="n">
        <v>207529</v>
      </c>
      <c r="C94" s="16" t="n">
        <v>207529</v>
      </c>
      <c r="D94" s="16" t="inlineStr">
        <is>
          <t>0.001410</t>
        </is>
      </c>
      <c r="E94" s="16" t="inlineStr">
        <is>
          <t>0.500 SOL</t>
        </is>
      </c>
      <c r="F94" s="16" t="inlineStr">
        <is>
          <t>0.091 SOL</t>
        </is>
      </c>
      <c r="G94" s="24" t="inlineStr">
        <is>
          <t>-0.411 SOL</t>
        </is>
      </c>
      <c r="H94" s="24" t="inlineStr">
        <is>
          <t>-81.93%</t>
        </is>
      </c>
      <c r="I94" s="16" t="inlineStr">
        <is>
          <t>N/A</t>
        </is>
      </c>
      <c r="J94" s="16" t="n">
        <v>1</v>
      </c>
      <c r="K94" s="16" t="n">
        <v>1</v>
      </c>
      <c r="L94" s="16" t="inlineStr">
        <is>
          <t>27.10.2024 19:43:10</t>
        </is>
      </c>
      <c r="M94" s="16" t="inlineStr">
        <is>
          <t>1 hours</t>
        </is>
      </c>
      <c r="N94" s="16" t="inlineStr">
        <is>
          <t xml:space="preserve">        423K           423K            10K</t>
        </is>
      </c>
      <c r="O94" s="16" t="inlineStr">
        <is>
          <t>FeYQWQL1s9kYVvNTb8ZnwamoZV8hTWxcAVNNfWadpump</t>
        </is>
      </c>
      <c r="P94" s="16">
        <f>HYPERLINK("https://dexscreener.com/solana/FeYQWQL1s9kYVvNTb8ZnwamoZV8hTWxcAVNNfWadpump", "View")</f>
        <v/>
      </c>
    </row>
    <row r="95">
      <c r="A95" s="19" t="inlineStr">
        <is>
          <t>MURPHY</t>
        </is>
      </c>
      <c r="B95" s="20" t="n">
        <v>209599</v>
      </c>
      <c r="C95" s="20" t="n">
        <v>0</v>
      </c>
      <c r="D95" s="20" t="inlineStr">
        <is>
          <t>0.000710</t>
        </is>
      </c>
      <c r="E95" s="20" t="inlineStr">
        <is>
          <t>0.500 SOL</t>
        </is>
      </c>
      <c r="F95" s="20" t="inlineStr">
        <is>
          <t>0.000 SOL</t>
        </is>
      </c>
      <c r="G95" s="17" t="inlineStr">
        <is>
          <t>-0.501 SOL</t>
        </is>
      </c>
      <c r="H95" s="17" t="inlineStr">
        <is>
          <t>0.00%</t>
        </is>
      </c>
      <c r="I95" s="20" t="inlineStr">
        <is>
          <t>209,599</t>
        </is>
      </c>
      <c r="J95" s="20" t="n">
        <v>1</v>
      </c>
      <c r="K95" s="20" t="n">
        <v>0</v>
      </c>
      <c r="L95" s="20" t="inlineStr">
        <is>
          <t>27.10.2024 16:54:35</t>
        </is>
      </c>
      <c r="M95" s="18" t="inlineStr">
        <is>
          <t>0 sec</t>
        </is>
      </c>
      <c r="N95" s="20" t="inlineStr">
        <is>
          <t xml:space="preserve">        420K           420K            52K</t>
        </is>
      </c>
      <c r="O95" s="20" t="inlineStr">
        <is>
          <t>7HiSM2hkmqzhZMLuKtGMWkhvDi2LpMBepWRFYjXXpump</t>
        </is>
      </c>
      <c r="P95" s="20">
        <f>HYPERLINK("https://dexscreener.com/solana/7HiSM2hkmqzhZMLuKtGMWkhvDi2LpMBepWRFYjXXpump", "View")</f>
        <v/>
      </c>
    </row>
    <row r="96">
      <c r="A96" s="15" t="inlineStr">
        <is>
          <t>NESH</t>
        </is>
      </c>
      <c r="B96" s="16" t="n">
        <v>501713</v>
      </c>
      <c r="C96" s="16" t="n">
        <v>0</v>
      </c>
      <c r="D96" s="16" t="inlineStr">
        <is>
          <t>0.000710</t>
        </is>
      </c>
      <c r="E96" s="16" t="inlineStr">
        <is>
          <t>0.500 SOL</t>
        </is>
      </c>
      <c r="F96" s="16" t="inlineStr">
        <is>
          <t>0.000 SOL</t>
        </is>
      </c>
      <c r="G96" s="17" t="inlineStr">
        <is>
          <t>-0.501 SOL</t>
        </is>
      </c>
      <c r="H96" s="17" t="inlineStr">
        <is>
          <t>0.00%</t>
        </is>
      </c>
      <c r="I96" s="16" t="inlineStr">
        <is>
          <t>501,713</t>
        </is>
      </c>
      <c r="J96" s="16" t="n">
        <v>1</v>
      </c>
      <c r="K96" s="16" t="n">
        <v>0</v>
      </c>
      <c r="L96" s="16" t="inlineStr">
        <is>
          <t>27.10.2024 15:29:07</t>
        </is>
      </c>
      <c r="M96" s="18" t="inlineStr">
        <is>
          <t>0 sec</t>
        </is>
      </c>
      <c r="N96" s="16" t="inlineStr">
        <is>
          <t xml:space="preserve">        176K           176K             4K</t>
        </is>
      </c>
      <c r="O96" s="16" t="inlineStr">
        <is>
          <t>3GMWBYirJHVpQzKNMxXR36kHPA9nB9UD3Bxxv1Qjpump</t>
        </is>
      </c>
      <c r="P96" s="16">
        <f>HYPERLINK("https://dexscreener.com/solana/3GMWBYirJHVpQzKNMxXR36kHPA9nB9UD3Bxxv1Qjpump", "View")</f>
        <v/>
      </c>
    </row>
    <row r="97">
      <c r="A97" s="19" t="inlineStr">
        <is>
          <t>PUMPAI</t>
        </is>
      </c>
      <c r="B97" s="20" t="n">
        <v>149567</v>
      </c>
      <c r="C97" s="20" t="n">
        <v>0</v>
      </c>
      <c r="D97" s="20" t="inlineStr">
        <is>
          <t>0.000710</t>
        </is>
      </c>
      <c r="E97" s="20" t="inlineStr">
        <is>
          <t>0.200 SOL</t>
        </is>
      </c>
      <c r="F97" s="20" t="inlineStr">
        <is>
          <t>0.000 SOL</t>
        </is>
      </c>
      <c r="G97" s="17" t="inlineStr">
        <is>
          <t>-0.201 SOL</t>
        </is>
      </c>
      <c r="H97" s="17" t="inlineStr">
        <is>
          <t>0.00%</t>
        </is>
      </c>
      <c r="I97" s="20" t="inlineStr">
        <is>
          <t>149,567</t>
        </is>
      </c>
      <c r="J97" s="20" t="n">
        <v>1</v>
      </c>
      <c r="K97" s="20" t="n">
        <v>0</v>
      </c>
      <c r="L97" s="20" t="inlineStr">
        <is>
          <t>27.10.2024 02:51:32</t>
        </is>
      </c>
      <c r="M97" s="18" t="inlineStr">
        <is>
          <t>0 sec</t>
        </is>
      </c>
      <c r="N97" s="20" t="inlineStr">
        <is>
          <t xml:space="preserve">        235K           235K            32K</t>
        </is>
      </c>
      <c r="O97" s="20" t="inlineStr">
        <is>
          <t>hf8aYwMK2cYv7t4uUhUAqpdwTS3sja2z9RJMQZ2pump</t>
        </is>
      </c>
      <c r="P97" s="20">
        <f>HYPERLINK("https://dexscreener.com/solana/hf8aYwMK2cYv7t4uUhUAqpdwTS3sja2z9RJMQZ2pump", "View")</f>
        <v/>
      </c>
    </row>
    <row r="98">
      <c r="A98" s="15" t="inlineStr">
        <is>
          <t>SOLOM</t>
        </is>
      </c>
      <c r="B98" s="16" t="n">
        <v>816533</v>
      </c>
      <c r="C98" s="16" t="n">
        <v>0</v>
      </c>
      <c r="D98" s="16" t="inlineStr">
        <is>
          <t>0.001410</t>
        </is>
      </c>
      <c r="E98" s="16" t="inlineStr">
        <is>
          <t>1.000 SOL</t>
        </is>
      </c>
      <c r="F98" s="16" t="inlineStr">
        <is>
          <t>0.000 SOL</t>
        </is>
      </c>
      <c r="G98" s="17" t="inlineStr">
        <is>
          <t>-1.001 SOL</t>
        </is>
      </c>
      <c r="H98" s="17" t="inlineStr">
        <is>
          <t>0.00%</t>
        </is>
      </c>
      <c r="I98" s="16" t="inlineStr">
        <is>
          <t>816,533</t>
        </is>
      </c>
      <c r="J98" s="16" t="n">
        <v>2</v>
      </c>
      <c r="K98" s="16" t="n">
        <v>0</v>
      </c>
      <c r="L98" s="16" t="inlineStr">
        <is>
          <t>26.10.2024 15:13:25</t>
        </is>
      </c>
      <c r="M98" s="18" t="inlineStr">
        <is>
          <t>0 sec</t>
        </is>
      </c>
      <c r="N98" s="16" t="inlineStr">
        <is>
          <t xml:space="preserve">        187K           187K             5K</t>
        </is>
      </c>
      <c r="O98" s="16" t="inlineStr">
        <is>
          <t>34pGiw5uBRq98c3AB468ds1AHcpnWN7zoFy6actWpump</t>
        </is>
      </c>
      <c r="P98" s="16">
        <f>HYPERLINK("https://dexscreener.com/solana/34pGiw5uBRq98c3AB468ds1AHcpnWN7zoFy6actWpump", "View")</f>
        <v/>
      </c>
    </row>
    <row r="99">
      <c r="A99" s="19" t="inlineStr">
        <is>
          <t>DAVE</t>
        </is>
      </c>
      <c r="B99" s="20" t="n">
        <v>4274201</v>
      </c>
      <c r="C99" s="20" t="n">
        <v>0</v>
      </c>
      <c r="D99" s="20" t="inlineStr">
        <is>
          <t>0.001410</t>
        </is>
      </c>
      <c r="E99" s="20" t="inlineStr">
        <is>
          <t>1.219 SOL</t>
        </is>
      </c>
      <c r="F99" s="20" t="inlineStr">
        <is>
          <t>0.000 SOL</t>
        </is>
      </c>
      <c r="G99" s="17" t="inlineStr">
        <is>
          <t>-1.221 SOL</t>
        </is>
      </c>
      <c r="H99" s="17" t="inlineStr">
        <is>
          <t>0.00%</t>
        </is>
      </c>
      <c r="I99" s="20" t="inlineStr">
        <is>
          <t>4,274,201</t>
        </is>
      </c>
      <c r="J99" s="20" t="n">
        <v>2</v>
      </c>
      <c r="K99" s="20" t="n">
        <v>0</v>
      </c>
      <c r="L99" s="20" t="inlineStr">
        <is>
          <t>26.10.2024 14:47:39</t>
        </is>
      </c>
      <c r="M99" s="18" t="inlineStr">
        <is>
          <t>0 sec</t>
        </is>
      </c>
      <c r="N99" s="20" t="inlineStr">
        <is>
          <t xml:space="preserve">         51K            51K             5K</t>
        </is>
      </c>
      <c r="O99" s="20" t="inlineStr">
        <is>
          <t>BrPjSkpdWfgz5XXPoVbDfGxLSiKbzYz76NdvuTqJ8e7H</t>
        </is>
      </c>
      <c r="P99" s="20">
        <f>HYPERLINK("https://photon-sol.tinyastro.io/en/lp/BrPjSkpdWfgz5XXPoVbDfGxLSiKbzYz76NdvuTqJ8e7H?handle=676050794bc1b1657a56b", "View")</f>
        <v/>
      </c>
    </row>
    <row r="100">
      <c r="A100" s="15" t="inlineStr">
        <is>
          <t>GlaDoS</t>
        </is>
      </c>
      <c r="B100" s="16" t="n">
        <v>645397</v>
      </c>
      <c r="C100" s="16" t="n">
        <v>0</v>
      </c>
      <c r="D100" s="16" t="inlineStr">
        <is>
          <t>0.002820</t>
        </is>
      </c>
      <c r="E100" s="16" t="inlineStr">
        <is>
          <t>2.000 SOL</t>
        </is>
      </c>
      <c r="F100" s="16" t="inlineStr">
        <is>
          <t>0.000 SOL</t>
        </is>
      </c>
      <c r="G100" s="17" t="inlineStr">
        <is>
          <t>-2.003 SOL</t>
        </is>
      </c>
      <c r="H100" s="17" t="inlineStr">
        <is>
          <t>0.00%</t>
        </is>
      </c>
      <c r="I100" s="16" t="inlineStr">
        <is>
          <t>645,397</t>
        </is>
      </c>
      <c r="J100" s="16" t="n">
        <v>4</v>
      </c>
      <c r="K100" s="16" t="n">
        <v>0</v>
      </c>
      <c r="L100" s="16" t="inlineStr">
        <is>
          <t>26.10.2024 13:57:04</t>
        </is>
      </c>
      <c r="M100" s="16" t="inlineStr">
        <is>
          <t>1 hours</t>
        </is>
      </c>
      <c r="N100" s="16" t="inlineStr">
        <is>
          <t xml:space="preserve">        509K           509K            10K</t>
        </is>
      </c>
      <c r="O100" s="16" t="inlineStr">
        <is>
          <t>zGSm7WWkUgV6NqrU47nC1iLheZsWaRMyFnzVKTUpump</t>
        </is>
      </c>
      <c r="P100" s="16">
        <f>HYPERLINK("https://dexscreener.com/solana/zGSm7WWkUgV6NqrU47nC1iLheZsWaRMyFnzVKTUpump", "View")</f>
        <v/>
      </c>
    </row>
    <row r="101">
      <c r="A101" s="19" t="inlineStr">
        <is>
          <t>glados-137</t>
        </is>
      </c>
      <c r="B101" s="20" t="n">
        <v>414455</v>
      </c>
      <c r="C101" s="20" t="n">
        <v>0</v>
      </c>
      <c r="D101" s="20" t="inlineStr">
        <is>
          <t>0.001410</t>
        </is>
      </c>
      <c r="E101" s="20" t="inlineStr">
        <is>
          <t>1.000 SOL</t>
        </is>
      </c>
      <c r="F101" s="20" t="inlineStr">
        <is>
          <t>0.000 SOL</t>
        </is>
      </c>
      <c r="G101" s="17" t="inlineStr">
        <is>
          <t>-1.001 SOL</t>
        </is>
      </c>
      <c r="H101" s="17" t="inlineStr">
        <is>
          <t>0.00%</t>
        </is>
      </c>
      <c r="I101" s="20" t="inlineStr">
        <is>
          <t>414,455</t>
        </is>
      </c>
      <c r="J101" s="20" t="n">
        <v>2</v>
      </c>
      <c r="K101" s="20" t="n">
        <v>0</v>
      </c>
      <c r="L101" s="20" t="inlineStr">
        <is>
          <t>26.10.2024 11:13:04</t>
        </is>
      </c>
      <c r="M101" s="18" t="inlineStr">
        <is>
          <t>0 sec</t>
        </is>
      </c>
      <c r="N101" s="20" t="inlineStr">
        <is>
          <t xml:space="preserve">        423K           423K            31K</t>
        </is>
      </c>
      <c r="O101" s="20" t="inlineStr">
        <is>
          <t>5AFpf9H8CPpmHe9gmwZYQPtup3MDZ887PUxvY1yapump</t>
        </is>
      </c>
      <c r="P101" s="20">
        <f>HYPERLINK("https://dexscreener.com/solana/5AFpf9H8CPpmHe9gmwZYQPtup3MDZ887PUxvY1yapump", "View")</f>
        <v/>
      </c>
    </row>
    <row r="102">
      <c r="A102" s="15" t="inlineStr">
        <is>
          <t>CRYPT</t>
        </is>
      </c>
      <c r="B102" s="16" t="n">
        <v>1711739</v>
      </c>
      <c r="C102" s="16" t="n">
        <v>0</v>
      </c>
      <c r="D102" s="16" t="inlineStr">
        <is>
          <t>0.001410</t>
        </is>
      </c>
      <c r="E102" s="16" t="inlineStr">
        <is>
          <t>1.000 SOL</t>
        </is>
      </c>
      <c r="F102" s="16" t="inlineStr">
        <is>
          <t>0.000 SOL</t>
        </is>
      </c>
      <c r="G102" s="17" t="inlineStr">
        <is>
          <t>-1.001 SOL</t>
        </is>
      </c>
      <c r="H102" s="17" t="inlineStr">
        <is>
          <t>0.00%</t>
        </is>
      </c>
      <c r="I102" s="16" t="inlineStr">
        <is>
          <t>1,711,739</t>
        </is>
      </c>
      <c r="J102" s="16" t="n">
        <v>2</v>
      </c>
      <c r="K102" s="16" t="n">
        <v>0</v>
      </c>
      <c r="L102" s="16" t="inlineStr">
        <is>
          <t>26.10.2024 09:47:48</t>
        </is>
      </c>
      <c r="M102" s="18" t="inlineStr">
        <is>
          <t>0 sec</t>
        </is>
      </c>
      <c r="N102" s="16" t="inlineStr">
        <is>
          <t xml:space="preserve">        102K           102K             4K</t>
        </is>
      </c>
      <c r="O102" s="16" t="inlineStr">
        <is>
          <t>HcpuhTEUBYoA4WeRMQE2zeRKNNFmWVcjRRzbYkFopump</t>
        </is>
      </c>
      <c r="P102" s="16">
        <f>HYPERLINK("https://dexscreener.com/solana/HcpuhTEUBYoA4WeRMQE2zeRKNNFmWVcjRRzbYkFopump", "View")</f>
        <v/>
      </c>
    </row>
    <row r="103">
      <c r="A103" s="19" t="inlineStr">
        <is>
          <t>KYUUJA</t>
        </is>
      </c>
      <c r="B103" s="20" t="n">
        <v>1691794</v>
      </c>
      <c r="C103" s="20" t="n">
        <v>0</v>
      </c>
      <c r="D103" s="20" t="inlineStr">
        <is>
          <t>0.001410</t>
        </is>
      </c>
      <c r="E103" s="20" t="inlineStr">
        <is>
          <t>1.000 SOL</t>
        </is>
      </c>
      <c r="F103" s="20" t="inlineStr">
        <is>
          <t>0.000 SOL</t>
        </is>
      </c>
      <c r="G103" s="17" t="inlineStr">
        <is>
          <t>-1.001 SOL</t>
        </is>
      </c>
      <c r="H103" s="17" t="inlineStr">
        <is>
          <t>0.00%</t>
        </is>
      </c>
      <c r="I103" s="20" t="inlineStr">
        <is>
          <t>1,691,794</t>
        </is>
      </c>
      <c r="J103" s="20" t="n">
        <v>2</v>
      </c>
      <c r="K103" s="20" t="n">
        <v>0</v>
      </c>
      <c r="L103" s="20" t="inlineStr">
        <is>
          <t>26.10.2024 05:04:30</t>
        </is>
      </c>
      <c r="M103" s="18" t="inlineStr">
        <is>
          <t>0 sec</t>
        </is>
      </c>
      <c r="N103" s="20" t="inlineStr">
        <is>
          <t xml:space="preserve">        104K           104K            13K</t>
        </is>
      </c>
      <c r="O103" s="20" t="inlineStr">
        <is>
          <t>6BbsRCdCSN5ta2MaFmfuzsbu7FKrNHTvT656Bntzpump</t>
        </is>
      </c>
      <c r="P103" s="20">
        <f>HYPERLINK("https://dexscreener.com/solana/6BbsRCdCSN5ta2MaFmfuzsbu7FKrNHTvT656Bntzpump", "View")</f>
        <v/>
      </c>
    </row>
    <row r="104">
      <c r="A104" s="15" t="inlineStr">
        <is>
          <t>KYUUJA</t>
        </is>
      </c>
      <c r="B104" s="16" t="n">
        <v>4442493</v>
      </c>
      <c r="C104" s="16" t="n">
        <v>0</v>
      </c>
      <c r="D104" s="16" t="inlineStr">
        <is>
          <t>0.001410</t>
        </is>
      </c>
      <c r="E104" s="16" t="inlineStr">
        <is>
          <t>1.197 SOL</t>
        </is>
      </c>
      <c r="F104" s="16" t="inlineStr">
        <is>
          <t>0.000 SOL</t>
        </is>
      </c>
      <c r="G104" s="17" t="inlineStr">
        <is>
          <t>-1.198 SOL</t>
        </is>
      </c>
      <c r="H104" s="17" t="inlineStr">
        <is>
          <t>0.00%</t>
        </is>
      </c>
      <c r="I104" s="16" t="inlineStr">
        <is>
          <t>4,442,493</t>
        </is>
      </c>
      <c r="J104" s="16" t="n">
        <v>2</v>
      </c>
      <c r="K104" s="16" t="n">
        <v>0</v>
      </c>
      <c r="L104" s="16" t="inlineStr">
        <is>
          <t>26.10.2024 04:50:06</t>
        </is>
      </c>
      <c r="M104" s="18" t="inlineStr">
        <is>
          <t>0 sec</t>
        </is>
      </c>
      <c r="N104" s="16" t="inlineStr">
        <is>
          <t xml:space="preserve">         47K            47K             6K</t>
        </is>
      </c>
      <c r="O104" s="16" t="inlineStr">
        <is>
          <t>2Bm2xQRgSS5GLRm8eXj3Xe8WzFq9noEkx4MmGsHBpump</t>
        </is>
      </c>
      <c r="P104" s="16">
        <f>HYPERLINK("https://photon-sol.tinyastro.io/en/lp/2Bm2xQRgSS5GLRm8eXj3Xe8WzFq9noEkx4MmGsHBpump?handle=676050794bc1b1657a56b", "View")</f>
        <v/>
      </c>
    </row>
    <row r="105">
      <c r="A105" s="19" t="inlineStr">
        <is>
          <t>PLINY</t>
        </is>
      </c>
      <c r="B105" s="20" t="n">
        <v>951659</v>
      </c>
      <c r="C105" s="20" t="n">
        <v>0</v>
      </c>
      <c r="D105" s="20" t="inlineStr">
        <is>
          <t>0.001410</t>
        </is>
      </c>
      <c r="E105" s="20" t="inlineStr">
        <is>
          <t>0.990 SOL</t>
        </is>
      </c>
      <c r="F105" s="20" t="inlineStr">
        <is>
          <t>0.000 SOL</t>
        </is>
      </c>
      <c r="G105" s="17" t="inlineStr">
        <is>
          <t>-0.991 SOL</t>
        </is>
      </c>
      <c r="H105" s="17" t="inlineStr">
        <is>
          <t>0.00%</t>
        </is>
      </c>
      <c r="I105" s="20" t="inlineStr">
        <is>
          <t>951,659</t>
        </is>
      </c>
      <c r="J105" s="20" t="n">
        <v>2</v>
      </c>
      <c r="K105" s="20" t="n">
        <v>0</v>
      </c>
      <c r="L105" s="20" t="inlineStr">
        <is>
          <t>26.10.2024 03:18:31</t>
        </is>
      </c>
      <c r="M105" s="18" t="inlineStr">
        <is>
          <t>0 sec</t>
        </is>
      </c>
      <c r="N105" s="20" t="inlineStr">
        <is>
          <t xml:space="preserve">        183K           183K            60K</t>
        </is>
      </c>
      <c r="O105" s="20" t="inlineStr">
        <is>
          <t>6MYhpb3FocZSdJS3V5krpbfMp45JxD5jXdtPfkwUpump</t>
        </is>
      </c>
      <c r="P105" s="20">
        <f>HYPERLINK("https://dexscreener.com/solana/6MYhpb3FocZSdJS3V5krpbfMp45JxD5jXdtPfkwUpump", "View")</f>
        <v/>
      </c>
    </row>
    <row r="106">
      <c r="A106" s="15" t="inlineStr">
        <is>
          <t>HAX</t>
        </is>
      </c>
      <c r="B106" s="16" t="n">
        <v>3117709</v>
      </c>
      <c r="C106" s="16" t="n">
        <v>0</v>
      </c>
      <c r="D106" s="16" t="inlineStr">
        <is>
          <t>0.001410</t>
        </is>
      </c>
      <c r="E106" s="16" t="inlineStr">
        <is>
          <t>1.041 SOL</t>
        </is>
      </c>
      <c r="F106" s="16" t="inlineStr">
        <is>
          <t>0.000 SOL</t>
        </is>
      </c>
      <c r="G106" s="17" t="inlineStr">
        <is>
          <t>-1.043 SOL</t>
        </is>
      </c>
      <c r="H106" s="17" t="inlineStr">
        <is>
          <t>0.00%</t>
        </is>
      </c>
      <c r="I106" s="16" t="inlineStr">
        <is>
          <t>3,117,709</t>
        </is>
      </c>
      <c r="J106" s="16" t="n">
        <v>2</v>
      </c>
      <c r="K106" s="16" t="n">
        <v>0</v>
      </c>
      <c r="L106" s="16" t="inlineStr">
        <is>
          <t>26.10.2024 01:59:23</t>
        </is>
      </c>
      <c r="M106" s="18" t="inlineStr">
        <is>
          <t>0 sec</t>
        </is>
      </c>
      <c r="N106" s="16" t="inlineStr">
        <is>
          <t xml:space="preserve">         58K            58K             7K</t>
        </is>
      </c>
      <c r="O106" s="16" t="inlineStr">
        <is>
          <t>8p1axiyVkUL5zTQREb8zGU2DqaiLUkG4TjDHayhVpump</t>
        </is>
      </c>
      <c r="P106" s="16">
        <f>HYPERLINK("https://photon-sol.tinyastro.io/en/lp/8p1axiyVkUL5zTQREb8zGU2DqaiLUkG4TjDHayhVpump?handle=676050794bc1b1657a56b", "View")</f>
        <v/>
      </c>
    </row>
    <row r="107">
      <c r="A107" s="19" t="inlineStr">
        <is>
          <t>Child AI</t>
        </is>
      </c>
      <c r="B107" s="20" t="n">
        <v>943038</v>
      </c>
      <c r="C107" s="20" t="n">
        <v>913038</v>
      </c>
      <c r="D107" s="20" t="inlineStr">
        <is>
          <t>0.013920</t>
        </is>
      </c>
      <c r="E107" s="20" t="inlineStr">
        <is>
          <t>0.400 SOL</t>
        </is>
      </c>
      <c r="F107" s="20" t="inlineStr">
        <is>
          <t>16.315 SOL</t>
        </is>
      </c>
      <c r="G107" s="23" t="inlineStr">
        <is>
          <t>15.901 SOL</t>
        </is>
      </c>
      <c r="H107" s="23" t="inlineStr">
        <is>
          <t>3841.65%</t>
        </is>
      </c>
      <c r="I107" s="20" t="inlineStr">
        <is>
          <t>N/A</t>
        </is>
      </c>
      <c r="J107" s="20" t="n">
        <v>2</v>
      </c>
      <c r="K107" s="20" t="n">
        <v>22</v>
      </c>
      <c r="L107" s="20" t="inlineStr">
        <is>
          <t>25.10.2024 18:24:22</t>
        </is>
      </c>
      <c r="M107" s="20" t="inlineStr">
        <is>
          <t>4 days</t>
        </is>
      </c>
      <c r="N107" s="20" t="inlineStr">
        <is>
          <t xml:space="preserve">         74K            74K           539K</t>
        </is>
      </c>
      <c r="O107" s="20" t="inlineStr">
        <is>
          <t>EYrci5wDqErWHXjKPLxeWtbXq36JcFKzCC7JoMi1pump</t>
        </is>
      </c>
      <c r="P107" s="20">
        <f>HYPERLINK("https://dexscreener.com/solana/EYrci5wDqErWHXjKPLxeWtbXq36JcFKzCC7JoMi1pump", "View")</f>
        <v/>
      </c>
    </row>
    <row r="108">
      <c r="A108" s="15" t="inlineStr">
        <is>
          <t>web</t>
        </is>
      </c>
      <c r="B108" s="16" t="n">
        <v>1909426</v>
      </c>
      <c r="C108" s="16" t="n">
        <v>0</v>
      </c>
      <c r="D108" s="16" t="inlineStr">
        <is>
          <t>0.001410</t>
        </is>
      </c>
      <c r="E108" s="16" t="inlineStr">
        <is>
          <t>0.800 SOL</t>
        </is>
      </c>
      <c r="F108" s="16" t="inlineStr">
        <is>
          <t>0.000 SOL</t>
        </is>
      </c>
      <c r="G108" s="17" t="inlineStr">
        <is>
          <t>-0.801 SOL</t>
        </is>
      </c>
      <c r="H108" s="17" t="inlineStr">
        <is>
          <t>0.00%</t>
        </is>
      </c>
      <c r="I108" s="16" t="inlineStr">
        <is>
          <t>1,909,426</t>
        </is>
      </c>
      <c r="J108" s="16" t="n">
        <v>2</v>
      </c>
      <c r="K108" s="16" t="n">
        <v>0</v>
      </c>
      <c r="L108" s="16" t="inlineStr">
        <is>
          <t>25.10.2024 16:16:27</t>
        </is>
      </c>
      <c r="M108" s="18" t="inlineStr">
        <is>
          <t>0 sec</t>
        </is>
      </c>
      <c r="N108" s="16" t="inlineStr">
        <is>
          <t xml:space="preserve">         74K            74K             6K</t>
        </is>
      </c>
      <c r="O108" s="16" t="inlineStr">
        <is>
          <t>AKjkUfgVvbmc9LfvniaaaeVJfEpYbKFDonA76fuWpump</t>
        </is>
      </c>
      <c r="P108" s="16">
        <f>HYPERLINK("https://dexscreener.com/solana/AKjkUfgVvbmc9LfvniaaaeVJfEpYbKFDonA76fuWpump", "View")</f>
        <v/>
      </c>
    </row>
    <row r="109">
      <c r="A109" s="19" t="inlineStr">
        <is>
          <t>choccy</t>
        </is>
      </c>
      <c r="B109" s="20" t="n">
        <v>286750</v>
      </c>
      <c r="C109" s="20" t="n">
        <v>0</v>
      </c>
      <c r="D109" s="20" t="inlineStr">
        <is>
          <t>0.001410</t>
        </is>
      </c>
      <c r="E109" s="20" t="inlineStr">
        <is>
          <t>0.600 SOL</t>
        </is>
      </c>
      <c r="F109" s="20" t="inlineStr">
        <is>
          <t>0.000 SOL</t>
        </is>
      </c>
      <c r="G109" s="17" t="inlineStr">
        <is>
          <t>-0.601 SOL</t>
        </is>
      </c>
      <c r="H109" s="17" t="inlineStr">
        <is>
          <t>0.00%</t>
        </is>
      </c>
      <c r="I109" s="20" t="inlineStr">
        <is>
          <t>286,750</t>
        </is>
      </c>
      <c r="J109" s="20" t="n">
        <v>2</v>
      </c>
      <c r="K109" s="20" t="n">
        <v>0</v>
      </c>
      <c r="L109" s="20" t="inlineStr">
        <is>
          <t>24.10.2024 18:34:36</t>
        </is>
      </c>
      <c r="M109" s="18" t="inlineStr">
        <is>
          <t>0 sec</t>
        </is>
      </c>
      <c r="N109" s="20" t="inlineStr">
        <is>
          <t xml:space="preserve">        367K           367K           313K</t>
        </is>
      </c>
      <c r="O109" s="20" t="inlineStr">
        <is>
          <t>DFy12AkbxKnR2s2gaYz1AvxgxqGDrMEjjzK1GG3Ypump</t>
        </is>
      </c>
      <c r="P109" s="20">
        <f>HYPERLINK("https://dexscreener.com/solana/DFy12AkbxKnR2s2gaYz1AvxgxqGDrMEjjzK1GG3Ypump", "View")</f>
        <v/>
      </c>
    </row>
    <row r="110">
      <c r="A110" s="15" t="inlineStr">
        <is>
          <t>YOUSIM</t>
        </is>
      </c>
      <c r="B110" s="16" t="n">
        <v>676275</v>
      </c>
      <c r="C110" s="16" t="n">
        <v>676275</v>
      </c>
      <c r="D110" s="16" t="inlineStr">
        <is>
          <t>0.004230</t>
        </is>
      </c>
      <c r="E110" s="16" t="inlineStr">
        <is>
          <t>0.600 SOL</t>
        </is>
      </c>
      <c r="F110" s="16" t="inlineStr">
        <is>
          <t>20.164 SOL</t>
        </is>
      </c>
      <c r="G110" s="23" t="inlineStr">
        <is>
          <t>19.560 SOL</t>
        </is>
      </c>
      <c r="H110" s="23" t="inlineStr">
        <is>
          <t>3237.13%</t>
        </is>
      </c>
      <c r="I110" s="16" t="inlineStr">
        <is>
          <t>N/A</t>
        </is>
      </c>
      <c r="J110" s="16" t="n">
        <v>2</v>
      </c>
      <c r="K110" s="16" t="n">
        <v>4</v>
      </c>
      <c r="L110" s="16" t="inlineStr">
        <is>
          <t>24.10.2024 18:12:53</t>
        </is>
      </c>
      <c r="M110" s="16" t="inlineStr">
        <is>
          <t>2 hours</t>
        </is>
      </c>
      <c r="N110" s="16" t="inlineStr">
        <is>
          <t xml:space="preserve">        156K           156K            10M</t>
        </is>
      </c>
      <c r="O110" s="16" t="inlineStr">
        <is>
          <t>66gsTs88mXJ5L4AtJnWqFW6H2L5YQDRy4W41y6zbpump</t>
        </is>
      </c>
      <c r="P110" s="16">
        <f>HYPERLINK("https://dexscreener.com/solana/66gsTs88mXJ5L4AtJnWqFW6H2L5YQDRy4W41y6zbpump", "View")</f>
        <v/>
      </c>
    </row>
    <row r="111">
      <c r="A111" s="19" t="inlineStr">
        <is>
          <t>Gape</t>
        </is>
      </c>
      <c r="B111" s="20" t="n">
        <v>192220</v>
      </c>
      <c r="C111" s="20" t="n">
        <v>0</v>
      </c>
      <c r="D111" s="20" t="inlineStr">
        <is>
          <t>0.001410</t>
        </is>
      </c>
      <c r="E111" s="20" t="inlineStr">
        <is>
          <t>0.600 SOL</t>
        </is>
      </c>
      <c r="F111" s="20" t="inlineStr">
        <is>
          <t>0.000 SOL</t>
        </is>
      </c>
      <c r="G111" s="17" t="inlineStr">
        <is>
          <t>-0.601 SOL</t>
        </is>
      </c>
      <c r="H111" s="17" t="inlineStr">
        <is>
          <t>0.00%</t>
        </is>
      </c>
      <c r="I111" s="20" t="inlineStr">
        <is>
          <t>192,220</t>
        </is>
      </c>
      <c r="J111" s="20" t="n">
        <v>2</v>
      </c>
      <c r="K111" s="20" t="n">
        <v>0</v>
      </c>
      <c r="L111" s="20" t="inlineStr">
        <is>
          <t>24.10.2024 13:56:32</t>
        </is>
      </c>
      <c r="M111" s="18" t="inlineStr">
        <is>
          <t>0 sec</t>
        </is>
      </c>
      <c r="N111" s="20" t="inlineStr">
        <is>
          <t xml:space="preserve">        548K           548K            20K</t>
        </is>
      </c>
      <c r="O111" s="20" t="inlineStr">
        <is>
          <t>58JkF2Nj981v6yxM2aQMpoeL2MaA7dA3SGcGuRyepump</t>
        </is>
      </c>
      <c r="P111" s="20">
        <f>HYPERLINK("https://dexscreener.com/solana/58JkF2Nj981v6yxM2aQMpoeL2MaA7dA3SGcGuRyepump", "View")</f>
        <v/>
      </c>
    </row>
    <row r="112">
      <c r="A112" s="15" t="inlineStr">
        <is>
          <t>gape</t>
        </is>
      </c>
      <c r="B112" s="16" t="n">
        <v>593279</v>
      </c>
      <c r="C112" s="16" t="n">
        <v>0</v>
      </c>
      <c r="D112" s="16" t="inlineStr">
        <is>
          <t>0.001410</t>
        </is>
      </c>
      <c r="E112" s="16" t="inlineStr">
        <is>
          <t>0.600 SOL</t>
        </is>
      </c>
      <c r="F112" s="16" t="inlineStr">
        <is>
          <t>0.000 SOL</t>
        </is>
      </c>
      <c r="G112" s="17" t="inlineStr">
        <is>
          <t>-0.601 SOL</t>
        </is>
      </c>
      <c r="H112" s="17" t="inlineStr">
        <is>
          <t>0.00%</t>
        </is>
      </c>
      <c r="I112" s="16" t="inlineStr">
        <is>
          <t>593,279</t>
        </is>
      </c>
      <c r="J112" s="16" t="n">
        <v>2</v>
      </c>
      <c r="K112" s="16" t="n">
        <v>0</v>
      </c>
      <c r="L112" s="16" t="inlineStr">
        <is>
          <t>24.10.2024 13:28:14</t>
        </is>
      </c>
      <c r="M112" s="18" t="inlineStr">
        <is>
          <t>0 sec</t>
        </is>
      </c>
      <c r="N112" s="16" t="inlineStr">
        <is>
          <t xml:space="preserve">        177K           177K             6K</t>
        </is>
      </c>
      <c r="O112" s="16" t="inlineStr">
        <is>
          <t>zatHUKJXCvgYBkbDMFn6Q8FukeLQkywroBw5Uv4pump</t>
        </is>
      </c>
      <c r="P112" s="16">
        <f>HYPERLINK("https://dexscreener.com/solana/zatHUKJXCvgYBkbDMFn6Q8FukeLQkywroBw5Uv4pump", "View")</f>
        <v/>
      </c>
    </row>
    <row r="113">
      <c r="A113" s="19" t="inlineStr">
        <is>
          <t>buttcoin</t>
        </is>
      </c>
      <c r="B113" s="20" t="n">
        <v>610560</v>
      </c>
      <c r="C113" s="20" t="n">
        <v>0</v>
      </c>
      <c r="D113" s="20" t="inlineStr">
        <is>
          <t>0.001410</t>
        </is>
      </c>
      <c r="E113" s="20" t="inlineStr">
        <is>
          <t>0.600 SOL</t>
        </is>
      </c>
      <c r="F113" s="20" t="inlineStr">
        <is>
          <t>0.000 SOL</t>
        </is>
      </c>
      <c r="G113" s="17" t="inlineStr">
        <is>
          <t>-0.601 SOL</t>
        </is>
      </c>
      <c r="H113" s="17" t="inlineStr">
        <is>
          <t>0.00%</t>
        </is>
      </c>
      <c r="I113" s="20" t="inlineStr">
        <is>
          <t>610,560</t>
        </is>
      </c>
      <c r="J113" s="20" t="n">
        <v>2</v>
      </c>
      <c r="K113" s="20" t="n">
        <v>0</v>
      </c>
      <c r="L113" s="20" t="inlineStr">
        <is>
          <t>24.10.2024 07:13:13</t>
        </is>
      </c>
      <c r="M113" s="18" t="inlineStr">
        <is>
          <t>0 sec</t>
        </is>
      </c>
      <c r="N113" s="20" t="inlineStr">
        <is>
          <t xml:space="preserve">        172K           172K             7K</t>
        </is>
      </c>
      <c r="O113" s="20" t="inlineStr">
        <is>
          <t>4Q7A2HQf544SnCVD16asPRb67xMVw94qaYQCWnvEpump</t>
        </is>
      </c>
      <c r="P113" s="20">
        <f>HYPERLINK("https://dexscreener.com/solana/4Q7A2HQf544SnCVD16asPRb67xMVw94qaYQCWnvEpump", "View")</f>
        <v/>
      </c>
    </row>
    <row r="114">
      <c r="A114" s="15" t="inlineStr">
        <is>
          <t>Cybercab</t>
        </is>
      </c>
      <c r="B114" s="16" t="n">
        <v>659295</v>
      </c>
      <c r="C114" s="16" t="n">
        <v>0</v>
      </c>
      <c r="D114" s="16" t="inlineStr">
        <is>
          <t>0.001410</t>
        </is>
      </c>
      <c r="E114" s="16" t="inlineStr">
        <is>
          <t>0.246 SOL</t>
        </is>
      </c>
      <c r="F114" s="16" t="inlineStr">
        <is>
          <t>0.000 SOL</t>
        </is>
      </c>
      <c r="G114" s="17" t="inlineStr">
        <is>
          <t>-0.247 SOL</t>
        </is>
      </c>
      <c r="H114" s="17" t="inlineStr">
        <is>
          <t>0.00%</t>
        </is>
      </c>
      <c r="I114" s="16" t="inlineStr">
        <is>
          <t>659,295</t>
        </is>
      </c>
      <c r="J114" s="16" t="n">
        <v>2</v>
      </c>
      <c r="K114" s="16" t="n">
        <v>0</v>
      </c>
      <c r="L114" s="16" t="inlineStr">
        <is>
          <t>23.10.2024 17:58:39</t>
        </is>
      </c>
      <c r="M114" s="18" t="inlineStr">
        <is>
          <t>0 sec</t>
        </is>
      </c>
      <c r="N114" s="16" t="inlineStr">
        <is>
          <t xml:space="preserve">        N/A           N/A           N/A</t>
        </is>
      </c>
      <c r="O114" s="16" t="inlineStr">
        <is>
          <t>DRgibxudczieNizFWtnnpWFDwYXnFChQ6nHFKMm2pump</t>
        </is>
      </c>
      <c r="P114" s="16">
        <f>HYPERLINK("https://photon-sol.tinyastro.io/en/lp/DRgibxudczieNizFWtnnpWFDwYXnFChQ6nHFKMm2pump?handle=676050794bc1b1657a56b", "View")</f>
        <v/>
      </c>
    </row>
    <row r="115">
      <c r="A115" s="19" t="inlineStr">
        <is>
          <t>API</t>
        </is>
      </c>
      <c r="B115" s="20" t="n">
        <v>979940</v>
      </c>
      <c r="C115" s="20" t="n">
        <v>0</v>
      </c>
      <c r="D115" s="20" t="inlineStr">
        <is>
          <t>0.001410</t>
        </is>
      </c>
      <c r="E115" s="20" t="inlineStr">
        <is>
          <t>0.396 SOL</t>
        </is>
      </c>
      <c r="F115" s="20" t="inlineStr">
        <is>
          <t>0.000 SOL</t>
        </is>
      </c>
      <c r="G115" s="17" t="inlineStr">
        <is>
          <t>-0.397 SOL</t>
        </is>
      </c>
      <c r="H115" s="17" t="inlineStr">
        <is>
          <t>0.00%</t>
        </is>
      </c>
      <c r="I115" s="20" t="inlineStr">
        <is>
          <t>979,940</t>
        </is>
      </c>
      <c r="J115" s="20" t="n">
        <v>2</v>
      </c>
      <c r="K115" s="20" t="n">
        <v>0</v>
      </c>
      <c r="L115" s="20" t="inlineStr">
        <is>
          <t>23.10.2024 16:18:53</t>
        </is>
      </c>
      <c r="M115" s="18" t="inlineStr">
        <is>
          <t>0 sec</t>
        </is>
      </c>
      <c r="N115" s="20" t="inlineStr">
        <is>
          <t xml:space="preserve">         70K            70K            25K</t>
        </is>
      </c>
      <c r="O115" s="20" t="inlineStr">
        <is>
          <t>4QmvAPffMFAvDPfHPJg4aepGqCqHKfASGRAUqicSpump</t>
        </is>
      </c>
      <c r="P115" s="20">
        <f>HYPERLINK("https://dexscreener.com/solana/4QmvAPffMFAvDPfHPJg4aepGqCqHKfASGRAUqicSpump", "View")</f>
        <v/>
      </c>
    </row>
    <row r="116">
      <c r="A116" s="15" t="inlineStr">
        <is>
          <t>GRUMPY</t>
        </is>
      </c>
      <c r="B116" s="16" t="n">
        <v>1448116</v>
      </c>
      <c r="C116" s="16" t="n">
        <v>0</v>
      </c>
      <c r="D116" s="16" t="inlineStr">
        <is>
          <t>0.001410</t>
        </is>
      </c>
      <c r="E116" s="16" t="inlineStr">
        <is>
          <t>0.099 SOL</t>
        </is>
      </c>
      <c r="F116" s="16" t="inlineStr">
        <is>
          <t>0.000 SOL</t>
        </is>
      </c>
      <c r="G116" s="17" t="inlineStr">
        <is>
          <t>-0.100 SOL</t>
        </is>
      </c>
      <c r="H116" s="17" t="inlineStr">
        <is>
          <t>0.00%</t>
        </is>
      </c>
      <c r="I116" s="16" t="inlineStr">
        <is>
          <t>1,448,116</t>
        </is>
      </c>
      <c r="J116" s="16" t="n">
        <v>2</v>
      </c>
      <c r="K116" s="16" t="n">
        <v>0</v>
      </c>
      <c r="L116" s="16" t="inlineStr">
        <is>
          <t>23.10.2024 16:05:27</t>
        </is>
      </c>
      <c r="M116" s="18" t="inlineStr">
        <is>
          <t>0 sec</t>
        </is>
      </c>
      <c r="N116" s="16" t="inlineStr">
        <is>
          <t xml:space="preserve">         10K            10K             6K</t>
        </is>
      </c>
      <c r="O116" s="16" t="inlineStr">
        <is>
          <t>5hZc1qQKpzTBLFm31VfhWPjo81rCJ2NspXjF9Uujpump</t>
        </is>
      </c>
      <c r="P116" s="16">
        <f>HYPERLINK("https://dexscreener.com/solana/5hZc1qQKpzTBLFm31VfhWPjo81rCJ2NspXjF9Uujpump", "View")</f>
        <v/>
      </c>
    </row>
    <row r="117">
      <c r="A117" s="19" t="inlineStr">
        <is>
          <t>CC</t>
        </is>
      </c>
      <c r="B117" s="20" t="n">
        <v>136574</v>
      </c>
      <c r="C117" s="20" t="n">
        <v>0</v>
      </c>
      <c r="D117" s="20" t="inlineStr">
        <is>
          <t>0.001410</t>
        </is>
      </c>
      <c r="E117" s="20" t="inlineStr">
        <is>
          <t>0.600 SOL</t>
        </is>
      </c>
      <c r="F117" s="20" t="inlineStr">
        <is>
          <t>0.000 SOL</t>
        </is>
      </c>
      <c r="G117" s="17" t="inlineStr">
        <is>
          <t>-0.601 SOL</t>
        </is>
      </c>
      <c r="H117" s="17" t="inlineStr">
        <is>
          <t>0.00%</t>
        </is>
      </c>
      <c r="I117" s="20" t="inlineStr">
        <is>
          <t>136,574</t>
        </is>
      </c>
      <c r="J117" s="20" t="n">
        <v>2</v>
      </c>
      <c r="K117" s="20" t="n">
        <v>0</v>
      </c>
      <c r="L117" s="20" t="inlineStr">
        <is>
          <t>23.10.2024 15:58:12</t>
        </is>
      </c>
      <c r="M117" s="18" t="inlineStr">
        <is>
          <t>0 sec</t>
        </is>
      </c>
      <c r="N117" s="20" t="inlineStr">
        <is>
          <t xml:space="preserve">        771K           771K            10K</t>
        </is>
      </c>
      <c r="O117" s="20" t="inlineStr">
        <is>
          <t>G7YVLUYbhiqBXFt4uhKF4Ejs1eC7yvbDhr2syFKWpump</t>
        </is>
      </c>
      <c r="P117" s="20">
        <f>HYPERLINK("https://dexscreener.com/solana/G7YVLUYbhiqBXFt4uhKF4Ejs1eC7yvbDhr2syFKWpump", "View")</f>
        <v/>
      </c>
    </row>
    <row r="118">
      <c r="A118" s="15" t="inlineStr">
        <is>
          <t>Jungians</t>
        </is>
      </c>
      <c r="B118" s="16" t="n">
        <v>1287890</v>
      </c>
      <c r="C118" s="16" t="n">
        <v>0</v>
      </c>
      <c r="D118" s="16" t="inlineStr">
        <is>
          <t>0.001410</t>
        </is>
      </c>
      <c r="E118" s="16" t="inlineStr">
        <is>
          <t>0.396 SOL</t>
        </is>
      </c>
      <c r="F118" s="16" t="inlineStr">
        <is>
          <t>0.000 SOL</t>
        </is>
      </c>
      <c r="G118" s="17" t="inlineStr">
        <is>
          <t>-0.397 SOL</t>
        </is>
      </c>
      <c r="H118" s="17" t="inlineStr">
        <is>
          <t>0.00%</t>
        </is>
      </c>
      <c r="I118" s="16" t="inlineStr">
        <is>
          <t>1,287,890</t>
        </is>
      </c>
      <c r="J118" s="16" t="n">
        <v>2</v>
      </c>
      <c r="K118" s="16" t="n">
        <v>0</v>
      </c>
      <c r="L118" s="16" t="inlineStr">
        <is>
          <t>23.10.2024 15:44:26</t>
        </is>
      </c>
      <c r="M118" s="18" t="inlineStr">
        <is>
          <t>0 sec</t>
        </is>
      </c>
      <c r="N118" s="16" t="inlineStr">
        <is>
          <t xml:space="preserve">         54K            54K             4K</t>
        </is>
      </c>
      <c r="O118" s="16" t="inlineStr">
        <is>
          <t>8T7n6U2GSzpCqFNbNdt4JSoZHtdXp6kdb9BXHs8Ypump</t>
        </is>
      </c>
      <c r="P118" s="16">
        <f>HYPERLINK("https://dexscreener.com/solana/8T7n6U2GSzpCqFNbNdt4JSoZHtdXp6kdb9BXHs8Ypump", "View")</f>
        <v/>
      </c>
    </row>
    <row r="119">
      <c r="A119" s="19" t="inlineStr">
        <is>
          <t>kleros</t>
        </is>
      </c>
      <c r="B119" s="20" t="n">
        <v>219083</v>
      </c>
      <c r="C119" s="20" t="n">
        <v>0</v>
      </c>
      <c r="D119" s="20" t="inlineStr">
        <is>
          <t>0.001410</t>
        </is>
      </c>
      <c r="E119" s="20" t="inlineStr">
        <is>
          <t>0.594 SOL</t>
        </is>
      </c>
      <c r="F119" s="20" t="inlineStr">
        <is>
          <t>0.000 SOL</t>
        </is>
      </c>
      <c r="G119" s="17" t="inlineStr">
        <is>
          <t>-0.595 SOL</t>
        </is>
      </c>
      <c r="H119" s="17" t="inlineStr">
        <is>
          <t>0.00%</t>
        </is>
      </c>
      <c r="I119" s="20" t="inlineStr">
        <is>
          <t>219,083</t>
        </is>
      </c>
      <c r="J119" s="20" t="n">
        <v>2</v>
      </c>
      <c r="K119" s="20" t="n">
        <v>0</v>
      </c>
      <c r="L119" s="20" t="inlineStr">
        <is>
          <t>23.10.2024 10:39:05</t>
        </is>
      </c>
      <c r="M119" s="18" t="inlineStr">
        <is>
          <t>0 sec</t>
        </is>
      </c>
      <c r="N119" s="20" t="inlineStr">
        <is>
          <t xml:space="preserve">        476K           476K            13K</t>
        </is>
      </c>
      <c r="O119" s="20" t="inlineStr">
        <is>
          <t>6G9UoNmvtpgdwzwNQuqCrTD4Bz3j8VyKVJPsjKnrpump</t>
        </is>
      </c>
      <c r="P119" s="20">
        <f>HYPERLINK("https://dexscreener.com/solana/6G9UoNmvtpgdwzwNQuqCrTD4Bz3j8VyKVJPsjKnrpump", "View")</f>
        <v/>
      </c>
    </row>
    <row r="120">
      <c r="A120" s="15" t="inlineStr">
        <is>
          <t>DWF</t>
        </is>
      </c>
      <c r="B120" s="16" t="n">
        <v>1014353</v>
      </c>
      <c r="C120" s="16" t="n">
        <v>1014353</v>
      </c>
      <c r="D120" s="16" t="inlineStr">
        <is>
          <t>0.004230</t>
        </is>
      </c>
      <c r="E120" s="16" t="inlineStr">
        <is>
          <t>0.396 SOL</t>
        </is>
      </c>
      <c r="F120" s="16" t="inlineStr">
        <is>
          <t>0.417 SOL</t>
        </is>
      </c>
      <c r="G120" s="22" t="inlineStr">
        <is>
          <t>0.017 SOL</t>
        </is>
      </c>
      <c r="H120" s="22" t="inlineStr">
        <is>
          <t>4.31%</t>
        </is>
      </c>
      <c r="I120" s="16" t="inlineStr">
        <is>
          <t>N/A</t>
        </is>
      </c>
      <c r="J120" s="16" t="n">
        <v>2</v>
      </c>
      <c r="K120" s="16" t="n">
        <v>4</v>
      </c>
      <c r="L120" s="16" t="inlineStr">
        <is>
          <t>23.10.2024 10:36:00</t>
        </is>
      </c>
      <c r="M120" s="16" t="inlineStr">
        <is>
          <t>17 min</t>
        </is>
      </c>
      <c r="N120" s="16" t="inlineStr">
        <is>
          <t xml:space="preserve">         68K           218K             4K</t>
        </is>
      </c>
      <c r="O120" s="16" t="inlineStr">
        <is>
          <t>49BpEqdXm9uahssPR9x8uzBhjoaKbAzWqMS9oCb8pump</t>
        </is>
      </c>
      <c r="P120" s="16">
        <f>HYPERLINK("https://dexscreener.com/solana/49BpEqdXm9uahssPR9x8uzBhjoaKbAzWqMS9oCb8pump", "View")</f>
        <v/>
      </c>
    </row>
    <row r="121">
      <c r="A121" s="19" t="inlineStr">
        <is>
          <t>Kleros</t>
        </is>
      </c>
      <c r="B121" s="20" t="n">
        <v>1411842</v>
      </c>
      <c r="C121" s="20" t="n">
        <v>1411842</v>
      </c>
      <c r="D121" s="20" t="inlineStr">
        <is>
          <t>0.002820</t>
        </is>
      </c>
      <c r="E121" s="20" t="inlineStr">
        <is>
          <t>0.228 SOL</t>
        </is>
      </c>
      <c r="F121" s="20" t="inlineStr">
        <is>
          <t>0.043 SOL</t>
        </is>
      </c>
      <c r="G121" s="24" t="inlineStr">
        <is>
          <t>-0.188 SOL</t>
        </is>
      </c>
      <c r="H121" s="24" t="inlineStr">
        <is>
          <t>-81.54%</t>
        </is>
      </c>
      <c r="I121" s="20" t="inlineStr">
        <is>
          <t>N/A</t>
        </is>
      </c>
      <c r="J121" s="20" t="n">
        <v>2</v>
      </c>
      <c r="K121" s="20" t="n">
        <v>2</v>
      </c>
      <c r="L121" s="20" t="inlineStr">
        <is>
          <t>23.10.2024 10:34:50</t>
        </is>
      </c>
      <c r="M121" s="20" t="inlineStr">
        <is>
          <t>2 min</t>
        </is>
      </c>
      <c r="N121" s="20" t="inlineStr">
        <is>
          <t xml:space="preserve">         28K             5K             5K</t>
        </is>
      </c>
      <c r="O121" s="20" t="inlineStr">
        <is>
          <t>HQXmwse6Uatgj175V2UJuv8CNunK4TptoFW56L2aCT3a</t>
        </is>
      </c>
      <c r="P121" s="20">
        <f>HYPERLINK("https://photon-sol.tinyastro.io/en/lp/HQXmwse6Uatgj175V2UJuv8CNunK4TptoFW56L2aCT3a?handle=676050794bc1b1657a56b", "View")</f>
        <v/>
      </c>
    </row>
    <row r="122">
      <c r="A122" s="15" t="inlineStr">
        <is>
          <t>REYNA</t>
        </is>
      </c>
      <c r="B122" s="16" t="n">
        <v>887002</v>
      </c>
      <c r="C122" s="16" t="n">
        <v>887002</v>
      </c>
      <c r="D122" s="16" t="inlineStr">
        <is>
          <t>0.002820</t>
        </is>
      </c>
      <c r="E122" s="16" t="inlineStr">
        <is>
          <t>0.600 SOL</t>
        </is>
      </c>
      <c r="F122" s="16" t="inlineStr">
        <is>
          <t>0.047 SOL</t>
        </is>
      </c>
      <c r="G122" s="24" t="inlineStr">
        <is>
          <t>-0.556 SOL</t>
        </is>
      </c>
      <c r="H122" s="24" t="inlineStr">
        <is>
          <t>-92.23%</t>
        </is>
      </c>
      <c r="I122" s="16" t="inlineStr">
        <is>
          <t>N/A</t>
        </is>
      </c>
      <c r="J122" s="16" t="n">
        <v>2</v>
      </c>
      <c r="K122" s="16" t="n">
        <v>2</v>
      </c>
      <c r="L122" s="16" t="inlineStr">
        <is>
          <t>23.10.2024 07:13:57</t>
        </is>
      </c>
      <c r="M122" s="16" t="inlineStr">
        <is>
          <t>6 min</t>
        </is>
      </c>
      <c r="N122" s="16" t="inlineStr">
        <is>
          <t xml:space="preserve">        119K             9K             3K</t>
        </is>
      </c>
      <c r="O122" s="16" t="inlineStr">
        <is>
          <t>DyC9KmJpoSNtSfWrg1AVCsDi6UR1BRgCd7nmK5wRpump</t>
        </is>
      </c>
      <c r="P122" s="16">
        <f>HYPERLINK("https://dexscreener.com/solana/DyC9KmJpoSNtSfWrg1AVCsDi6UR1BRgCd7nmK5wRpump", "View")</f>
        <v/>
      </c>
    </row>
    <row r="123">
      <c r="A123" s="19" t="inlineStr">
        <is>
          <t>REYNA</t>
        </is>
      </c>
      <c r="B123" s="20" t="n">
        <v>457552</v>
      </c>
      <c r="C123" s="20" t="n">
        <v>457552</v>
      </c>
      <c r="D123" s="20" t="inlineStr">
        <is>
          <t>0.002820</t>
        </is>
      </c>
      <c r="E123" s="20" t="inlineStr">
        <is>
          <t>0.594 SOL</t>
        </is>
      </c>
      <c r="F123" s="20" t="inlineStr">
        <is>
          <t>0.109 SOL</t>
        </is>
      </c>
      <c r="G123" s="24" t="inlineStr">
        <is>
          <t>-0.488 SOL</t>
        </is>
      </c>
      <c r="H123" s="24" t="inlineStr">
        <is>
          <t>-81.80%</t>
        </is>
      </c>
      <c r="I123" s="20" t="inlineStr">
        <is>
          <t>N/A</t>
        </is>
      </c>
      <c r="J123" s="20" t="n">
        <v>2</v>
      </c>
      <c r="K123" s="20" t="n">
        <v>2</v>
      </c>
      <c r="L123" s="20" t="inlineStr">
        <is>
          <t>23.10.2024 06:52:41</t>
        </is>
      </c>
      <c r="M123" s="20" t="inlineStr">
        <is>
          <t>12 min</t>
        </is>
      </c>
      <c r="N123" s="20" t="inlineStr">
        <is>
          <t xml:space="preserve">        228K           228K             5K</t>
        </is>
      </c>
      <c r="O123" s="20" t="inlineStr">
        <is>
          <t>DuLuUb4QegcAEbDYgnuaz9BJhJFTfvDbJDdJ3q9Mpump</t>
        </is>
      </c>
      <c r="P123" s="20">
        <f>HYPERLINK("https://dexscreener.com/solana/DuLuUb4QegcAEbDYgnuaz9BJhJFTfvDbJDdJ3q9Mpump", "View")</f>
        <v/>
      </c>
    </row>
    <row r="124">
      <c r="A124" s="15" t="inlineStr">
        <is>
          <t>PFPAI</t>
        </is>
      </c>
      <c r="B124" s="16" t="n">
        <v>413459</v>
      </c>
      <c r="C124" s="16" t="n">
        <v>413459</v>
      </c>
      <c r="D124" s="16" t="inlineStr">
        <is>
          <t>0.002820</t>
        </is>
      </c>
      <c r="E124" s="16" t="inlineStr">
        <is>
          <t>0.594 SOL</t>
        </is>
      </c>
      <c r="F124" s="16" t="inlineStr">
        <is>
          <t>0.123 SOL</t>
        </is>
      </c>
      <c r="G124" s="24" t="inlineStr">
        <is>
          <t>-0.473 SOL</t>
        </is>
      </c>
      <c r="H124" s="24" t="inlineStr">
        <is>
          <t>-79.33%</t>
        </is>
      </c>
      <c r="I124" s="16" t="inlineStr">
        <is>
          <t>N/A</t>
        </is>
      </c>
      <c r="J124" s="16" t="n">
        <v>2</v>
      </c>
      <c r="K124" s="16" t="n">
        <v>2</v>
      </c>
      <c r="L124" s="16" t="inlineStr">
        <is>
          <t>23.10.2024 04:52:51</t>
        </is>
      </c>
      <c r="M124" s="16" t="inlineStr">
        <is>
          <t>1 min</t>
        </is>
      </c>
      <c r="N124" s="16" t="inlineStr">
        <is>
          <t xml:space="preserve">        253K            53K             4K</t>
        </is>
      </c>
      <c r="O124" s="16" t="inlineStr">
        <is>
          <t>G9iehSSjm4SVcT85s1DNmNiTyaAhHrenYiWSLfXopump</t>
        </is>
      </c>
      <c r="P124" s="16">
        <f>HYPERLINK("https://dexscreener.com/solana/G9iehSSjm4SVcT85s1DNmNiTyaAhHrenYiWSLfXopump", "View")</f>
        <v/>
      </c>
    </row>
    <row r="125">
      <c r="A125" s="19" t="inlineStr">
        <is>
          <t>HARAMBAI</t>
        </is>
      </c>
      <c r="B125" s="20" t="n">
        <v>2476910</v>
      </c>
      <c r="C125" s="20" t="n">
        <v>0</v>
      </c>
      <c r="D125" s="20" t="inlineStr">
        <is>
          <t>0.001410</t>
        </is>
      </c>
      <c r="E125" s="20" t="inlineStr">
        <is>
          <t>0.262 SOL</t>
        </is>
      </c>
      <c r="F125" s="20" t="inlineStr">
        <is>
          <t>0.000 SOL</t>
        </is>
      </c>
      <c r="G125" s="17" t="inlineStr">
        <is>
          <t>-0.263 SOL</t>
        </is>
      </c>
      <c r="H125" s="17" t="inlineStr">
        <is>
          <t>0.00%</t>
        </is>
      </c>
      <c r="I125" s="20" t="inlineStr">
        <is>
          <t>2,476,910</t>
        </is>
      </c>
      <c r="J125" s="20" t="n">
        <v>2</v>
      </c>
      <c r="K125" s="20" t="n">
        <v>0</v>
      </c>
      <c r="L125" s="20" t="inlineStr">
        <is>
          <t>23.10.2024 03:25:10</t>
        </is>
      </c>
      <c r="M125" s="18" t="inlineStr">
        <is>
          <t>0 sec</t>
        </is>
      </c>
      <c r="N125" s="20" t="inlineStr">
        <is>
          <t xml:space="preserve">         19K            19K             7K</t>
        </is>
      </c>
      <c r="O125" s="20" t="inlineStr">
        <is>
          <t>KviFcA9aXLXeY9rKYjp8h2KXUrZUYyaKkqLm6v2pump</t>
        </is>
      </c>
      <c r="P125" s="20">
        <f>HYPERLINK("https://photon-sol.tinyastro.io/en/lp/KviFcA9aXLXeY9rKYjp8h2KXUrZUYyaKkqLm6v2pump?handle=676050794bc1b1657a56b", "View")</f>
        <v/>
      </c>
    </row>
    <row r="126">
      <c r="A126" s="15" t="inlineStr">
        <is>
          <t>endAI</t>
        </is>
      </c>
      <c r="B126" s="16" t="n">
        <v>334557</v>
      </c>
      <c r="C126" s="16" t="n">
        <v>334557</v>
      </c>
      <c r="D126" s="16" t="inlineStr">
        <is>
          <t>0.002820</t>
        </is>
      </c>
      <c r="E126" s="16" t="inlineStr">
        <is>
          <t>0.400 SOL</t>
        </is>
      </c>
      <c r="F126" s="16" t="inlineStr">
        <is>
          <t>0.950 SOL</t>
        </is>
      </c>
      <c r="G126" s="23" t="inlineStr">
        <is>
          <t>0.547 SOL</t>
        </is>
      </c>
      <c r="H126" s="23" t="inlineStr">
        <is>
          <t>135.75%</t>
        </is>
      </c>
      <c r="I126" s="16" t="inlineStr">
        <is>
          <t>N/A</t>
        </is>
      </c>
      <c r="J126" s="16" t="n">
        <v>2</v>
      </c>
      <c r="K126" s="16" t="n">
        <v>2</v>
      </c>
      <c r="L126" s="16" t="inlineStr">
        <is>
          <t>23.10.2024 00:46:23</t>
        </is>
      </c>
      <c r="M126" s="16" t="inlineStr">
        <is>
          <t>2 days</t>
        </is>
      </c>
      <c r="N126" s="16" t="inlineStr">
        <is>
          <t xml:space="preserve">        211K           211K            19K</t>
        </is>
      </c>
      <c r="O126" s="16" t="inlineStr">
        <is>
          <t>CUsLQwd3wvcXxin2UyxcstTTaSmXvWXSo3E18G3Fpump</t>
        </is>
      </c>
      <c r="P126" s="16">
        <f>HYPERLINK("https://dexscreener.com/solana/CUsLQwd3wvcXxin2UyxcstTTaSmXvWXSo3E18G3Fpump", "View")</f>
        <v/>
      </c>
    </row>
    <row r="127">
      <c r="A127" s="19" t="inlineStr">
        <is>
          <t>Opus</t>
        </is>
      </c>
      <c r="B127" s="20" t="n">
        <v>580036</v>
      </c>
      <c r="C127" s="20" t="n">
        <v>0</v>
      </c>
      <c r="D127" s="20" t="inlineStr">
        <is>
          <t>0.001410</t>
        </is>
      </c>
      <c r="E127" s="20" t="inlineStr">
        <is>
          <t>0.594 SOL</t>
        </is>
      </c>
      <c r="F127" s="20" t="inlineStr">
        <is>
          <t>0.000 SOL</t>
        </is>
      </c>
      <c r="G127" s="17" t="inlineStr">
        <is>
          <t>-0.595 SOL</t>
        </is>
      </c>
      <c r="H127" s="17" t="inlineStr">
        <is>
          <t>0.00%</t>
        </is>
      </c>
      <c r="I127" s="20" t="inlineStr">
        <is>
          <t>580,036</t>
        </is>
      </c>
      <c r="J127" s="20" t="n">
        <v>2</v>
      </c>
      <c r="K127" s="20" t="n">
        <v>0</v>
      </c>
      <c r="L127" s="20" t="inlineStr">
        <is>
          <t>22.10.2024 14:22:32</t>
        </is>
      </c>
      <c r="M127" s="18" t="inlineStr">
        <is>
          <t>0 sec</t>
        </is>
      </c>
      <c r="N127" s="20" t="inlineStr">
        <is>
          <t xml:space="preserve">        179K           179K             5K</t>
        </is>
      </c>
      <c r="O127" s="20" t="inlineStr">
        <is>
          <t>we2uCiJ3PsjSLjcYPgdmTuJ7AfocnysF7U4sakwpump</t>
        </is>
      </c>
      <c r="P127" s="20">
        <f>HYPERLINK("https://dexscreener.com/solana/we2uCiJ3PsjSLjcYPgdmTuJ7AfocnysF7U4sakwpump", "View")</f>
        <v/>
      </c>
    </row>
    <row r="128">
      <c r="A128" s="15" t="inlineStr">
        <is>
          <t>DANK</t>
        </is>
      </c>
      <c r="B128" s="16" t="n">
        <v>214445</v>
      </c>
      <c r="C128" s="16" t="n">
        <v>214445</v>
      </c>
      <c r="D128" s="16" t="inlineStr">
        <is>
          <t>0.002820</t>
        </is>
      </c>
      <c r="E128" s="16" t="inlineStr">
        <is>
          <t>0.396 SOL</t>
        </is>
      </c>
      <c r="F128" s="16" t="inlineStr">
        <is>
          <t>0.016 SOL</t>
        </is>
      </c>
      <c r="G128" s="24" t="inlineStr">
        <is>
          <t>-0.382 SOL</t>
        </is>
      </c>
      <c r="H128" s="24" t="inlineStr">
        <is>
          <t>-95.87%</t>
        </is>
      </c>
      <c r="I128" s="16" t="inlineStr">
        <is>
          <t>N/A</t>
        </is>
      </c>
      <c r="J128" s="16" t="n">
        <v>2</v>
      </c>
      <c r="K128" s="16" t="n">
        <v>2</v>
      </c>
      <c r="L128" s="16" t="inlineStr">
        <is>
          <t>22.10.2024 12:41:37</t>
        </is>
      </c>
      <c r="M128" s="16" t="inlineStr">
        <is>
          <t>8 hours</t>
        </is>
      </c>
      <c r="N128" s="16" t="inlineStr">
        <is>
          <t xml:space="preserve">        325K           325K             4K</t>
        </is>
      </c>
      <c r="O128" s="16" t="inlineStr">
        <is>
          <t>6zY3btk8QZ6aikpkswnuqA3RQkVYGJBwrpb13HzDpump</t>
        </is>
      </c>
      <c r="P128" s="16">
        <f>HYPERLINK("https://dexscreener.com/solana/6zY3btk8QZ6aikpkswnuqA3RQkVYGJBwrpb13HzDpump", "View")</f>
        <v/>
      </c>
    </row>
    <row r="129">
      <c r="A129" s="19" t="inlineStr">
        <is>
          <t>GMTR</t>
        </is>
      </c>
      <c r="B129" s="20" t="n">
        <v>287293</v>
      </c>
      <c r="C129" s="20" t="n">
        <v>0</v>
      </c>
      <c r="D129" s="20" t="inlineStr">
        <is>
          <t>0.001410</t>
        </is>
      </c>
      <c r="E129" s="20" t="inlineStr">
        <is>
          <t>0.400 SOL</t>
        </is>
      </c>
      <c r="F129" s="20" t="inlineStr">
        <is>
          <t>0.000 SOL</t>
        </is>
      </c>
      <c r="G129" s="17" t="inlineStr">
        <is>
          <t>-0.401 SOL</t>
        </is>
      </c>
      <c r="H129" s="17" t="inlineStr">
        <is>
          <t>0.00%</t>
        </is>
      </c>
      <c r="I129" s="20" t="inlineStr">
        <is>
          <t>287,293</t>
        </is>
      </c>
      <c r="J129" s="20" t="n">
        <v>2</v>
      </c>
      <c r="K129" s="20" t="n">
        <v>0</v>
      </c>
      <c r="L129" s="20" t="inlineStr">
        <is>
          <t>22.10.2024 10:55:36</t>
        </is>
      </c>
      <c r="M129" s="18" t="inlineStr">
        <is>
          <t>0 sec</t>
        </is>
      </c>
      <c r="N129" s="20" t="inlineStr">
        <is>
          <t xml:space="preserve">        244K           244K            14K</t>
        </is>
      </c>
      <c r="O129" s="20" t="inlineStr">
        <is>
          <t>FAVwsjCnEvSDTCJXmvyeSBX3RrYH8dTYSyFQH9SApump</t>
        </is>
      </c>
      <c r="P129" s="20">
        <f>HYPERLINK("https://dexscreener.com/solana/FAVwsjCnEvSDTCJXmvyeSBX3RrYH8dTYSyFQH9SApump", "View")</f>
        <v/>
      </c>
    </row>
    <row r="130">
      <c r="A130" s="15" t="inlineStr">
        <is>
          <t>GMTR</t>
        </is>
      </c>
      <c r="B130" s="16" t="n">
        <v>368652</v>
      </c>
      <c r="C130" s="16" t="n">
        <v>0</v>
      </c>
      <c r="D130" s="16" t="inlineStr">
        <is>
          <t>0.001410</t>
        </is>
      </c>
      <c r="E130" s="16" t="inlineStr">
        <is>
          <t>0.400 SOL</t>
        </is>
      </c>
      <c r="F130" s="16" t="inlineStr">
        <is>
          <t>0.000 SOL</t>
        </is>
      </c>
      <c r="G130" s="17" t="inlineStr">
        <is>
          <t>-0.401 SOL</t>
        </is>
      </c>
      <c r="H130" s="17" t="inlineStr">
        <is>
          <t>0.00%</t>
        </is>
      </c>
      <c r="I130" s="16" t="inlineStr">
        <is>
          <t>368,652</t>
        </is>
      </c>
      <c r="J130" s="16" t="n">
        <v>2</v>
      </c>
      <c r="K130" s="16" t="n">
        <v>0</v>
      </c>
      <c r="L130" s="16" t="inlineStr">
        <is>
          <t>22.10.2024 10:22:29</t>
        </is>
      </c>
      <c r="M130" s="18" t="inlineStr">
        <is>
          <t>0 sec</t>
        </is>
      </c>
      <c r="N130" s="16" t="inlineStr">
        <is>
          <t xml:space="preserve">        191K           191K             6K</t>
        </is>
      </c>
      <c r="O130" s="16" t="inlineStr">
        <is>
          <t>DCh7xKpTMH9sNrEssMhPX9CPQeeXDyW6mvEmVy4Mpump</t>
        </is>
      </c>
      <c r="P130" s="16">
        <f>HYPERLINK("https://dexscreener.com/solana/DCh7xKpTMH9sNrEssMhPX9CPQeeXDyW6mvEmVy4Mpump", "View")</f>
        <v/>
      </c>
    </row>
    <row r="131">
      <c r="A131" s="19" t="inlineStr">
        <is>
          <t>TTT</t>
        </is>
      </c>
      <c r="B131" s="20" t="n">
        <v>933338</v>
      </c>
      <c r="C131" s="20" t="n">
        <v>233334</v>
      </c>
      <c r="D131" s="20" t="inlineStr">
        <is>
          <t>0.004230</t>
        </is>
      </c>
      <c r="E131" s="20" t="inlineStr">
        <is>
          <t>0.700 SOL</t>
        </is>
      </c>
      <c r="F131" s="20" t="inlineStr">
        <is>
          <t>3.942 SOL</t>
        </is>
      </c>
      <c r="G131" s="23" t="inlineStr">
        <is>
          <t>3.237 SOL</t>
        </is>
      </c>
      <c r="H131" s="23" t="inlineStr">
        <is>
          <t>459.70%</t>
        </is>
      </c>
      <c r="I131" s="20" t="inlineStr">
        <is>
          <t>N/A</t>
        </is>
      </c>
      <c r="J131" s="20" t="n">
        <v>4</v>
      </c>
      <c r="K131" s="20" t="n">
        <v>2</v>
      </c>
      <c r="L131" s="20" t="inlineStr">
        <is>
          <t>22.10.2024 07:25:51</t>
        </is>
      </c>
      <c r="M131" s="20" t="inlineStr">
        <is>
          <t>2 days</t>
        </is>
      </c>
      <c r="N131" s="20" t="inlineStr">
        <is>
          <t xml:space="preserve">         86K           218K            82K</t>
        </is>
      </c>
      <c r="O131" s="20" t="inlineStr">
        <is>
          <t>LBkz8mkiyhNeJspzs6rtFYrSc62j369kahEGuuNtYo5</t>
        </is>
      </c>
      <c r="P131" s="20">
        <f>HYPERLINK("https://dexscreener.com/solana/LBkz8mkiyhNeJspzs6rtFYrSc62j369kahEGuuNtYo5", "View")</f>
        <v/>
      </c>
    </row>
    <row r="132">
      <c r="A132" s="15" t="inlineStr">
        <is>
          <t>FIJI</t>
        </is>
      </c>
      <c r="B132" s="16" t="n">
        <v>251070</v>
      </c>
      <c r="C132" s="16" t="n">
        <v>219686</v>
      </c>
      <c r="D132" s="16" t="inlineStr">
        <is>
          <t>0.004230</t>
        </is>
      </c>
      <c r="E132" s="16" t="inlineStr">
        <is>
          <t>0.400 SOL</t>
        </is>
      </c>
      <c r="F132" s="16" t="inlineStr">
        <is>
          <t>0.188 SOL</t>
        </is>
      </c>
      <c r="G132" s="24" t="inlineStr">
        <is>
          <t>-0.217 SOL</t>
        </is>
      </c>
      <c r="H132" s="24" t="inlineStr">
        <is>
          <t>-53.60%</t>
        </is>
      </c>
      <c r="I132" s="16" t="inlineStr">
        <is>
          <t>N/A</t>
        </is>
      </c>
      <c r="J132" s="16" t="n">
        <v>2</v>
      </c>
      <c r="K132" s="16" t="n">
        <v>4</v>
      </c>
      <c r="L132" s="16" t="inlineStr">
        <is>
          <t>22.10.2024 05:45:36</t>
        </is>
      </c>
      <c r="M132" s="16" t="inlineStr">
        <is>
          <t>35 min</t>
        </is>
      </c>
      <c r="N132" s="16" t="inlineStr">
        <is>
          <t xml:space="preserve">        264K           138K             2M</t>
        </is>
      </c>
      <c r="O132" s="16" t="inlineStr">
        <is>
          <t>A9e6JzPQstmz94pMnzxgyV14QUqoULSXuf5FPsq8UiRa</t>
        </is>
      </c>
      <c r="P132" s="16">
        <f>HYPERLINK("https://dexscreener.com/solana/A9e6JzPQstmz94pMnzxgyV14QUqoULSXuf5FPsq8UiRa", "View")</f>
        <v/>
      </c>
    </row>
    <row r="133">
      <c r="A133" s="19" t="inlineStr">
        <is>
          <t>fun</t>
        </is>
      </c>
      <c r="B133" s="20" t="n">
        <v>267754</v>
      </c>
      <c r="C133" s="20" t="n">
        <v>200816</v>
      </c>
      <c r="D133" s="20" t="inlineStr">
        <is>
          <t>0.002820</t>
        </is>
      </c>
      <c r="E133" s="20" t="inlineStr">
        <is>
          <t>0.400 SOL</t>
        </is>
      </c>
      <c r="F133" s="20" t="inlineStr">
        <is>
          <t>11.824 SOL</t>
        </is>
      </c>
      <c r="G133" s="23" t="inlineStr">
        <is>
          <t>11.422 SOL</t>
        </is>
      </c>
      <c r="H133" s="23" t="inlineStr">
        <is>
          <t>2835.43%</t>
        </is>
      </c>
      <c r="I133" s="20" t="inlineStr">
        <is>
          <t>N/A</t>
        </is>
      </c>
      <c r="J133" s="20" t="n">
        <v>2</v>
      </c>
      <c r="K133" s="20" t="n">
        <v>2</v>
      </c>
      <c r="L133" s="20" t="inlineStr">
        <is>
          <t>22.10.2024 04:41:22</t>
        </is>
      </c>
      <c r="M133" s="20" t="inlineStr">
        <is>
          <t>3 hours</t>
        </is>
      </c>
      <c r="N133" s="20" t="inlineStr">
        <is>
          <t xml:space="preserve">        253K            10M           325K</t>
        </is>
      </c>
      <c r="O133" s="20" t="inlineStr">
        <is>
          <t>9MnKTgwFyXJgnZumHGT9NdHuzm98ACjkNwpLniLhpump</t>
        </is>
      </c>
      <c r="P133" s="20">
        <f>HYPERLINK("https://dexscreener.com/solana/9MnKTgwFyXJgnZumHGT9NdHuzm98ACjkNwpLniLhpump", "View")</f>
        <v/>
      </c>
    </row>
    <row r="134">
      <c r="A134" s="15" t="inlineStr">
        <is>
          <t>LEWD</t>
        </is>
      </c>
      <c r="B134" s="16" t="n">
        <v>1736195</v>
      </c>
      <c r="C134" s="16" t="n">
        <v>0</v>
      </c>
      <c r="D134" s="16" t="inlineStr">
        <is>
          <t>0.001410</t>
        </is>
      </c>
      <c r="E134" s="16" t="inlineStr">
        <is>
          <t>0.198 SOL</t>
        </is>
      </c>
      <c r="F134" s="16" t="inlineStr">
        <is>
          <t>0.000 SOL</t>
        </is>
      </c>
      <c r="G134" s="17" t="inlineStr">
        <is>
          <t>-0.199 SOL</t>
        </is>
      </c>
      <c r="H134" s="17" t="inlineStr">
        <is>
          <t>0.00%</t>
        </is>
      </c>
      <c r="I134" s="16" t="inlineStr">
        <is>
          <t>1,736,195</t>
        </is>
      </c>
      <c r="J134" s="16" t="n">
        <v>2</v>
      </c>
      <c r="K134" s="16" t="n">
        <v>0</v>
      </c>
      <c r="L134" s="16" t="inlineStr">
        <is>
          <t>22.10.2024 01:13:01</t>
        </is>
      </c>
      <c r="M134" s="18" t="inlineStr">
        <is>
          <t>0 sec</t>
        </is>
      </c>
      <c r="N134" s="16" t="inlineStr">
        <is>
          <t xml:space="preserve">         19K            19K             5K</t>
        </is>
      </c>
      <c r="O134" s="16" t="inlineStr">
        <is>
          <t>FiEJeVw6MJToGkN6KVktYzMvX1zQS9H6RtV15ARdpump</t>
        </is>
      </c>
      <c r="P134" s="16">
        <f>HYPERLINK("https://dexscreener.com/solana/FiEJeVw6MJToGkN6KVktYzMvX1zQS9H6RtV15ARdpump", "View")</f>
        <v/>
      </c>
    </row>
    <row r="135">
      <c r="A135" s="19" t="inlineStr">
        <is>
          <t>Ruri</t>
        </is>
      </c>
      <c r="B135" s="20" t="n">
        <v>477118</v>
      </c>
      <c r="C135" s="20" t="n">
        <v>0</v>
      </c>
      <c r="D135" s="20" t="inlineStr">
        <is>
          <t>0.001410</t>
        </is>
      </c>
      <c r="E135" s="20" t="inlineStr">
        <is>
          <t>0.198 SOL</t>
        </is>
      </c>
      <c r="F135" s="20" t="inlineStr">
        <is>
          <t>0.000 SOL</t>
        </is>
      </c>
      <c r="G135" s="17" t="inlineStr">
        <is>
          <t>-0.199 SOL</t>
        </is>
      </c>
      <c r="H135" s="17" t="inlineStr">
        <is>
          <t>0.00%</t>
        </is>
      </c>
      <c r="I135" s="20" t="inlineStr">
        <is>
          <t>477,118</t>
        </is>
      </c>
      <c r="J135" s="20" t="n">
        <v>2</v>
      </c>
      <c r="K135" s="20" t="n">
        <v>0</v>
      </c>
      <c r="L135" s="20" t="inlineStr">
        <is>
          <t>22.10.2024 01:05:26</t>
        </is>
      </c>
      <c r="M135" s="18" t="inlineStr">
        <is>
          <t>0 sec</t>
        </is>
      </c>
      <c r="N135" s="20" t="inlineStr">
        <is>
          <t xml:space="preserve">         72K            72K            28K</t>
        </is>
      </c>
      <c r="O135" s="20" t="inlineStr">
        <is>
          <t>7q9koN6yzdiP3b5noPMN4V3LVVkh1msBAzHHiVCppump</t>
        </is>
      </c>
      <c r="P135" s="20">
        <f>HYPERLINK("https://dexscreener.com/solana/7q9koN6yzdiP3b5noPMN4V3LVVkh1msBAzHHiVCppump", "View")</f>
        <v/>
      </c>
    </row>
    <row r="136">
      <c r="A136" s="15" t="inlineStr">
        <is>
          <t>MDOG</t>
        </is>
      </c>
      <c r="B136" s="16" t="n">
        <v>513932</v>
      </c>
      <c r="C136" s="16" t="n">
        <v>0</v>
      </c>
      <c r="D136" s="16" t="inlineStr">
        <is>
          <t>0.001410</t>
        </is>
      </c>
      <c r="E136" s="16" t="inlineStr">
        <is>
          <t>0.396 SOL</t>
        </is>
      </c>
      <c r="F136" s="16" t="inlineStr">
        <is>
          <t>0.000 SOL</t>
        </is>
      </c>
      <c r="G136" s="17" t="inlineStr">
        <is>
          <t>-0.397 SOL</t>
        </is>
      </c>
      <c r="H136" s="17" t="inlineStr">
        <is>
          <t>0.00%</t>
        </is>
      </c>
      <c r="I136" s="16" t="inlineStr">
        <is>
          <t>513,932</t>
        </is>
      </c>
      <c r="J136" s="16" t="n">
        <v>2</v>
      </c>
      <c r="K136" s="16" t="n">
        <v>0</v>
      </c>
      <c r="L136" s="16" t="inlineStr">
        <is>
          <t>22.10.2024 00:16:21</t>
        </is>
      </c>
      <c r="M136" s="18" t="inlineStr">
        <is>
          <t>0 sec</t>
        </is>
      </c>
      <c r="N136" s="16" t="inlineStr">
        <is>
          <t xml:space="preserve">        135K           135K             5K</t>
        </is>
      </c>
      <c r="O136" s="16" t="inlineStr">
        <is>
          <t>wpxTGswisVp6q33Rfnt39A7q7R6NzV523pXRpA9pump</t>
        </is>
      </c>
      <c r="P136" s="16">
        <f>HYPERLINK("https://dexscreener.com/solana/wpxTGswisVp6q33Rfnt39A7q7R6NzV523pXRpA9pump", "View")</f>
        <v/>
      </c>
    </row>
    <row r="137">
      <c r="A137" s="19" t="inlineStr">
        <is>
          <t>✨</t>
        </is>
      </c>
      <c r="B137" s="20" t="n">
        <v>2075077</v>
      </c>
      <c r="C137" s="20" t="n">
        <v>0</v>
      </c>
      <c r="D137" s="20" t="inlineStr">
        <is>
          <t>0.001410</t>
        </is>
      </c>
      <c r="E137" s="20" t="inlineStr">
        <is>
          <t>0.198 SOL</t>
        </is>
      </c>
      <c r="F137" s="20" t="inlineStr">
        <is>
          <t>0.000 SOL</t>
        </is>
      </c>
      <c r="G137" s="17" t="inlineStr">
        <is>
          <t>-0.199 SOL</t>
        </is>
      </c>
      <c r="H137" s="17" t="inlineStr">
        <is>
          <t>0.00%</t>
        </is>
      </c>
      <c r="I137" s="20" t="inlineStr">
        <is>
          <t>2,075,077</t>
        </is>
      </c>
      <c r="J137" s="20" t="n">
        <v>2</v>
      </c>
      <c r="K137" s="20" t="n">
        <v>0</v>
      </c>
      <c r="L137" s="20" t="inlineStr">
        <is>
          <t>21.10.2024 14:38:46</t>
        </is>
      </c>
      <c r="M137" s="18" t="inlineStr">
        <is>
          <t>0 sec</t>
        </is>
      </c>
      <c r="N137" s="20" t="inlineStr">
        <is>
          <t xml:space="preserve">         18K            18K             5K</t>
        </is>
      </c>
      <c r="O137" s="20" t="inlineStr">
        <is>
          <t>8KapfTcDKMMCN1xujKvDFPA4QSbRci9nSkpyYxoMpump</t>
        </is>
      </c>
      <c r="P137" s="20">
        <f>HYPERLINK("https://dexscreener.com/solana/8KapfTcDKMMCN1xujKvDFPA4QSbRci9nSkpyYxoMpump", "View")</f>
        <v/>
      </c>
    </row>
    <row r="138">
      <c r="A138" s="15" t="inlineStr">
        <is>
          <t>Slopo</t>
        </is>
      </c>
      <c r="B138" s="16" t="n">
        <v>3507858</v>
      </c>
      <c r="C138" s="16" t="n">
        <v>0</v>
      </c>
      <c r="D138" s="16" t="inlineStr">
        <is>
          <t>0.001410</t>
        </is>
      </c>
      <c r="E138" s="16" t="inlineStr">
        <is>
          <t>0.396 SOL</t>
        </is>
      </c>
      <c r="F138" s="16" t="inlineStr">
        <is>
          <t>0.000 SOL</t>
        </is>
      </c>
      <c r="G138" s="17" t="inlineStr">
        <is>
          <t>-0.397 SOL</t>
        </is>
      </c>
      <c r="H138" s="17" t="inlineStr">
        <is>
          <t>0.00%</t>
        </is>
      </c>
      <c r="I138" s="16" t="inlineStr">
        <is>
          <t>3,507,858</t>
        </is>
      </c>
      <c r="J138" s="16" t="n">
        <v>2</v>
      </c>
      <c r="K138" s="16" t="n">
        <v>0</v>
      </c>
      <c r="L138" s="16" t="inlineStr">
        <is>
          <t>21.10.2024 12:30:48</t>
        </is>
      </c>
      <c r="M138" s="18" t="inlineStr">
        <is>
          <t>0 sec</t>
        </is>
      </c>
      <c r="N138" s="16" t="inlineStr">
        <is>
          <t xml:space="preserve">         19K            19K             5K</t>
        </is>
      </c>
      <c r="O138" s="16" t="inlineStr">
        <is>
          <t>HTK8TMTEKuWVQTQXpk4cAzhz19bzwh57rBtMqv8upump</t>
        </is>
      </c>
      <c r="P138" s="16">
        <f>HYPERLINK("https://dexscreener.com/solana/HTK8TMTEKuWVQTQXpk4cAzhz19bzwh57rBtMqv8upump", "View")</f>
        <v/>
      </c>
    </row>
    <row r="139">
      <c r="A139" s="19" t="inlineStr">
        <is>
          <t>SLOM</t>
        </is>
      </c>
      <c r="B139" s="20" t="n">
        <v>987378</v>
      </c>
      <c r="C139" s="20" t="n">
        <v>0</v>
      </c>
      <c r="D139" s="20" t="inlineStr">
        <is>
          <t>0.001410</t>
        </is>
      </c>
      <c r="E139" s="20" t="inlineStr">
        <is>
          <t>0.396 SOL</t>
        </is>
      </c>
      <c r="F139" s="20" t="inlineStr">
        <is>
          <t>0.000 SOL</t>
        </is>
      </c>
      <c r="G139" s="17" t="inlineStr">
        <is>
          <t>-0.397 SOL</t>
        </is>
      </c>
      <c r="H139" s="17" t="inlineStr">
        <is>
          <t>0.00%</t>
        </is>
      </c>
      <c r="I139" s="20" t="inlineStr">
        <is>
          <t>987,378</t>
        </is>
      </c>
      <c r="J139" s="20" t="n">
        <v>2</v>
      </c>
      <c r="K139" s="20" t="n">
        <v>0</v>
      </c>
      <c r="L139" s="20" t="inlineStr">
        <is>
          <t>21.10.2024 12:06:58</t>
        </is>
      </c>
      <c r="M139" s="18" t="inlineStr">
        <is>
          <t>0 sec</t>
        </is>
      </c>
      <c r="N139" s="20" t="inlineStr">
        <is>
          <t xml:space="preserve">         70K            70K             9K</t>
        </is>
      </c>
      <c r="O139" s="20" t="inlineStr">
        <is>
          <t>5Uzw4pxZuHfrcMsrZgkjMeyk7WGnj6gFwn1bGqitpump</t>
        </is>
      </c>
      <c r="P139" s="20">
        <f>HYPERLINK("https://dexscreener.com/solana/5Uzw4pxZuHfrcMsrZgkjMeyk7WGnj6gFwn1bGqitpump", "View")</f>
        <v/>
      </c>
    </row>
    <row r="140">
      <c r="A140" s="15" t="inlineStr">
        <is>
          <t>NexCoin</t>
        </is>
      </c>
      <c r="B140" s="16" t="n">
        <v>2408118</v>
      </c>
      <c r="C140" s="16" t="n">
        <v>0</v>
      </c>
      <c r="D140" s="16" t="inlineStr">
        <is>
          <t>0.001410</t>
        </is>
      </c>
      <c r="E140" s="16" t="inlineStr">
        <is>
          <t>0.099 SOL</t>
        </is>
      </c>
      <c r="F140" s="16" t="inlineStr">
        <is>
          <t>0.000 SOL</t>
        </is>
      </c>
      <c r="G140" s="17" t="inlineStr">
        <is>
          <t>-0.100 SOL</t>
        </is>
      </c>
      <c r="H140" s="17" t="inlineStr">
        <is>
          <t>0.00%</t>
        </is>
      </c>
      <c r="I140" s="16" t="inlineStr">
        <is>
          <t>2,408,118</t>
        </is>
      </c>
      <c r="J140" s="16" t="n">
        <v>2</v>
      </c>
      <c r="K140" s="16" t="n">
        <v>0</v>
      </c>
      <c r="L140" s="16" t="inlineStr">
        <is>
          <t>21.10.2024 09:00:15</t>
        </is>
      </c>
      <c r="M140" s="18" t="inlineStr">
        <is>
          <t>0 sec</t>
        </is>
      </c>
      <c r="N140" s="16" t="inlineStr">
        <is>
          <t xml:space="preserve">          7K             7K             4K</t>
        </is>
      </c>
      <c r="O140" s="16" t="inlineStr">
        <is>
          <t>FApzaVYXjGqibTvzJKGhSNscQDFYH3JDnRpcpAfypump</t>
        </is>
      </c>
      <c r="P140" s="16">
        <f>HYPERLINK("https://dexscreener.com/solana/FApzaVYXjGqibTvzJKGhSNscQDFYH3JDnRpcpAfypump", "View")</f>
        <v/>
      </c>
    </row>
    <row r="141">
      <c r="A141" s="19" t="inlineStr">
        <is>
          <t>exo</t>
        </is>
      </c>
      <c r="B141" s="20" t="n">
        <v>1879910</v>
      </c>
      <c r="C141" s="20" t="n">
        <v>0</v>
      </c>
      <c r="D141" s="20" t="inlineStr">
        <is>
          <t>0.001410</t>
        </is>
      </c>
      <c r="E141" s="20" t="inlineStr">
        <is>
          <t>0.198 SOL</t>
        </is>
      </c>
      <c r="F141" s="20" t="inlineStr">
        <is>
          <t>0.000 SOL</t>
        </is>
      </c>
      <c r="G141" s="17" t="inlineStr">
        <is>
          <t>-0.199 SOL</t>
        </is>
      </c>
      <c r="H141" s="17" t="inlineStr">
        <is>
          <t>0.00%</t>
        </is>
      </c>
      <c r="I141" s="20" t="inlineStr">
        <is>
          <t>1,879,910</t>
        </is>
      </c>
      <c r="J141" s="20" t="n">
        <v>2</v>
      </c>
      <c r="K141" s="20" t="n">
        <v>0</v>
      </c>
      <c r="L141" s="20" t="inlineStr">
        <is>
          <t>21.10.2024 08:34:26</t>
        </is>
      </c>
      <c r="M141" s="18" t="inlineStr">
        <is>
          <t>0 sec</t>
        </is>
      </c>
      <c r="N141" s="20" t="inlineStr">
        <is>
          <t xml:space="preserve">         19K            19K            25K</t>
        </is>
      </c>
      <c r="O141" s="20" t="inlineStr">
        <is>
          <t>26LDHcthoC5jeQtYJFyRJ14yFVYqwsrMDznAUhWepump</t>
        </is>
      </c>
      <c r="P141" s="20">
        <f>HYPERLINK("https://dexscreener.com/solana/26LDHcthoC5jeQtYJFyRJ14yFVYqwsrMDznAUhWepump", "View")</f>
        <v/>
      </c>
    </row>
    <row r="142">
      <c r="A142" s="15" t="inlineStr">
        <is>
          <t>GLIFY</t>
        </is>
      </c>
      <c r="B142" s="16" t="n">
        <v>1542967</v>
      </c>
      <c r="C142" s="16" t="n">
        <v>1542967</v>
      </c>
      <c r="D142" s="16" t="inlineStr">
        <is>
          <t>0.005640</t>
        </is>
      </c>
      <c r="E142" s="16" t="inlineStr">
        <is>
          <t>0.800 SOL</t>
        </is>
      </c>
      <c r="F142" s="16" t="inlineStr">
        <is>
          <t>0.910 SOL</t>
        </is>
      </c>
      <c r="G142" s="22" t="inlineStr">
        <is>
          <t>0.105 SOL</t>
        </is>
      </c>
      <c r="H142" s="22" t="inlineStr">
        <is>
          <t>13.00%</t>
        </is>
      </c>
      <c r="I142" s="16" t="inlineStr">
        <is>
          <t>N/A</t>
        </is>
      </c>
      <c r="J142" s="16" t="n">
        <v>4</v>
      </c>
      <c r="K142" s="16" t="n">
        <v>4</v>
      </c>
      <c r="L142" s="16" t="inlineStr">
        <is>
          <t>21.10.2024 05:18:59</t>
        </is>
      </c>
      <c r="M142" s="16" t="inlineStr">
        <is>
          <t>19 min</t>
        </is>
      </c>
      <c r="N142" s="16" t="inlineStr">
        <is>
          <t xml:space="preserve">         77K            90K             5K</t>
        </is>
      </c>
      <c r="O142" s="16" t="inlineStr">
        <is>
          <t>5qXSRVe9RG7U39DbAtKSM7Jq6zfaD9Me1mupfbGmpump</t>
        </is>
      </c>
      <c r="P142" s="16">
        <f>HYPERLINK("https://dexscreener.com/solana/5qXSRVe9RG7U39DbAtKSM7Jq6zfaD9Me1mupfbGmpump", "View")</f>
        <v/>
      </c>
    </row>
    <row r="143">
      <c r="A143" s="19" t="inlineStr">
        <is>
          <t>AICAT</t>
        </is>
      </c>
      <c r="B143" s="20" t="n">
        <v>3352867</v>
      </c>
      <c r="C143" s="20" t="n">
        <v>0</v>
      </c>
      <c r="D143" s="20" t="inlineStr">
        <is>
          <t>0.001410</t>
        </is>
      </c>
      <c r="E143" s="20" t="inlineStr">
        <is>
          <t>0.396 SOL</t>
        </is>
      </c>
      <c r="F143" s="20" t="inlineStr">
        <is>
          <t>0.000 SOL</t>
        </is>
      </c>
      <c r="G143" s="17" t="inlineStr">
        <is>
          <t>-0.397 SOL</t>
        </is>
      </c>
      <c r="H143" s="17" t="inlineStr">
        <is>
          <t>0.00%</t>
        </is>
      </c>
      <c r="I143" s="20" t="inlineStr">
        <is>
          <t>3,352,867</t>
        </is>
      </c>
      <c r="J143" s="20" t="n">
        <v>2</v>
      </c>
      <c r="K143" s="20" t="n">
        <v>0</v>
      </c>
      <c r="L143" s="20" t="inlineStr">
        <is>
          <t>21.10.2024 04:44:03</t>
        </is>
      </c>
      <c r="M143" s="18" t="inlineStr">
        <is>
          <t>0 sec</t>
        </is>
      </c>
      <c r="N143" s="20" t="inlineStr">
        <is>
          <t xml:space="preserve">         21K            21K            12K</t>
        </is>
      </c>
      <c r="O143" s="20" t="inlineStr">
        <is>
          <t>FX7RsVm1y59Cr166Eb4VteRzAdTY9idPWtcN15j4pump</t>
        </is>
      </c>
      <c r="P143" s="20">
        <f>HYPERLINK("https://dexscreener.com/solana/FX7RsVm1y59Cr166Eb4VteRzAdTY9idPWtcN15j4pump", "View")</f>
        <v/>
      </c>
    </row>
    <row r="144">
      <c r="A144" s="15" t="inlineStr">
        <is>
          <t>CfAR</t>
        </is>
      </c>
      <c r="B144" s="16" t="n">
        <v>1414010</v>
      </c>
      <c r="C144" s="16" t="n">
        <v>1414010</v>
      </c>
      <c r="D144" s="16" t="inlineStr">
        <is>
          <t>0.002820</t>
        </is>
      </c>
      <c r="E144" s="16" t="inlineStr">
        <is>
          <t>0.400 SOL</t>
        </is>
      </c>
      <c r="F144" s="16" t="inlineStr">
        <is>
          <t>0.181 SOL</t>
        </is>
      </c>
      <c r="G144" s="24" t="inlineStr">
        <is>
          <t>-0.222 SOL</t>
        </is>
      </c>
      <c r="H144" s="24" t="inlineStr">
        <is>
          <t>-55.13%</t>
        </is>
      </c>
      <c r="I144" s="16" t="inlineStr">
        <is>
          <t>N/A</t>
        </is>
      </c>
      <c r="J144" s="16" t="n">
        <v>2</v>
      </c>
      <c r="K144" s="16" t="n">
        <v>2</v>
      </c>
      <c r="L144" s="16" t="inlineStr">
        <is>
          <t>20.10.2024 15:39:52</t>
        </is>
      </c>
      <c r="M144" s="16" t="inlineStr">
        <is>
          <t>8 hours</t>
        </is>
      </c>
      <c r="N144" s="16" t="inlineStr">
        <is>
          <t xml:space="preserve">         49K            23K             5K</t>
        </is>
      </c>
      <c r="O144" s="16" t="inlineStr">
        <is>
          <t>5VrJTBsjpmeGaQaf6EYewARFYVzF1ZCYmxoLf7RPpump</t>
        </is>
      </c>
      <c r="P144" s="16">
        <f>HYPERLINK("https://dexscreener.com/solana/5VrJTBsjpmeGaQaf6EYewARFYVzF1ZCYmxoLf7RPpump", "View")</f>
        <v/>
      </c>
    </row>
    <row r="145">
      <c r="A145" s="19" t="inlineStr">
        <is>
          <t>NOSM</t>
        </is>
      </c>
      <c r="B145" s="20" t="n">
        <v>960039</v>
      </c>
      <c r="C145" s="20" t="n">
        <v>960039</v>
      </c>
      <c r="D145" s="20" t="inlineStr">
        <is>
          <t>0.002820</t>
        </is>
      </c>
      <c r="E145" s="20" t="inlineStr">
        <is>
          <t>0.222 SOL</t>
        </is>
      </c>
      <c r="F145" s="20" t="inlineStr">
        <is>
          <t>0.089 SOL</t>
        </is>
      </c>
      <c r="G145" s="24" t="inlineStr">
        <is>
          <t>-0.135 SOL</t>
        </is>
      </c>
      <c r="H145" s="24" t="inlineStr">
        <is>
          <t>-60.22%</t>
        </is>
      </c>
      <c r="I145" s="20" t="inlineStr">
        <is>
          <t>N/A</t>
        </is>
      </c>
      <c r="J145" s="20" t="n">
        <v>2</v>
      </c>
      <c r="K145" s="20" t="n">
        <v>2</v>
      </c>
      <c r="L145" s="20" t="inlineStr">
        <is>
          <t>20.10.2024 14:36:17</t>
        </is>
      </c>
      <c r="M145" s="20" t="inlineStr">
        <is>
          <t>8 hours</t>
        </is>
      </c>
      <c r="N145" s="20" t="inlineStr">
        <is>
          <t xml:space="preserve">         40K            16K             7K</t>
        </is>
      </c>
      <c r="O145" s="20" t="inlineStr">
        <is>
          <t>Jq27m8AfBJ5gyuzpZqtjfQAgDFUwD8CVAH9dS9hpump</t>
        </is>
      </c>
      <c r="P145" s="20">
        <f>HYPERLINK("https://photon-sol.tinyastro.io/en/lp/Jq27m8AfBJ5gyuzpZqtjfQAgDFUwD8CVAH9dS9hpump?handle=676050794bc1b1657a56b", "View")</f>
        <v/>
      </c>
    </row>
    <row r="146">
      <c r="A146" s="15" t="inlineStr">
        <is>
          <t>JANUS</t>
        </is>
      </c>
      <c r="B146" s="16" t="n">
        <v>2207771</v>
      </c>
      <c r="C146" s="16" t="n">
        <v>2207771</v>
      </c>
      <c r="D146" s="16" t="inlineStr">
        <is>
          <t>0.002820</t>
        </is>
      </c>
      <c r="E146" s="16" t="inlineStr">
        <is>
          <t>0.099 SOL</t>
        </is>
      </c>
      <c r="F146" s="16" t="inlineStr">
        <is>
          <t>0.061 SOL</t>
        </is>
      </c>
      <c r="G146" s="21" t="inlineStr">
        <is>
          <t>-0.041 SOL</t>
        </is>
      </c>
      <c r="H146" s="21" t="inlineStr">
        <is>
          <t>-40.00%</t>
        </is>
      </c>
      <c r="I146" s="16" t="inlineStr">
        <is>
          <t>N/A</t>
        </is>
      </c>
      <c r="J146" s="16" t="n">
        <v>2</v>
      </c>
      <c r="K146" s="16" t="n">
        <v>2</v>
      </c>
      <c r="L146" s="16" t="inlineStr">
        <is>
          <t>20.10.2024 06:47:01</t>
        </is>
      </c>
      <c r="M146" s="16" t="inlineStr">
        <is>
          <t>17 hours</t>
        </is>
      </c>
      <c r="N146" s="16" t="inlineStr">
        <is>
          <t xml:space="preserve">          7K             7K             4K</t>
        </is>
      </c>
      <c r="O146" s="16" t="inlineStr">
        <is>
          <t>8joRyg6QjWq83ZtGY25A3bpcMAgtyEcKY4iNPusCpump</t>
        </is>
      </c>
      <c r="P146" s="16">
        <f>HYPERLINK("https://dexscreener.com/solana/8joRyg6QjWq83ZtGY25A3bpcMAgtyEcKY4iNPusCpump", "View")</f>
        <v/>
      </c>
    </row>
    <row r="147">
      <c r="A147" s="19" t="inlineStr">
        <is>
          <t>Samantha</t>
        </is>
      </c>
      <c r="B147" s="20" t="n">
        <v>1924687</v>
      </c>
      <c r="C147" s="20" t="n">
        <v>0</v>
      </c>
      <c r="D147" s="20" t="inlineStr">
        <is>
          <t>0.001410</t>
        </is>
      </c>
      <c r="E147" s="20" t="inlineStr">
        <is>
          <t>0.099 SOL</t>
        </is>
      </c>
      <c r="F147" s="20" t="inlineStr">
        <is>
          <t>0.000 SOL</t>
        </is>
      </c>
      <c r="G147" s="17" t="inlineStr">
        <is>
          <t>-0.100 SOL</t>
        </is>
      </c>
      <c r="H147" s="17" t="inlineStr">
        <is>
          <t>0.00%</t>
        </is>
      </c>
      <c r="I147" s="20" t="inlineStr">
        <is>
          <t>1,924,687</t>
        </is>
      </c>
      <c r="J147" s="20" t="n">
        <v>2</v>
      </c>
      <c r="K147" s="20" t="n">
        <v>0</v>
      </c>
      <c r="L147" s="20" t="inlineStr">
        <is>
          <t>20.10.2024 06:11:25</t>
        </is>
      </c>
      <c r="M147" s="18" t="inlineStr">
        <is>
          <t>0 sec</t>
        </is>
      </c>
      <c r="N147" s="20" t="inlineStr">
        <is>
          <t xml:space="preserve">          9K             9K             4K</t>
        </is>
      </c>
      <c r="O147" s="20" t="inlineStr">
        <is>
          <t>BWaMsm4AaCEpMXV9iQsyZtwRemVBty5z4HS8oxbApump</t>
        </is>
      </c>
      <c r="P147" s="20">
        <f>HYPERLINK("https://dexscreener.com/solana/BWaMsm4AaCEpMXV9iQsyZtwRemVBty5z4HS8oxbApump", "View")</f>
        <v/>
      </c>
    </row>
    <row r="148">
      <c r="A148" s="15" t="inlineStr">
        <is>
          <t>ECHO</t>
        </is>
      </c>
      <c r="B148" s="16" t="n">
        <v>165007</v>
      </c>
      <c r="C148" s="16" t="n">
        <v>0</v>
      </c>
      <c r="D148" s="16" t="inlineStr">
        <is>
          <t>0.001410</t>
        </is>
      </c>
      <c r="E148" s="16" t="inlineStr">
        <is>
          <t>0.400 SOL</t>
        </is>
      </c>
      <c r="F148" s="16" t="inlineStr">
        <is>
          <t>0.000 SOL</t>
        </is>
      </c>
      <c r="G148" s="17" t="inlineStr">
        <is>
          <t>-0.401 SOL</t>
        </is>
      </c>
      <c r="H148" s="17" t="inlineStr">
        <is>
          <t>0.00%</t>
        </is>
      </c>
      <c r="I148" s="16" t="inlineStr">
        <is>
          <t>165,007</t>
        </is>
      </c>
      <c r="J148" s="16" t="n">
        <v>2</v>
      </c>
      <c r="K148" s="16" t="n">
        <v>0</v>
      </c>
      <c r="L148" s="16" t="inlineStr">
        <is>
          <t>20.10.2024 04:37:02</t>
        </is>
      </c>
      <c r="M148" s="18" t="inlineStr">
        <is>
          <t>0 sec</t>
        </is>
      </c>
      <c r="N148" s="16" t="inlineStr">
        <is>
          <t xml:space="preserve">        383K           383K             9K</t>
        </is>
      </c>
      <c r="O148" s="16" t="inlineStr">
        <is>
          <t>A1VW4WZVQxBvwyxMXdaXp3vYez9ULfFBiTHCVLHapump</t>
        </is>
      </c>
      <c r="P148" s="16">
        <f>HYPERLINK("https://dexscreener.com/solana/A1VW4WZVQxBvwyxMXdaXp3vYez9ULfFBiTHCVLHapump", "View")</f>
        <v/>
      </c>
    </row>
    <row r="149">
      <c r="A149" s="19" t="inlineStr">
        <is>
          <t>ACT</t>
        </is>
      </c>
      <c r="B149" s="20" t="n">
        <v>14886</v>
      </c>
      <c r="C149" s="20" t="n">
        <v>9304</v>
      </c>
      <c r="D149" s="20" t="inlineStr">
        <is>
          <t>0.004230</t>
        </is>
      </c>
      <c r="E149" s="20" t="inlineStr">
        <is>
          <t>0.200 SOL</t>
        </is>
      </c>
      <c r="F149" s="20" t="inlineStr">
        <is>
          <t>1.913 SOL</t>
        </is>
      </c>
      <c r="G149" s="23" t="inlineStr">
        <is>
          <t>1.709 SOL</t>
        </is>
      </c>
      <c r="H149" s="23" t="inlineStr">
        <is>
          <t>836.84%</t>
        </is>
      </c>
      <c r="I149" s="20" t="inlineStr">
        <is>
          <t>N/A</t>
        </is>
      </c>
      <c r="J149" s="20" t="n">
        <v>2</v>
      </c>
      <c r="K149" s="20" t="n">
        <v>4</v>
      </c>
      <c r="L149" s="20" t="inlineStr">
        <is>
          <t>19.10.2024 15:26:33</t>
        </is>
      </c>
      <c r="M149" s="20" t="inlineStr">
        <is>
          <t>3 hours</t>
        </is>
      </c>
      <c r="N149" s="20" t="inlineStr">
        <is>
          <t xml:space="preserve">          2M            36M            35M</t>
        </is>
      </c>
      <c r="O149" s="20" t="inlineStr">
        <is>
          <t>GJAFwWjJ3vnTsrQVabjBVK2TYB1YtRCQXRDfDgUnpump</t>
        </is>
      </c>
      <c r="P149" s="20">
        <f>HYPERLINK("https://dexscreener.com/solana/GJAFwWjJ3vnTsrQVabjBVK2TYB1YtRCQXRDfDgUnpump", "View")</f>
        <v/>
      </c>
    </row>
    <row r="150">
      <c r="A150" s="15" t="inlineStr">
        <is>
          <t>MENA</t>
        </is>
      </c>
      <c r="B150" s="16" t="n">
        <v>187041</v>
      </c>
      <c r="C150" s="16" t="n">
        <v>65394</v>
      </c>
      <c r="D150" s="16" t="inlineStr">
        <is>
          <t>0.004230</t>
        </is>
      </c>
      <c r="E150" s="16" t="inlineStr">
        <is>
          <t>0.500 SOL</t>
        </is>
      </c>
      <c r="F150" s="16" t="inlineStr">
        <is>
          <t>0.226 SOL</t>
        </is>
      </c>
      <c r="G150" s="24" t="inlineStr">
        <is>
          <t>-0.279 SOL</t>
        </is>
      </c>
      <c r="H150" s="24" t="inlineStr">
        <is>
          <t>-55.26%</t>
        </is>
      </c>
      <c r="I150" s="16" t="inlineStr">
        <is>
          <t>N/A</t>
        </is>
      </c>
      <c r="J150" s="16" t="n">
        <v>4</v>
      </c>
      <c r="K150" s="16" t="n">
        <v>2</v>
      </c>
      <c r="L150" s="16" t="inlineStr">
        <is>
          <t>19.10.2024 15:26:00</t>
        </is>
      </c>
      <c r="M150" s="16" t="inlineStr">
        <is>
          <t>42 min</t>
        </is>
      </c>
      <c r="N150" s="16" t="inlineStr">
        <is>
          <t xml:space="preserve">        402K           625K            14K</t>
        </is>
      </c>
      <c r="O150" s="16" t="inlineStr">
        <is>
          <t>4ytpWfVCpJ2nSjahbioPkejnLVBsc7FGZi2hCojppump</t>
        </is>
      </c>
      <c r="P150" s="16">
        <f>HYPERLINK("https://dexscreener.com/solana/4ytpWfVCpJ2nSjahbioPkejnLVBsc7FGZi2hCojppump", "View")</f>
        <v/>
      </c>
    </row>
    <row r="151">
      <c r="A151" s="19" t="inlineStr">
        <is>
          <t>a/alt</t>
        </is>
      </c>
      <c r="B151" s="20" t="n">
        <v>1619350</v>
      </c>
      <c r="C151" s="20" t="n">
        <v>0</v>
      </c>
      <c r="D151" s="20" t="inlineStr">
        <is>
          <t>0.001410</t>
        </is>
      </c>
      <c r="E151" s="20" t="inlineStr">
        <is>
          <t>0.297 SOL</t>
        </is>
      </c>
      <c r="F151" s="20" t="inlineStr">
        <is>
          <t>0.000 SOL</t>
        </is>
      </c>
      <c r="G151" s="17" t="inlineStr">
        <is>
          <t>-0.298 SOL</t>
        </is>
      </c>
      <c r="H151" s="17" t="inlineStr">
        <is>
          <t>0.00%</t>
        </is>
      </c>
      <c r="I151" s="20" t="inlineStr">
        <is>
          <t>1,619,350</t>
        </is>
      </c>
      <c r="J151" s="20" t="n">
        <v>2</v>
      </c>
      <c r="K151" s="20" t="n">
        <v>0</v>
      </c>
      <c r="L151" s="20" t="inlineStr">
        <is>
          <t>19.10.2024 14:31:19</t>
        </is>
      </c>
      <c r="M151" s="18" t="inlineStr">
        <is>
          <t>0 sec</t>
        </is>
      </c>
      <c r="N151" s="20" t="inlineStr">
        <is>
          <t xml:space="preserve">         32K            32K             6K</t>
        </is>
      </c>
      <c r="O151" s="20" t="inlineStr">
        <is>
          <t>B6tbCTAMGzMVitT8Hjj9P6oirBEfAL5cZfELjAg3pump</t>
        </is>
      </c>
      <c r="P151" s="20">
        <f>HYPERLINK("https://dexscreener.com/solana/B6tbCTAMGzMVitT8Hjj9P6oirBEfAL5cZfELjAg3pump", "View")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102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HYPERLINK("https://gmgn.ai/sol/address/EfYpUUvfpfJLJt42kLEwqReSQgEQaKiGeHDvP9UWKWP2", "GMGN")</f>
        <v/>
      </c>
    </row>
    <row r="2">
      <c r="A2" s="3" t="inlineStr">
        <is>
          <t>EfYpUUvfpfJLJt42kLEwqReSQgEQaKiGeHDvP9UWKWP2</t>
        </is>
      </c>
      <c r="B2" s="3" t="inlineStr">
        <is>
          <t>3.42 SOL</t>
        </is>
      </c>
      <c r="C2" s="3" t="inlineStr">
        <is>
          <t>41%</t>
        </is>
      </c>
      <c r="D2" s="3" t="inlineStr">
        <is>
          <t>55%</t>
        </is>
      </c>
      <c r="E2" s="3" t="inlineStr">
        <is>
          <t>65.54 SOL</t>
        </is>
      </c>
      <c r="F2" s="3" t="inlineStr">
        <is>
          <t>5 (6%)</t>
        </is>
      </c>
      <c r="G2" s="3" t="inlineStr">
        <is>
          <t>0 (0%)</t>
        </is>
      </c>
      <c r="H2" s="3" t="n">
        <v>83</v>
      </c>
      <c r="I2" s="3" t="n">
        <v>0</v>
      </c>
      <c r="J2" s="3" t="inlineStr">
        <is>
          <t>57 days</t>
        </is>
      </c>
      <c r="K2" s="3" t="inlineStr">
        <is>
          <t>11 min</t>
        </is>
      </c>
      <c r="L2" s="3" t="n">
        <v>79</v>
      </c>
      <c r="M2" s="3" t="n">
        <v>21</v>
      </c>
      <c r="N2" s="3">
        <f>HYPERLINK("https://solscan.io/account/EfYpUUvfpfJLJt42kLEwqReSQgEQaKiGeHDvP9UWKWP2", "Solscan")</f>
        <v/>
      </c>
    </row>
    <row r="3">
      <c r="A3" s="6" t="inlineStr">
        <is>
          <t>Median ROI</t>
        </is>
      </c>
      <c r="B3" s="5" t="inlineStr">
        <is>
          <t>-4.80%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HYPERLINK("https://birdeye.so/profile/EfYpUUvfpfJLJt42kLEwqReSQgEQaKiGeHDvP9UWKWP2", "Birdeye")</f>
        <v/>
      </c>
    </row>
    <row r="4">
      <c r="A4" s="6" t="inlineStr">
        <is>
          <t>Rockets percent</t>
        </is>
      </c>
      <c r="B4" s="3" t="inlineStr">
        <is>
          <t>10%</t>
        </is>
      </c>
      <c r="C4" s="3" t="inlineStr"/>
      <c r="D4" s="3" t="inlineStr">
        <is>
          <t>1%</t>
        </is>
      </c>
      <c r="E4" s="3" t="inlineStr">
        <is>
          <t>0.83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60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1.3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5</v>
      </c>
      <c r="D10" s="6" t="n">
        <v>3</v>
      </c>
      <c r="E10" s="6" t="n">
        <v>23</v>
      </c>
      <c r="F10" s="6" t="n">
        <v>46</v>
      </c>
      <c r="G10" s="6" t="n">
        <v>3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3.6%</t>
        </is>
      </c>
      <c r="C11" s="6" t="inlineStr">
        <is>
          <t>6.0%</t>
        </is>
      </c>
      <c r="D11" s="6" t="inlineStr">
        <is>
          <t>3.6%</t>
        </is>
      </c>
      <c r="E11" s="6" t="inlineStr">
        <is>
          <t>27.7%</t>
        </is>
      </c>
      <c r="F11" s="6" t="inlineStr">
        <is>
          <t>55.4%</t>
        </is>
      </c>
      <c r="G11" s="6" t="inlineStr">
        <is>
          <t>3.6%</t>
        </is>
      </c>
      <c r="H11" s="3" t="n"/>
      <c r="I11" s="3" t="inlineStr">
        <is>
          <t>5k-30k</t>
        </is>
      </c>
      <c r="J11" s="3" t="inlineStr">
        <is>
          <t>17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60.0 SOL</t>
        </is>
      </c>
      <c r="C12" s="6" t="inlineStr">
        <is>
          <t>12.9 SOL</t>
        </is>
      </c>
      <c r="D12" s="6" t="inlineStr">
        <is>
          <t>3.2 SOL</t>
        </is>
      </c>
      <c r="E12" s="6" t="inlineStr">
        <is>
          <t>3.4 SOL</t>
        </is>
      </c>
      <c r="F12" s="6" t="inlineStr">
        <is>
          <t>-11.2 SOL</t>
        </is>
      </c>
      <c r="G12" s="6" t="inlineStr">
        <is>
          <t>-2.8 SOL</t>
        </is>
      </c>
      <c r="H12" s="3" t="n"/>
      <c r="I12" s="3" t="inlineStr">
        <is>
          <t>30k-100k</t>
        </is>
      </c>
      <c r="J12" s="3" t="inlineStr">
        <is>
          <t>4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9.0K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HENRY</t>
        </is>
      </c>
      <c r="B20" s="16" t="n">
        <v>12329734</v>
      </c>
      <c r="C20" s="16" t="n">
        <v>12329734</v>
      </c>
      <c r="D20" s="16" t="inlineStr">
        <is>
          <t>0.011010</t>
        </is>
      </c>
      <c r="E20" s="16" t="inlineStr">
        <is>
          <t>1.137 SOL</t>
        </is>
      </c>
      <c r="F20" s="16" t="inlineStr">
        <is>
          <t>0.975 SOL</t>
        </is>
      </c>
      <c r="G20" s="21" t="inlineStr">
        <is>
          <t>-0.174 SOL</t>
        </is>
      </c>
      <c r="H20" s="21" t="inlineStr">
        <is>
          <t>-15.13%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18:59:12</t>
        </is>
      </c>
      <c r="M20" s="16" t="inlineStr">
        <is>
          <t>7 min</t>
        </is>
      </c>
      <c r="N20" s="16" t="inlineStr">
        <is>
          <t xml:space="preserve">         16K            14K           126K</t>
        </is>
      </c>
      <c r="O20" s="16" t="inlineStr">
        <is>
          <t>4dLCbmG6LRrW4DUgDnpuctayzzQVp3urQqBnLQSApump</t>
        </is>
      </c>
      <c r="P20" s="16">
        <f>HYPERLINK("https://photon-sol.tinyastro.io/en/lp/4dLCbmG6LRrW4DUgDnpuctayzzQVp3urQqBnLQSApump?handle=676050794bc1b1657a56b", "View")</f>
        <v/>
      </c>
    </row>
    <row r="21">
      <c r="A21" s="19" t="inlineStr">
        <is>
          <t>Panda</t>
        </is>
      </c>
      <c r="B21" s="20" t="n">
        <v>30455269</v>
      </c>
      <c r="C21" s="20" t="n">
        <v>30455269</v>
      </c>
      <c r="D21" s="20" t="inlineStr">
        <is>
          <t>0.011010</t>
        </is>
      </c>
      <c r="E21" s="20" t="inlineStr">
        <is>
          <t>1.023 SOL</t>
        </is>
      </c>
      <c r="F21" s="20" t="inlineStr">
        <is>
          <t>0.994 SOL</t>
        </is>
      </c>
      <c r="G21" s="21" t="inlineStr">
        <is>
          <t>-0.040 SOL</t>
        </is>
      </c>
      <c r="H21" s="21" t="inlineStr">
        <is>
          <t>-3.85%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01:35:59</t>
        </is>
      </c>
      <c r="M21" s="20" t="inlineStr">
        <is>
          <t>2 min</t>
        </is>
      </c>
      <c r="N21" s="20" t="inlineStr">
        <is>
          <t xml:space="preserve">          5K             5K             5K</t>
        </is>
      </c>
      <c r="O21" s="20" t="inlineStr">
        <is>
          <t>42j61CgZY7kevsk63HTamDCTDV91FGQexLi7mHDBpump</t>
        </is>
      </c>
      <c r="P21" s="20">
        <f>HYPERLINK("https://photon-sol.tinyastro.io/en/lp/42j61CgZY7kevsk63HTamDCTDV91FGQexLi7mHDBpump?handle=676050794bc1b1657a56b", "View")</f>
        <v/>
      </c>
    </row>
    <row r="22">
      <c r="A22" s="15" t="inlineStr">
        <is>
          <t>Eagle</t>
        </is>
      </c>
      <c r="B22" s="16" t="n">
        <v>34893736</v>
      </c>
      <c r="C22" s="16" t="n">
        <v>34893736</v>
      </c>
      <c r="D22" s="16" t="inlineStr">
        <is>
          <t>0.030020</t>
        </is>
      </c>
      <c r="E22" s="16" t="inlineStr">
        <is>
          <t>1.276 SOL</t>
        </is>
      </c>
      <c r="F22" s="16" t="inlineStr">
        <is>
          <t>1.058 SOL</t>
        </is>
      </c>
      <c r="G22" s="21" t="inlineStr">
        <is>
          <t>-0.248 SOL</t>
        </is>
      </c>
      <c r="H22" s="21" t="inlineStr">
        <is>
          <t>-19.02%</t>
        </is>
      </c>
      <c r="I22" s="16" t="inlineStr">
        <is>
          <t>N/A</t>
        </is>
      </c>
      <c r="J22" s="16" t="n">
        <v>2</v>
      </c>
      <c r="K22" s="16" t="n">
        <v>1</v>
      </c>
      <c r="L22" s="16" t="inlineStr">
        <is>
          <t>30.10.2024 01:06:22</t>
        </is>
      </c>
      <c r="M22" s="16" t="inlineStr">
        <is>
          <t>5 min</t>
        </is>
      </c>
      <c r="N22" s="16" t="inlineStr">
        <is>
          <t xml:space="preserve">          7K             5K             5K</t>
        </is>
      </c>
      <c r="O22" s="16" t="inlineStr">
        <is>
          <t>AsqnquqQ2z6UmJ1i2cXBjE8oFfSDuLmGso5MxwRpump</t>
        </is>
      </c>
      <c r="P22" s="16">
        <f>HYPERLINK("https://photon-sol.tinyastro.io/en/lp/AsqnquqQ2z6UmJ1i2cXBjE8oFfSDuLmGso5MxwRpump?handle=676050794bc1b1657a56b", "View")</f>
        <v/>
      </c>
    </row>
    <row r="23">
      <c r="A23" s="19" t="inlineStr">
        <is>
          <t>racks</t>
        </is>
      </c>
      <c r="B23" s="20" t="n">
        <v>59523334</v>
      </c>
      <c r="C23" s="20" t="n">
        <v>59523334</v>
      </c>
      <c r="D23" s="20" t="inlineStr">
        <is>
          <t>0.031020</t>
        </is>
      </c>
      <c r="E23" s="20" t="inlineStr">
        <is>
          <t>2.003 SOL</t>
        </is>
      </c>
      <c r="F23" s="20" t="inlineStr">
        <is>
          <t>2.087 SOL</t>
        </is>
      </c>
      <c r="G23" s="22" t="inlineStr">
        <is>
          <t>0.053 SOL</t>
        </is>
      </c>
      <c r="H23" s="22" t="inlineStr">
        <is>
          <t>2.63%</t>
        </is>
      </c>
      <c r="I23" s="20" t="inlineStr">
        <is>
          <t>N/A</t>
        </is>
      </c>
      <c r="J23" s="20" t="n">
        <v>2</v>
      </c>
      <c r="K23" s="20" t="n">
        <v>2</v>
      </c>
      <c r="L23" s="20" t="inlineStr">
        <is>
          <t>29.10.2024 22:35:01</t>
        </is>
      </c>
      <c r="M23" s="20" t="inlineStr">
        <is>
          <t>33 min</t>
        </is>
      </c>
      <c r="N23" s="20" t="inlineStr">
        <is>
          <t xml:space="preserve">          7K             7K             5K</t>
        </is>
      </c>
      <c r="O23" s="20" t="inlineStr">
        <is>
          <t>pWk9oKmFSg8UHw9qzxa4xBT5eMyoN21wyt61AWApump</t>
        </is>
      </c>
      <c r="P23" s="20">
        <f>HYPERLINK("https://photon-sol.tinyastro.io/en/lp/pWk9oKmFSg8UHw9qzxa4xBT5eMyoN21wyt61AWApump?handle=676050794bc1b1657a56b", "View")</f>
        <v/>
      </c>
    </row>
    <row r="24">
      <c r="A24" s="15" t="inlineStr">
        <is>
          <t>MOP</t>
        </is>
      </c>
      <c r="B24" s="16" t="n">
        <v>10446526</v>
      </c>
      <c r="C24" s="16" t="n">
        <v>10446526</v>
      </c>
      <c r="D24" s="16" t="inlineStr">
        <is>
          <t>0.020010</t>
        </is>
      </c>
      <c r="E24" s="16" t="inlineStr">
        <is>
          <t>1.336 SOL</t>
        </is>
      </c>
      <c r="F24" s="16" t="inlineStr">
        <is>
          <t>0.967 SOL</t>
        </is>
      </c>
      <c r="G24" s="21" t="inlineStr">
        <is>
          <t>-0.389 SOL</t>
        </is>
      </c>
      <c r="H24" s="21" t="inlineStr">
        <is>
          <t>-28.69%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26.10.2024 18:54:09</t>
        </is>
      </c>
      <c r="M24" s="16" t="inlineStr">
        <is>
          <t>1 min</t>
        </is>
      </c>
      <c r="N24" s="16" t="inlineStr">
        <is>
          <t xml:space="preserve">         23K            16K             5K</t>
        </is>
      </c>
      <c r="O24" s="16" t="inlineStr">
        <is>
          <t>7zkS7Re3uo69RWMd5FMG7aewcyJTzyVc41GZvE89pump</t>
        </is>
      </c>
      <c r="P24" s="16">
        <f>HYPERLINK("https://photon-sol.tinyastro.io/en/lp/7zkS7Re3uo69RWMd5FMG7aewcyJTzyVc41GZvE89pump?handle=676050794bc1b1657a56b", "View")</f>
        <v/>
      </c>
    </row>
    <row r="25">
      <c r="A25" s="19" t="inlineStr">
        <is>
          <t>SCOOK</t>
        </is>
      </c>
      <c r="B25" s="20" t="n">
        <v>31210014</v>
      </c>
      <c r="C25" s="20" t="n">
        <v>31210014</v>
      </c>
      <c r="D25" s="20" t="inlineStr">
        <is>
          <t>0.021010</t>
        </is>
      </c>
      <c r="E25" s="20" t="inlineStr">
        <is>
          <t>0.921 SOL</t>
        </is>
      </c>
      <c r="F25" s="20" t="inlineStr">
        <is>
          <t>0.960 SOL</t>
        </is>
      </c>
      <c r="G25" s="22" t="inlineStr">
        <is>
          <t>0.018 SOL</t>
        </is>
      </c>
      <c r="H25" s="22" t="inlineStr">
        <is>
          <t>1.90%</t>
        </is>
      </c>
      <c r="I25" s="20" t="inlineStr">
        <is>
          <t>N/A</t>
        </is>
      </c>
      <c r="J25" s="20" t="n">
        <v>1</v>
      </c>
      <c r="K25" s="20" t="n">
        <v>2</v>
      </c>
      <c r="L25" s="20" t="inlineStr">
        <is>
          <t>26.10.2024 16:59:10</t>
        </is>
      </c>
      <c r="M25" s="20" t="inlineStr">
        <is>
          <t>11 hours</t>
        </is>
      </c>
      <c r="N25" s="20" t="inlineStr">
        <is>
          <t xml:space="preserve">          5K             5K             5K</t>
        </is>
      </c>
      <c r="O25" s="20" t="inlineStr">
        <is>
          <t>dp8src5zSNKRTaUY9Kf22HMLuREGKKNntnPThdnpump</t>
        </is>
      </c>
      <c r="P25" s="20">
        <f>HYPERLINK("https://photon-sol.tinyastro.io/en/lp/dp8src5zSNKRTaUY9Kf22HMLuREGKKNntnPThdnpump?handle=676050794bc1b1657a56b", "View")</f>
        <v/>
      </c>
    </row>
    <row r="26">
      <c r="A26" s="15" t="inlineStr">
        <is>
          <t>Mohan</t>
        </is>
      </c>
      <c r="B26" s="16" t="n">
        <v>12292842</v>
      </c>
      <c r="C26" s="16" t="n">
        <v>12292842</v>
      </c>
      <c r="D26" s="16" t="inlineStr">
        <is>
          <t>0.011010</t>
        </is>
      </c>
      <c r="E26" s="16" t="inlineStr">
        <is>
          <t>1.064 SOL</t>
        </is>
      </c>
      <c r="F26" s="16" t="inlineStr">
        <is>
          <t>1.045 SOL</t>
        </is>
      </c>
      <c r="G26" s="21" t="inlineStr">
        <is>
          <t>-0.030 SOL</t>
        </is>
      </c>
      <c r="H26" s="21" t="inlineStr">
        <is>
          <t>-2.75%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25.10.2024 21:03:15</t>
        </is>
      </c>
      <c r="M26" s="16" t="inlineStr">
        <is>
          <t>3 min</t>
        </is>
      </c>
      <c r="N26" s="16" t="inlineStr">
        <is>
          <t xml:space="preserve">         16K            16K             5K</t>
        </is>
      </c>
      <c r="O26" s="16" t="inlineStr">
        <is>
          <t>7saajSdF58UZ77ukYmD6RL7JKpU3BZipZPphFvVypump</t>
        </is>
      </c>
      <c r="P26" s="16">
        <f>HYPERLINK("https://photon-sol.tinyastro.io/en/lp/7saajSdF58UZ77ukYmD6RL7JKpU3BZipZPphFvVypump?handle=676050794bc1b1657a56b", "View")</f>
        <v/>
      </c>
    </row>
    <row r="27">
      <c r="A27" s="19" t="inlineStr">
        <is>
          <t>FIGHTCAT</t>
        </is>
      </c>
      <c r="B27" s="20" t="n">
        <v>12978485</v>
      </c>
      <c r="C27" s="20" t="n">
        <v>12978485</v>
      </c>
      <c r="D27" s="20" t="inlineStr">
        <is>
          <t>0.011010</t>
        </is>
      </c>
      <c r="E27" s="20" t="inlineStr">
        <is>
          <t>0.513 SOL</t>
        </is>
      </c>
      <c r="F27" s="20" t="inlineStr">
        <is>
          <t>0.482 SOL</t>
        </is>
      </c>
      <c r="G27" s="21" t="inlineStr">
        <is>
          <t>-0.042 SOL</t>
        </is>
      </c>
      <c r="H27" s="21" t="inlineStr">
        <is>
          <t>-7.98%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16.10.2024 12:33:04</t>
        </is>
      </c>
      <c r="M27" s="20" t="inlineStr">
        <is>
          <t>17 min</t>
        </is>
      </c>
      <c r="N27" s="20" t="inlineStr">
        <is>
          <t xml:space="preserve">        N/A           N/A           N/A</t>
        </is>
      </c>
      <c r="O27" s="20" t="inlineStr">
        <is>
          <t>DXsCMPWkXPfvogWTcSQZ1xSzzpFDwgr26jd58jpT1dbe</t>
        </is>
      </c>
      <c r="P27" s="20">
        <f>HYPERLINK("https://photon-sol.tinyastro.io/en/lp/DXsCMPWkXPfvogWTcSQZ1xSzzpFDwgr26jd58jpT1dbe?handle=676050794bc1b1657a56b", "View")</f>
        <v/>
      </c>
    </row>
    <row r="28">
      <c r="A28" s="15" t="inlineStr">
        <is>
          <t>0</t>
        </is>
      </c>
      <c r="B28" s="16" t="n">
        <v>35778199</v>
      </c>
      <c r="C28" s="16" t="n">
        <v>35778199</v>
      </c>
      <c r="D28" s="16" t="inlineStr">
        <is>
          <t>0.022020</t>
        </is>
      </c>
      <c r="E28" s="16" t="inlineStr">
        <is>
          <t>3.149 SOL</t>
        </is>
      </c>
      <c r="F28" s="16" t="inlineStr">
        <is>
          <t>2.885 SOL</t>
        </is>
      </c>
      <c r="G28" s="21" t="inlineStr">
        <is>
          <t>-0.286 SOL</t>
        </is>
      </c>
      <c r="H28" s="21" t="inlineStr">
        <is>
          <t>-9.01%</t>
        </is>
      </c>
      <c r="I28" s="16" t="inlineStr">
        <is>
          <t>N/A</t>
        </is>
      </c>
      <c r="J28" s="16" t="n">
        <v>2</v>
      </c>
      <c r="K28" s="16" t="n">
        <v>2</v>
      </c>
      <c r="L28" s="16" t="inlineStr">
        <is>
          <t>14.10.2024 22:02:51</t>
        </is>
      </c>
      <c r="M28" s="16" t="inlineStr">
        <is>
          <t>36 min</t>
        </is>
      </c>
      <c r="N28" s="16" t="inlineStr">
        <is>
          <t xml:space="preserve">        N/A           N/A           N/A</t>
        </is>
      </c>
      <c r="O28" s="16" t="inlineStr">
        <is>
          <t>4kDjw6juYpXyFNyY4MB5i5J2MhemPUhoipd5EYttpump</t>
        </is>
      </c>
      <c r="P28" s="16">
        <f>HYPERLINK("https://photon-sol.tinyastro.io/en/lp/4kDjw6juYpXyFNyY4MB5i5J2MhemPUhoipd5EYttpump?handle=676050794bc1b1657a56b", "View")</f>
        <v/>
      </c>
    </row>
    <row r="29">
      <c r="A29" s="19" t="inlineStr">
        <is>
          <t>Alan</t>
        </is>
      </c>
      <c r="B29" s="20" t="n">
        <v>49105680</v>
      </c>
      <c r="C29" s="20" t="n">
        <v>26864353</v>
      </c>
      <c r="D29" s="20" t="inlineStr">
        <is>
          <t>0.023020</t>
        </is>
      </c>
      <c r="E29" s="20" t="inlineStr">
        <is>
          <t>1.940 SOL</t>
        </is>
      </c>
      <c r="F29" s="20" t="inlineStr">
        <is>
          <t>1.013 SOL</t>
        </is>
      </c>
      <c r="G29" s="21" t="inlineStr">
        <is>
          <t>-0.950 SOL</t>
        </is>
      </c>
      <c r="H29" s="21" t="inlineStr">
        <is>
          <t>-48.38%</t>
        </is>
      </c>
      <c r="I29" s="20" t="inlineStr">
        <is>
          <t>N/A</t>
        </is>
      </c>
      <c r="J29" s="20" t="n">
        <v>3</v>
      </c>
      <c r="K29" s="20" t="n">
        <v>2</v>
      </c>
      <c r="L29" s="20" t="inlineStr">
        <is>
          <t>12.10.2024 23:57:02</t>
        </is>
      </c>
      <c r="M29" s="20" t="inlineStr">
        <is>
          <t>27 min</t>
        </is>
      </c>
      <c r="N29" s="20" t="inlineStr">
        <is>
          <t xml:space="preserve">        N/A           N/A           N/A</t>
        </is>
      </c>
      <c r="O29" s="20" t="inlineStr">
        <is>
          <t>GUsc3Y2hJExiDPWxBRAuVAaL9YJTYWN2ReUY3yhLpump</t>
        </is>
      </c>
      <c r="P29" s="20">
        <f>HYPERLINK("https://photon-sol.tinyastro.io/en/lp/GUsc3Y2hJExiDPWxBRAuVAaL9YJTYWN2ReUY3yhLpump?handle=676050794bc1b1657a56b", "View")</f>
        <v/>
      </c>
    </row>
    <row r="30">
      <c r="A30" s="15" t="inlineStr">
        <is>
          <t>ALAN</t>
        </is>
      </c>
      <c r="B30" s="16" t="n">
        <v>18286856</v>
      </c>
      <c r="C30" s="16" t="n">
        <v>0</v>
      </c>
      <c r="D30" s="16" t="inlineStr">
        <is>
          <t>0.001010</t>
        </is>
      </c>
      <c r="E30" s="16" t="inlineStr">
        <is>
          <t>0.500 SOL</t>
        </is>
      </c>
      <c r="F30" s="16" t="inlineStr">
        <is>
          <t>0.000 SOL</t>
        </is>
      </c>
      <c r="G30" s="17" t="inlineStr">
        <is>
          <t>-0.501 SOL</t>
        </is>
      </c>
      <c r="H30" s="17" t="inlineStr">
        <is>
          <t>0.00%</t>
        </is>
      </c>
      <c r="I30" s="16" t="inlineStr">
        <is>
          <t>18,286,856</t>
        </is>
      </c>
      <c r="J30" s="16" t="n">
        <v>1</v>
      </c>
      <c r="K30" s="16" t="n">
        <v>0</v>
      </c>
      <c r="L30" s="16" t="inlineStr">
        <is>
          <t>11.10.2024 23:27:52</t>
        </is>
      </c>
      <c r="M30" s="18" t="inlineStr">
        <is>
          <t>0 sec</t>
        </is>
      </c>
      <c r="N30" s="16" t="inlineStr">
        <is>
          <t xml:space="preserve">          5K             5K             5K</t>
        </is>
      </c>
      <c r="O30" s="16" t="inlineStr">
        <is>
          <t>2Hkv5a84LNfBYu9JpWuLjpU75iaXpN3vAzwUW8iipump</t>
        </is>
      </c>
      <c r="P30" s="16">
        <f>HYPERLINK("https://dexscreener.com/solana/2Hkv5a84LNfBYu9JpWuLjpU75iaXpN3vAzwUW8iipump", "View")</f>
        <v/>
      </c>
    </row>
    <row r="31">
      <c r="A31" s="19" t="inlineStr">
        <is>
          <t>MORE</t>
        </is>
      </c>
      <c r="B31" s="20" t="n">
        <v>12143396</v>
      </c>
      <c r="C31" s="20" t="n">
        <v>12143396</v>
      </c>
      <c r="D31" s="20" t="inlineStr">
        <is>
          <t>0.011010</t>
        </is>
      </c>
      <c r="E31" s="20" t="inlineStr">
        <is>
          <t>0.527 SOL</t>
        </is>
      </c>
      <c r="F31" s="20" t="inlineStr">
        <is>
          <t>0.559 SOL</t>
        </is>
      </c>
      <c r="G31" s="22" t="inlineStr">
        <is>
          <t>0.021 SOL</t>
        </is>
      </c>
      <c r="H31" s="22" t="inlineStr">
        <is>
          <t>3.90%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10.10.2024 12:43:45</t>
        </is>
      </c>
      <c r="M31" s="20" t="inlineStr">
        <is>
          <t>4 min</t>
        </is>
      </c>
      <c r="N31" s="20" t="inlineStr">
        <is>
          <t xml:space="preserve">        N/A           N/A           N/A</t>
        </is>
      </c>
      <c r="O31" s="20" t="inlineStr">
        <is>
          <t>F7Cu3aykm4d6f4VChNfwUSVbkLMe7NUsPuiqsCZxpump</t>
        </is>
      </c>
      <c r="P31" s="20">
        <f>HYPERLINK("https://photon-sol.tinyastro.io/en/lp/F7Cu3aykm4d6f4VChNfwUSVbkLMe7NUsPuiqsCZxpump?handle=676050794bc1b1657a56b", "View")</f>
        <v/>
      </c>
    </row>
    <row r="32">
      <c r="A32" s="15" t="inlineStr">
        <is>
          <t>MAXXING</t>
        </is>
      </c>
      <c r="B32" s="16" t="n">
        <v>24197891</v>
      </c>
      <c r="C32" s="16" t="n">
        <v>24197891</v>
      </c>
      <c r="D32" s="16" t="inlineStr">
        <is>
          <t>0.011010</t>
        </is>
      </c>
      <c r="E32" s="16" t="inlineStr">
        <is>
          <t>1.022 SOL</t>
        </is>
      </c>
      <c r="F32" s="16" t="inlineStr">
        <is>
          <t>1.253 SOL</t>
        </is>
      </c>
      <c r="G32" s="22" t="inlineStr">
        <is>
          <t>0.220 SOL</t>
        </is>
      </c>
      <c r="H32" s="22" t="inlineStr">
        <is>
          <t>21.25%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10.10.2024 01:58:33</t>
        </is>
      </c>
      <c r="M32" s="16" t="inlineStr">
        <is>
          <t>1 min</t>
        </is>
      </c>
      <c r="N32" s="16" t="inlineStr">
        <is>
          <t xml:space="preserve">        N/A           N/A           N/A</t>
        </is>
      </c>
      <c r="O32" s="16" t="inlineStr">
        <is>
          <t>HxdjpBReva9idtUvoW84yYgkZuCnTGzYrpRyLenVpump</t>
        </is>
      </c>
      <c r="P32" s="16">
        <f>HYPERLINK("https://photon-sol.tinyastro.io/en/lp/HxdjpBReva9idtUvoW84yYgkZuCnTGzYrpRyLenVpump?handle=676050794bc1b1657a56b", "View")</f>
        <v/>
      </c>
    </row>
    <row r="33">
      <c r="A33" s="19" t="inlineStr">
        <is>
          <t>Conquer</t>
        </is>
      </c>
      <c r="B33" s="20" t="n">
        <v>30132347</v>
      </c>
      <c r="C33" s="20" t="n">
        <v>30132347</v>
      </c>
      <c r="D33" s="20" t="inlineStr">
        <is>
          <t>0.011010</t>
        </is>
      </c>
      <c r="E33" s="20" t="inlineStr">
        <is>
          <t>2.227 SOL</t>
        </is>
      </c>
      <c r="F33" s="20" t="inlineStr">
        <is>
          <t>1.685 SOL</t>
        </is>
      </c>
      <c r="G33" s="21" t="inlineStr">
        <is>
          <t>-0.553 SOL</t>
        </is>
      </c>
      <c r="H33" s="21" t="inlineStr">
        <is>
          <t>-24.71%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10.10.2024 00:59:49</t>
        </is>
      </c>
      <c r="M33" s="18" t="inlineStr">
        <is>
          <t>29 sec</t>
        </is>
      </c>
      <c r="N33" s="20" t="inlineStr">
        <is>
          <t xml:space="preserve">        N/A           N/A           N/A</t>
        </is>
      </c>
      <c r="O33" s="20" t="inlineStr">
        <is>
          <t>8ujf4NRuTr9HDxNdYZa375Gh2tR9f2Btk9tZnvFmpump</t>
        </is>
      </c>
      <c r="P33" s="20">
        <f>HYPERLINK("https://photon-sol.tinyastro.io/en/lp/8ujf4NRuTr9HDxNdYZa375Gh2tR9f2Btk9tZnvFmpump?handle=676050794bc1b1657a56b", "View")</f>
        <v/>
      </c>
    </row>
    <row r="34">
      <c r="A34" s="15" t="inlineStr">
        <is>
          <t>IDGAF</t>
        </is>
      </c>
      <c r="B34" s="16" t="n">
        <v>13928224</v>
      </c>
      <c r="C34" s="16" t="n">
        <v>13928224</v>
      </c>
      <c r="D34" s="16" t="inlineStr">
        <is>
          <t>0.011010</t>
        </is>
      </c>
      <c r="E34" s="16" t="inlineStr">
        <is>
          <t>2.135 SOL</t>
        </is>
      </c>
      <c r="F34" s="16" t="inlineStr">
        <is>
          <t>2.119 SOL</t>
        </is>
      </c>
      <c r="G34" s="21" t="inlineStr">
        <is>
          <t>-0.027 SOL</t>
        </is>
      </c>
      <c r="H34" s="21" t="inlineStr">
        <is>
          <t>-1.25%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09.10.2024 12:16:28</t>
        </is>
      </c>
      <c r="M34" s="16" t="inlineStr">
        <is>
          <t>3 min</t>
        </is>
      </c>
      <c r="N34" s="16" t="inlineStr">
        <is>
          <t xml:space="preserve">        N/A           N/A           N/A</t>
        </is>
      </c>
      <c r="O34" s="16" t="inlineStr">
        <is>
          <t>6ZF4BuJ8ixFrhtNmWaZzihz3JhYZUKTxrWUzf1j5pump</t>
        </is>
      </c>
      <c r="P34" s="16">
        <f>HYPERLINK("https://photon-sol.tinyastro.io/en/lp/6ZF4BuJ8ixFrhtNmWaZzihz3JhYZUKTxrWUzf1j5pump?handle=676050794bc1b1657a56b", "View")</f>
        <v/>
      </c>
    </row>
    <row r="35">
      <c r="A35" s="19" t="inlineStr">
        <is>
          <t>THIS</t>
        </is>
      </c>
      <c r="B35" s="20" t="n">
        <v>15426027</v>
      </c>
      <c r="C35" s="20" t="n">
        <v>15426027</v>
      </c>
      <c r="D35" s="20" t="inlineStr">
        <is>
          <t>0.011010</t>
        </is>
      </c>
      <c r="E35" s="20" t="inlineStr">
        <is>
          <t>0.513 SOL</t>
        </is>
      </c>
      <c r="F35" s="20" t="inlineStr">
        <is>
          <t>0.472 SOL</t>
        </is>
      </c>
      <c r="G35" s="21" t="inlineStr">
        <is>
          <t>-0.052 SOL</t>
        </is>
      </c>
      <c r="H35" s="21" t="inlineStr">
        <is>
          <t>-9.94%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09.10.2024 10:57:32</t>
        </is>
      </c>
      <c r="M35" s="20" t="inlineStr">
        <is>
          <t>1 min</t>
        </is>
      </c>
      <c r="N35" s="20" t="inlineStr">
        <is>
          <t xml:space="preserve">        N/A           N/A           N/A</t>
        </is>
      </c>
      <c r="O35" s="20" t="inlineStr">
        <is>
          <t>FeLqLQhznywFBUueSGWtWoEjWGrjvhzV4eoBQq5Zpump</t>
        </is>
      </c>
      <c r="P35" s="20">
        <f>HYPERLINK("https://photon-sol.tinyastro.io/en/lp/FeLqLQhznywFBUueSGWtWoEjWGrjvhzV4eoBQq5Zpump?handle=676050794bc1b1657a56b", "View")</f>
        <v/>
      </c>
    </row>
    <row r="36">
      <c r="A36" s="15" t="inlineStr">
        <is>
          <t>wen</t>
        </is>
      </c>
      <c r="B36" s="16" t="n">
        <v>9661995</v>
      </c>
      <c r="C36" s="16" t="n">
        <v>9661995</v>
      </c>
      <c r="D36" s="16" t="inlineStr">
        <is>
          <t>0.011010</t>
        </is>
      </c>
      <c r="E36" s="16" t="inlineStr">
        <is>
          <t>2.892 SOL</t>
        </is>
      </c>
      <c r="F36" s="16" t="inlineStr">
        <is>
          <t>1.254 SOL</t>
        </is>
      </c>
      <c r="G36" s="24" t="inlineStr">
        <is>
          <t>-1.649 SOL</t>
        </is>
      </c>
      <c r="H36" s="24" t="inlineStr">
        <is>
          <t>-56.81%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06.10.2024 20:41:50</t>
        </is>
      </c>
      <c r="M36" s="16" t="inlineStr">
        <is>
          <t>10 min</t>
        </is>
      </c>
      <c r="N36" s="16" t="inlineStr">
        <is>
          <t xml:space="preserve">         53K            23K             4K</t>
        </is>
      </c>
      <c r="O36" s="16" t="inlineStr">
        <is>
          <t>8EmyKAMFPXjcVy1iTGKovxEpULzhZkzJeBLX6STypump</t>
        </is>
      </c>
      <c r="P36" s="16">
        <f>HYPERLINK("https://photon-sol.tinyastro.io/en/lp/8EmyKAMFPXjcVy1iTGKovxEpULzhZkzJeBLX6STypump?handle=676050794bc1b1657a56b", "View")</f>
        <v/>
      </c>
    </row>
    <row r="37">
      <c r="A37" s="19" t="inlineStr">
        <is>
          <t>PING</t>
        </is>
      </c>
      <c r="B37" s="20" t="n">
        <v>41779649</v>
      </c>
      <c r="C37" s="20" t="n">
        <v>41779649</v>
      </c>
      <c r="D37" s="20" t="inlineStr">
        <is>
          <t>0.022020</t>
        </is>
      </c>
      <c r="E37" s="20" t="inlineStr">
        <is>
          <t>2.042 SOL</t>
        </is>
      </c>
      <c r="F37" s="20" t="inlineStr">
        <is>
          <t>2.148 SOL</t>
        </is>
      </c>
      <c r="G37" s="22" t="inlineStr">
        <is>
          <t>0.084 SOL</t>
        </is>
      </c>
      <c r="H37" s="22" t="inlineStr">
        <is>
          <t>4.08%</t>
        </is>
      </c>
      <c r="I37" s="20" t="inlineStr">
        <is>
          <t>N/A</t>
        </is>
      </c>
      <c r="J37" s="20" t="n">
        <v>2</v>
      </c>
      <c r="K37" s="20" t="n">
        <v>2</v>
      </c>
      <c r="L37" s="20" t="inlineStr">
        <is>
          <t>02.10.2024 21:24:23</t>
        </is>
      </c>
      <c r="M37" s="20" t="inlineStr">
        <is>
          <t>2 min</t>
        </is>
      </c>
      <c r="N37" s="20" t="inlineStr">
        <is>
          <t xml:space="preserve">          9K             9K             3K</t>
        </is>
      </c>
      <c r="O37" s="20" t="inlineStr">
        <is>
          <t>AvdRLdYeQHM5pM8L2pga9ogsaooa23RDma5oNzV2pump</t>
        </is>
      </c>
      <c r="P37" s="20">
        <f>HYPERLINK("https://photon-sol.tinyastro.io/en/lp/AvdRLdYeQHM5pM8L2pga9ogsaooa23RDma5oNzV2pump?handle=676050794bc1b1657a56b", "View")</f>
        <v/>
      </c>
    </row>
    <row r="38">
      <c r="A38" s="15" t="inlineStr">
        <is>
          <t>DONG</t>
        </is>
      </c>
      <c r="B38" s="16" t="n">
        <v>22539366</v>
      </c>
      <c r="C38" s="16" t="n">
        <v>22539366</v>
      </c>
      <c r="D38" s="16" t="inlineStr">
        <is>
          <t>0.013020</t>
        </is>
      </c>
      <c r="E38" s="16" t="inlineStr">
        <is>
          <t>2.663 SOL</t>
        </is>
      </c>
      <c r="F38" s="16" t="inlineStr">
        <is>
          <t>2.368 SOL</t>
        </is>
      </c>
      <c r="G38" s="21" t="inlineStr">
        <is>
          <t>-0.308 SOL</t>
        </is>
      </c>
      <c r="H38" s="21" t="inlineStr">
        <is>
          <t>-11.50%</t>
        </is>
      </c>
      <c r="I38" s="16" t="inlineStr">
        <is>
          <t>N/A</t>
        </is>
      </c>
      <c r="J38" s="16" t="n">
        <v>3</v>
      </c>
      <c r="K38" s="16" t="n">
        <v>1</v>
      </c>
      <c r="L38" s="16" t="inlineStr">
        <is>
          <t>02.10.2024 16:49:16</t>
        </is>
      </c>
      <c r="M38" s="16" t="inlineStr">
        <is>
          <t>15 min</t>
        </is>
      </c>
      <c r="N38" s="16" t="inlineStr">
        <is>
          <t xml:space="preserve">        N/A           N/A           N/A</t>
        </is>
      </c>
      <c r="O38" s="16" t="inlineStr">
        <is>
          <t>359Jev81GjrqhVMvdqcPvJ68ztyrSv7EsHkrCwYCpump</t>
        </is>
      </c>
      <c r="P38" s="16">
        <f>HYPERLINK("https://photon-sol.tinyastro.io/en/lp/359Jev81GjrqhVMvdqcPvJ68ztyrSv7EsHkrCwYCpump?handle=676050794bc1b1657a56b", "View")</f>
        <v/>
      </c>
    </row>
    <row r="39">
      <c r="A39" s="19" t="inlineStr">
        <is>
          <t>Chi</t>
        </is>
      </c>
      <c r="B39" s="20" t="n">
        <v>19747867</v>
      </c>
      <c r="C39" s="20" t="n">
        <v>19747867</v>
      </c>
      <c r="D39" s="20" t="inlineStr">
        <is>
          <t>0.031020</t>
        </is>
      </c>
      <c r="E39" s="20" t="inlineStr">
        <is>
          <t>1.243 SOL</t>
        </is>
      </c>
      <c r="F39" s="20" t="inlineStr">
        <is>
          <t>3.281 SOL</t>
        </is>
      </c>
      <c r="G39" s="23" t="inlineStr">
        <is>
          <t>2.008 SOL</t>
        </is>
      </c>
      <c r="H39" s="23" t="inlineStr">
        <is>
          <t>157.60%</t>
        </is>
      </c>
      <c r="I39" s="20" t="inlineStr">
        <is>
          <t>N/A</t>
        </is>
      </c>
      <c r="J39" s="20" t="n">
        <v>1</v>
      </c>
      <c r="K39" s="20" t="n">
        <v>3</v>
      </c>
      <c r="L39" s="20" t="inlineStr">
        <is>
          <t>02.10.2024 15:54:35</t>
        </is>
      </c>
      <c r="M39" s="20" t="inlineStr">
        <is>
          <t>1 hours</t>
        </is>
      </c>
      <c r="N39" s="20" t="inlineStr">
        <is>
          <t xml:space="preserve">        N/A           N/A           N/A</t>
        </is>
      </c>
      <c r="O39" s="20" t="inlineStr">
        <is>
          <t>GkXaZfX8UVxPiefGoBRNxXFs471RYzEXYtciwbaypump</t>
        </is>
      </c>
      <c r="P39" s="20">
        <f>HYPERLINK("https://photon-sol.tinyastro.io/en/lp/GkXaZfX8UVxPiefGoBRNxXFs471RYzEXYtciwbaypump?handle=676050794bc1b1657a56b", "View")</f>
        <v/>
      </c>
    </row>
    <row r="40">
      <c r="A40" s="15" t="inlineStr">
        <is>
          <t>CHOW</t>
        </is>
      </c>
      <c r="B40" s="16" t="n">
        <v>14054836</v>
      </c>
      <c r="C40" s="16" t="n">
        <v>14054836</v>
      </c>
      <c r="D40" s="16" t="inlineStr">
        <is>
          <t>0.011010</t>
        </is>
      </c>
      <c r="E40" s="16" t="inlineStr">
        <is>
          <t>1.133 SOL</t>
        </is>
      </c>
      <c r="F40" s="16" t="inlineStr">
        <is>
          <t>0.843 SOL</t>
        </is>
      </c>
      <c r="G40" s="21" t="inlineStr">
        <is>
          <t>-0.301 SOL</t>
        </is>
      </c>
      <c r="H40" s="21" t="inlineStr">
        <is>
          <t>-26.28%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02.10.2024 15:40:09</t>
        </is>
      </c>
      <c r="M40" s="16" t="inlineStr">
        <is>
          <t>3 min</t>
        </is>
      </c>
      <c r="N40" s="16" t="inlineStr">
        <is>
          <t xml:space="preserve">        N/A           N/A           N/A</t>
        </is>
      </c>
      <c r="O40" s="16" t="inlineStr">
        <is>
          <t>GqxuY2C3pxrYcQHkr7hyYFafvL5dx5bSFtyKB3gWpump</t>
        </is>
      </c>
      <c r="P40" s="16">
        <f>HYPERLINK("https://photon-sol.tinyastro.io/en/lp/GqxuY2C3pxrYcQHkr7hyYFafvL5dx5bSFtyKB3gWpump?handle=676050794bc1b1657a56b", "View")</f>
        <v/>
      </c>
    </row>
    <row r="41">
      <c r="A41" s="19" t="inlineStr">
        <is>
          <t>Tao</t>
        </is>
      </c>
      <c r="B41" s="20" t="n">
        <v>8129090</v>
      </c>
      <c r="C41" s="20" t="n">
        <v>8129090</v>
      </c>
      <c r="D41" s="20" t="inlineStr">
        <is>
          <t>0.011010</t>
        </is>
      </c>
      <c r="E41" s="20" t="inlineStr">
        <is>
          <t>1.055 SOL</t>
        </is>
      </c>
      <c r="F41" s="20" t="inlineStr">
        <is>
          <t>0.978 SOL</t>
        </is>
      </c>
      <c r="G41" s="21" t="inlineStr">
        <is>
          <t>-0.088 SOL</t>
        </is>
      </c>
      <c r="H41" s="21" t="inlineStr">
        <is>
          <t>-8.22%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02.10.2024 14:23:11</t>
        </is>
      </c>
      <c r="M41" s="20" t="inlineStr">
        <is>
          <t>1 min</t>
        </is>
      </c>
      <c r="N41" s="20" t="inlineStr">
        <is>
          <t xml:space="preserve">        N/A           N/A           N/A</t>
        </is>
      </c>
      <c r="O41" s="20" t="inlineStr">
        <is>
          <t>EEmPuJe7SvFXCy238ebJm227t2eyugSeaVg79ZcCpump</t>
        </is>
      </c>
      <c r="P41" s="20">
        <f>HYPERLINK("https://photon-sol.tinyastro.io/en/lp/EEmPuJe7SvFXCy238ebJm227t2eyugSeaVg79ZcCpump?handle=676050794bc1b1657a56b", "View")</f>
        <v/>
      </c>
    </row>
    <row r="42">
      <c r="A42" s="15" t="inlineStr">
        <is>
          <t>balzak</t>
        </is>
      </c>
      <c r="B42" s="16" t="n">
        <v>52282387</v>
      </c>
      <c r="C42" s="16" t="n">
        <v>52282387</v>
      </c>
      <c r="D42" s="16" t="inlineStr">
        <is>
          <t>0.041020</t>
        </is>
      </c>
      <c r="E42" s="16" t="inlineStr">
        <is>
          <t>2.597 SOL</t>
        </is>
      </c>
      <c r="F42" s="16" t="inlineStr">
        <is>
          <t>2.253 SOL</t>
        </is>
      </c>
      <c r="G42" s="21" t="inlineStr">
        <is>
          <t>-0.384 SOL</t>
        </is>
      </c>
      <c r="H42" s="21" t="inlineStr">
        <is>
          <t>-14.57%</t>
        </is>
      </c>
      <c r="I42" s="16" t="inlineStr">
        <is>
          <t>N/A</t>
        </is>
      </c>
      <c r="J42" s="16" t="n">
        <v>2</v>
      </c>
      <c r="K42" s="16" t="n">
        <v>3</v>
      </c>
      <c r="L42" s="16" t="inlineStr">
        <is>
          <t>02.10.2024 00:15:19</t>
        </is>
      </c>
      <c r="M42" s="16" t="inlineStr">
        <is>
          <t>1 days</t>
        </is>
      </c>
      <c r="N42" s="16" t="inlineStr">
        <is>
          <t xml:space="preserve">        N/A           N/A           N/A</t>
        </is>
      </c>
      <c r="O42" s="16" t="inlineStr">
        <is>
          <t>FXEqnevcieenWVdoWMYdALUvFRpCB3zB19PZcLPPpump</t>
        </is>
      </c>
      <c r="P42" s="16">
        <f>HYPERLINK("https://photon-sol.tinyastro.io/en/lp/FXEqnevcieenWVdoWMYdALUvFRpCB3zB19PZcLPPpump?handle=676050794bc1b1657a56b", "View")</f>
        <v/>
      </c>
    </row>
    <row r="43">
      <c r="A43" s="19" t="inlineStr">
        <is>
          <t>BOCA</t>
        </is>
      </c>
      <c r="B43" s="20" t="n">
        <v>42638979</v>
      </c>
      <c r="C43" s="20" t="n">
        <v>42638979</v>
      </c>
      <c r="D43" s="20" t="inlineStr">
        <is>
          <t>0.043030</t>
        </is>
      </c>
      <c r="E43" s="20" t="inlineStr">
        <is>
          <t>4.000 SOL</t>
        </is>
      </c>
      <c r="F43" s="20" t="inlineStr">
        <is>
          <t>2.767 SOL</t>
        </is>
      </c>
      <c r="G43" s="21" t="inlineStr">
        <is>
          <t>-1.276 SOL</t>
        </is>
      </c>
      <c r="H43" s="21" t="inlineStr">
        <is>
          <t>-31.57%</t>
        </is>
      </c>
      <c r="I43" s="20" t="inlineStr">
        <is>
          <t>N/A</t>
        </is>
      </c>
      <c r="J43" s="20" t="n">
        <v>4</v>
      </c>
      <c r="K43" s="20" t="n">
        <v>3</v>
      </c>
      <c r="L43" s="20" t="inlineStr">
        <is>
          <t>01.10.2024 19:24:30</t>
        </is>
      </c>
      <c r="M43" s="20" t="inlineStr">
        <is>
          <t>5 days</t>
        </is>
      </c>
      <c r="N43" s="20" t="inlineStr">
        <is>
          <t xml:space="preserve">         37K             7K             5K</t>
        </is>
      </c>
      <c r="O43" s="20" t="inlineStr">
        <is>
          <t>HH5rxgU3fgdyno9oXfZH6VWTz2khEC11kbJ1e4skpump</t>
        </is>
      </c>
      <c r="P43" s="20">
        <f>HYPERLINK("https://dexscreener.com/solana/HH5rxgU3fgdyno9oXfZH6VWTz2khEC11kbJ1e4skpump", "View")</f>
        <v/>
      </c>
    </row>
    <row r="44">
      <c r="A44" s="15" t="inlineStr">
        <is>
          <t>warrior</t>
        </is>
      </c>
      <c r="B44" s="16" t="n">
        <v>21890646</v>
      </c>
      <c r="C44" s="16" t="n">
        <v>21890646</v>
      </c>
      <c r="D44" s="16" t="inlineStr">
        <is>
          <t>0.011010</t>
        </is>
      </c>
      <c r="E44" s="16" t="inlineStr">
        <is>
          <t>1.022 SOL</t>
        </is>
      </c>
      <c r="F44" s="16" t="inlineStr">
        <is>
          <t>0.937 SOL</t>
        </is>
      </c>
      <c r="G44" s="21" t="inlineStr">
        <is>
          <t>-0.096 SOL</t>
        </is>
      </c>
      <c r="H44" s="21" t="inlineStr">
        <is>
          <t>-9.29%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01.10.2024 16:45:23</t>
        </is>
      </c>
      <c r="M44" s="18" t="inlineStr">
        <is>
          <t>12 sec</t>
        </is>
      </c>
      <c r="N44" s="16" t="inlineStr">
        <is>
          <t xml:space="preserve">        N/A           N/A           N/A</t>
        </is>
      </c>
      <c r="O44" s="16" t="inlineStr">
        <is>
          <t>DviCuKESnSs3uZgrSa18pLnmZ8pnzDvpe4MCZGpWpump</t>
        </is>
      </c>
      <c r="P44" s="16">
        <f>HYPERLINK("https://photon-sol.tinyastro.io/en/lp/DviCuKESnSs3uZgrSa18pLnmZ8pnzDvpe4MCZGpWpump?handle=676050794bc1b1657a56b", "View")</f>
        <v/>
      </c>
    </row>
    <row r="45">
      <c r="A45" s="19" t="inlineStr">
        <is>
          <t>EMO</t>
        </is>
      </c>
      <c r="B45" s="20" t="n">
        <v>23186049</v>
      </c>
      <c r="C45" s="20" t="n">
        <v>23186049</v>
      </c>
      <c r="D45" s="20" t="inlineStr">
        <is>
          <t>0.011010</t>
        </is>
      </c>
      <c r="E45" s="20" t="inlineStr">
        <is>
          <t>1.022 SOL</t>
        </is>
      </c>
      <c r="F45" s="20" t="inlineStr">
        <is>
          <t>1.123 SOL</t>
        </is>
      </c>
      <c r="G45" s="22" t="inlineStr">
        <is>
          <t>0.090 SOL</t>
        </is>
      </c>
      <c r="H45" s="22" t="inlineStr">
        <is>
          <t>8.68%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01.10.2024 12:57:27</t>
        </is>
      </c>
      <c r="M45" s="18" t="inlineStr">
        <is>
          <t>42 sec</t>
        </is>
      </c>
      <c r="N45" s="20" t="inlineStr">
        <is>
          <t xml:space="preserve">        N/A           N/A           N/A</t>
        </is>
      </c>
      <c r="O45" s="20" t="inlineStr">
        <is>
          <t>DYHDSaKzgC4HnNhqLTcciHmB8XvHj85jqV2cQhxKpump</t>
        </is>
      </c>
      <c r="P45" s="20">
        <f>HYPERLINK("https://photon-sol.tinyastro.io/en/lp/DYHDSaKzgC4HnNhqLTcciHmB8XvHj85jqV2cQhxKpump?handle=676050794bc1b1657a56b", "View")</f>
        <v/>
      </c>
    </row>
    <row r="46">
      <c r="A46" s="15" t="inlineStr">
        <is>
          <t>MANYU</t>
        </is>
      </c>
      <c r="B46" s="16" t="n">
        <v>11084218</v>
      </c>
      <c r="C46" s="16" t="n">
        <v>11084218</v>
      </c>
      <c r="D46" s="16" t="inlineStr">
        <is>
          <t>0.011010</t>
        </is>
      </c>
      <c r="E46" s="16" t="inlineStr">
        <is>
          <t>0.527 SOL</t>
        </is>
      </c>
      <c r="F46" s="16" t="inlineStr">
        <is>
          <t>0.563 SOL</t>
        </is>
      </c>
      <c r="G46" s="22" t="inlineStr">
        <is>
          <t>0.025 SOL</t>
        </is>
      </c>
      <c r="H46" s="22" t="inlineStr">
        <is>
          <t>4.73%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01.10.2024 01:14:05</t>
        </is>
      </c>
      <c r="M46" s="16" t="inlineStr">
        <is>
          <t>2 min</t>
        </is>
      </c>
      <c r="N46" s="16" t="inlineStr">
        <is>
          <t xml:space="preserve">        N/A           N/A           N/A</t>
        </is>
      </c>
      <c r="O46" s="16" t="inlineStr">
        <is>
          <t>GYNB6GxPtiDCFZj6rYcegyswo4KbQ9t7K38PrQ8wSTYw</t>
        </is>
      </c>
      <c r="P46" s="16">
        <f>HYPERLINK("https://photon-sol.tinyastro.io/en/lp/GYNB6GxPtiDCFZj6rYcegyswo4KbQ9t7K38PrQ8wSTYw?handle=676050794bc1b1657a56b", "View")</f>
        <v/>
      </c>
    </row>
    <row r="47">
      <c r="A47" s="19" t="inlineStr">
        <is>
          <t>ez</t>
        </is>
      </c>
      <c r="B47" s="20" t="n">
        <v>27570495</v>
      </c>
      <c r="C47" s="20" t="n">
        <v>27570495</v>
      </c>
      <c r="D47" s="20" t="inlineStr">
        <is>
          <t>0.030020</t>
        </is>
      </c>
      <c r="E47" s="20" t="inlineStr">
        <is>
          <t>1.551 SOL</t>
        </is>
      </c>
      <c r="F47" s="20" t="inlineStr">
        <is>
          <t>1.111 SOL</t>
        </is>
      </c>
      <c r="G47" s="21" t="inlineStr">
        <is>
          <t>-0.470 SOL</t>
        </is>
      </c>
      <c r="H47" s="21" t="inlineStr">
        <is>
          <t>-29.70%</t>
        </is>
      </c>
      <c r="I47" s="20" t="inlineStr">
        <is>
          <t>N/A</t>
        </is>
      </c>
      <c r="J47" s="20" t="n">
        <v>2</v>
      </c>
      <c r="K47" s="20" t="n">
        <v>1</v>
      </c>
      <c r="L47" s="20" t="inlineStr">
        <is>
          <t>30.09.2024 21:02:32</t>
        </is>
      </c>
      <c r="M47" s="20" t="inlineStr">
        <is>
          <t>11 min</t>
        </is>
      </c>
      <c r="N47" s="20" t="inlineStr">
        <is>
          <t xml:space="preserve">        N/A           N/A           N/A</t>
        </is>
      </c>
      <c r="O47" s="20" t="inlineStr">
        <is>
          <t>94EtL1DtpzkaYrbGiTwrbYUDmM5MQ3GTYcY7Sj2Ypump</t>
        </is>
      </c>
      <c r="P47" s="20">
        <f>HYPERLINK("https://photon-sol.tinyastro.io/en/lp/94EtL1DtpzkaYrbGiTwrbYUDmM5MQ3GTYcY7Sj2Ypump?handle=676050794bc1b1657a56b", "View")</f>
        <v/>
      </c>
    </row>
    <row r="48">
      <c r="A48" s="15" t="inlineStr">
        <is>
          <t>first doge</t>
        </is>
      </c>
      <c r="B48" s="16" t="n">
        <v>21450793</v>
      </c>
      <c r="C48" s="16" t="n">
        <v>21450793</v>
      </c>
      <c r="D48" s="16" t="inlineStr">
        <is>
          <t>0.020010</t>
        </is>
      </c>
      <c r="E48" s="16" t="inlineStr">
        <is>
          <t>1.031 SOL</t>
        </is>
      </c>
      <c r="F48" s="16" t="inlineStr">
        <is>
          <t>1.194 SOL</t>
        </is>
      </c>
      <c r="G48" s="22" t="inlineStr">
        <is>
          <t>0.143 SOL</t>
        </is>
      </c>
      <c r="H48" s="22" t="inlineStr">
        <is>
          <t>13.60%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29.09.2024 12:54:46</t>
        </is>
      </c>
      <c r="M48" s="18" t="inlineStr">
        <is>
          <t>45 sec</t>
        </is>
      </c>
      <c r="N48" s="16" t="inlineStr">
        <is>
          <t xml:space="preserve">        N/A           N/A           N/A</t>
        </is>
      </c>
      <c r="O48" s="16" t="inlineStr">
        <is>
          <t>4gF5N4TPXZhBN96HNisBUboAT9vNcsZWF4k2xtN8pump</t>
        </is>
      </c>
      <c r="P48" s="16">
        <f>HYPERLINK("https://photon-sol.tinyastro.io/en/lp/4gF5N4TPXZhBN96HNisBUboAT9vNcsZWF4k2xtN8pump?handle=676050794bc1b1657a56b", "View")</f>
        <v/>
      </c>
    </row>
    <row r="49">
      <c r="A49" s="19" t="inlineStr">
        <is>
          <t>sparky</t>
        </is>
      </c>
      <c r="B49" s="20" t="n">
        <v>34578116</v>
      </c>
      <c r="C49" s="20" t="n">
        <v>34578116</v>
      </c>
      <c r="D49" s="20" t="inlineStr">
        <is>
          <t>0.040020</t>
        </is>
      </c>
      <c r="E49" s="20" t="inlineStr">
        <is>
          <t>2.570 SOL</t>
        </is>
      </c>
      <c r="F49" s="20" t="inlineStr">
        <is>
          <t>1.646 SOL</t>
        </is>
      </c>
      <c r="G49" s="21" t="inlineStr">
        <is>
          <t>-0.964 SOL</t>
        </is>
      </c>
      <c r="H49" s="21" t="inlineStr">
        <is>
          <t>-36.92%</t>
        </is>
      </c>
      <c r="I49" s="20" t="inlineStr">
        <is>
          <t>N/A</t>
        </is>
      </c>
      <c r="J49" s="20" t="n">
        <v>2</v>
      </c>
      <c r="K49" s="20" t="n">
        <v>2</v>
      </c>
      <c r="L49" s="20" t="inlineStr">
        <is>
          <t>29.09.2024 12:31:19</t>
        </is>
      </c>
      <c r="M49" s="20" t="inlineStr">
        <is>
          <t>12 hours</t>
        </is>
      </c>
      <c r="N49" s="20" t="inlineStr">
        <is>
          <t xml:space="preserve">        N/A           N/A           N/A</t>
        </is>
      </c>
      <c r="O49" s="20" t="inlineStr">
        <is>
          <t>4cyb7rsvscgC6dkQmWf9rvP62QAB7VgQ3LBEZ3ttpump</t>
        </is>
      </c>
      <c r="P49" s="20">
        <f>HYPERLINK("https://photon-sol.tinyastro.io/en/lp/4cyb7rsvscgC6dkQmWf9rvP62QAB7VgQ3LBEZ3ttpump?handle=676050794bc1b1657a56b", "View")</f>
        <v/>
      </c>
    </row>
    <row r="50">
      <c r="A50" s="15" t="inlineStr">
        <is>
          <t>Time</t>
        </is>
      </c>
      <c r="B50" s="16" t="n">
        <v>31200097</v>
      </c>
      <c r="C50" s="16" t="n">
        <v>31200097</v>
      </c>
      <c r="D50" s="16" t="inlineStr">
        <is>
          <t>0.020010</t>
        </is>
      </c>
      <c r="E50" s="16" t="inlineStr">
        <is>
          <t>1.108 SOL</t>
        </is>
      </c>
      <c r="F50" s="16" t="inlineStr">
        <is>
          <t>1.178 SOL</t>
        </is>
      </c>
      <c r="G50" s="22" t="inlineStr">
        <is>
          <t>0.051 SOL</t>
        </is>
      </c>
      <c r="H50" s="22" t="inlineStr">
        <is>
          <t>4.48%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28.09.2024 20:57:48</t>
        </is>
      </c>
      <c r="M50" s="16" t="inlineStr">
        <is>
          <t>4 min</t>
        </is>
      </c>
      <c r="N50" s="16" t="inlineStr">
        <is>
          <t xml:space="preserve">        N/A           N/A           N/A</t>
        </is>
      </c>
      <c r="O50" s="16" t="inlineStr">
        <is>
          <t>4PQBa4yT4UC31233nFFWt9GxcLhDPSMp1EYeFu9Apump</t>
        </is>
      </c>
      <c r="P50" s="16">
        <f>HYPERLINK("https://photon-sol.tinyastro.io/en/lp/4PQBa4yT4UC31233nFFWt9GxcLhDPSMp1EYeFu9Apump?handle=676050794bc1b1657a56b", "View")</f>
        <v/>
      </c>
    </row>
    <row r="51">
      <c r="A51" s="19" t="inlineStr">
        <is>
          <t>Xiaobai</t>
        </is>
      </c>
      <c r="B51" s="20" t="n">
        <v>26619640</v>
      </c>
      <c r="C51" s="20" t="n">
        <v>20683390</v>
      </c>
      <c r="D51" s="20" t="inlineStr">
        <is>
          <t>0.150070</t>
        </is>
      </c>
      <c r="E51" s="20" t="inlineStr">
        <is>
          <t>4.094 SOL</t>
        </is>
      </c>
      <c r="F51" s="20" t="inlineStr">
        <is>
          <t>30.063 SOL</t>
        </is>
      </c>
      <c r="G51" s="23" t="inlineStr">
        <is>
          <t>25.819 SOL</t>
        </is>
      </c>
      <c r="H51" s="23" t="inlineStr">
        <is>
          <t>608.39%</t>
        </is>
      </c>
      <c r="I51" s="20" t="inlineStr">
        <is>
          <t>N/A</t>
        </is>
      </c>
      <c r="J51" s="20" t="n">
        <v>3</v>
      </c>
      <c r="K51" s="20" t="n">
        <v>12</v>
      </c>
      <c r="L51" s="20" t="inlineStr">
        <is>
          <t>28.09.2024 12:52:34</t>
        </is>
      </c>
      <c r="M51" s="20" t="inlineStr">
        <is>
          <t>21 hours</t>
        </is>
      </c>
      <c r="N51" s="20" t="inlineStr">
        <is>
          <t xml:space="preserve">          9K            97K            10K</t>
        </is>
      </c>
      <c r="O51" s="20" t="inlineStr">
        <is>
          <t>A9FFYjRPbKSgVe4qTxMqiQfGHEaV7TnNisjumYsbpump</t>
        </is>
      </c>
      <c r="P51" s="20">
        <f>HYPERLINK("https://photon-sol.tinyastro.io/en/lp/A9FFYjRPbKSgVe4qTxMqiQfGHEaV7TnNisjumYsbpump?handle=676050794bc1b1657a56b", "View")</f>
        <v/>
      </c>
    </row>
    <row r="52">
      <c r="A52" s="15" t="inlineStr">
        <is>
          <t>#1</t>
        </is>
      </c>
      <c r="B52" s="16" t="n">
        <v>30129096</v>
      </c>
      <c r="C52" s="16" t="n">
        <v>30129096</v>
      </c>
      <c r="D52" s="16" t="inlineStr">
        <is>
          <t>0.020010</t>
        </is>
      </c>
      <c r="E52" s="16" t="inlineStr">
        <is>
          <t>1.000 SOL</t>
        </is>
      </c>
      <c r="F52" s="16" t="inlineStr">
        <is>
          <t>0.892 SOL</t>
        </is>
      </c>
      <c r="G52" s="21" t="inlineStr">
        <is>
          <t>-0.128 SOL</t>
        </is>
      </c>
      <c r="H52" s="21" t="inlineStr">
        <is>
          <t>-12.51%</t>
        </is>
      </c>
      <c r="I52" s="16" t="inlineStr">
        <is>
          <t>N/A</t>
        </is>
      </c>
      <c r="J52" s="16" t="n">
        <v>1</v>
      </c>
      <c r="K52" s="16" t="n">
        <v>1</v>
      </c>
      <c r="L52" s="16" t="inlineStr">
        <is>
          <t>28.09.2024 03:44:51</t>
        </is>
      </c>
      <c r="M52" s="16" t="inlineStr">
        <is>
          <t>36 min</t>
        </is>
      </c>
      <c r="N52" s="16" t="inlineStr">
        <is>
          <t xml:space="preserve">          5K             5K             3K</t>
        </is>
      </c>
      <c r="O52" s="16" t="inlineStr">
        <is>
          <t>B2FYUt9uodXmR7XdEqefP2yEweYiHoSVSocobCqSpump</t>
        </is>
      </c>
      <c r="P52" s="16">
        <f>HYPERLINK("https://dexscreener.com/solana/B2FYUt9uodXmR7XdEqefP2yEweYiHoSVSocobCqSpump", "View")</f>
        <v/>
      </c>
    </row>
    <row r="53">
      <c r="A53" s="19" t="inlineStr">
        <is>
          <t>stages</t>
        </is>
      </c>
      <c r="B53" s="20" t="n">
        <v>30011311</v>
      </c>
      <c r="C53" s="20" t="n">
        <v>30011311</v>
      </c>
      <c r="D53" s="20" t="inlineStr">
        <is>
          <t>0.020010</t>
        </is>
      </c>
      <c r="E53" s="20" t="inlineStr">
        <is>
          <t>1.540 SOL</t>
        </is>
      </c>
      <c r="F53" s="20" t="inlineStr">
        <is>
          <t>1.786 SOL</t>
        </is>
      </c>
      <c r="G53" s="22" t="inlineStr">
        <is>
          <t>0.226 SOL</t>
        </is>
      </c>
      <c r="H53" s="22" t="inlineStr">
        <is>
          <t>14.45%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27.09.2024 23:05:11</t>
        </is>
      </c>
      <c r="M53" s="20" t="inlineStr">
        <is>
          <t>12 min</t>
        </is>
      </c>
      <c r="N53" s="20" t="inlineStr">
        <is>
          <t xml:space="preserve">        N/A           N/A           N/A</t>
        </is>
      </c>
      <c r="O53" s="20" t="inlineStr">
        <is>
          <t>J2JG6hNj96ufpjBdVG3a6NdVyiu1CAUaUjh4f2cZpump</t>
        </is>
      </c>
      <c r="P53" s="20">
        <f>HYPERLINK("https://photon-sol.tinyastro.io/en/lp/J2JG6hNj96ufpjBdVG3a6NdVyiu1CAUaUjh4f2cZpump?handle=676050794bc1b1657a56b", "View")</f>
        <v/>
      </c>
    </row>
    <row r="54">
      <c r="A54" s="15" t="inlineStr">
        <is>
          <t>BiBi</t>
        </is>
      </c>
      <c r="B54" s="16" t="n">
        <v>29989491</v>
      </c>
      <c r="C54" s="16" t="n">
        <v>29989491</v>
      </c>
      <c r="D54" s="16" t="inlineStr">
        <is>
          <t>0.030020</t>
        </is>
      </c>
      <c r="E54" s="16" t="inlineStr">
        <is>
          <t>1.584 SOL</t>
        </is>
      </c>
      <c r="F54" s="16" t="inlineStr">
        <is>
          <t>2.530 SOL</t>
        </is>
      </c>
      <c r="G54" s="23" t="inlineStr">
        <is>
          <t>0.916 SOL</t>
        </is>
      </c>
      <c r="H54" s="23" t="inlineStr">
        <is>
          <t>56.77%</t>
        </is>
      </c>
      <c r="I54" s="16" t="inlineStr">
        <is>
          <t>N/A</t>
        </is>
      </c>
      <c r="J54" s="16" t="n">
        <v>1</v>
      </c>
      <c r="K54" s="16" t="n">
        <v>2</v>
      </c>
      <c r="L54" s="16" t="inlineStr">
        <is>
          <t>27.09.2024 17:50:36</t>
        </is>
      </c>
      <c r="M54" s="16" t="inlineStr">
        <is>
          <t>35 min</t>
        </is>
      </c>
      <c r="N54" s="16" t="inlineStr">
        <is>
          <t xml:space="preserve">          9K            14K             3K</t>
        </is>
      </c>
      <c r="O54" s="16" t="inlineStr">
        <is>
          <t>FnBzxseaRyFMMH4H9QHVGxoH7ofBmj3qCD1mVZvQpump</t>
        </is>
      </c>
      <c r="P54" s="16">
        <f>HYPERLINK("https://photon-sol.tinyastro.io/en/lp/FnBzxseaRyFMMH4H9QHVGxoH7ofBmj3qCD1mVZvQpump?handle=676050794bc1b1657a56b", "View")</f>
        <v/>
      </c>
    </row>
    <row r="55">
      <c r="A55" s="19" t="inlineStr">
        <is>
          <t>Petit</t>
        </is>
      </c>
      <c r="B55" s="20" t="n">
        <v>25390443</v>
      </c>
      <c r="C55" s="20" t="n">
        <v>25390443</v>
      </c>
      <c r="D55" s="20" t="inlineStr">
        <is>
          <t>0.011010</t>
        </is>
      </c>
      <c r="E55" s="20" t="inlineStr">
        <is>
          <t>1.022 SOL</t>
        </is>
      </c>
      <c r="F55" s="20" t="inlineStr">
        <is>
          <t>1.264 SOL</t>
        </is>
      </c>
      <c r="G55" s="22" t="inlineStr">
        <is>
          <t>0.231 SOL</t>
        </is>
      </c>
      <c r="H55" s="22" t="inlineStr">
        <is>
          <t>22.31%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27.09.2024 13:25:15</t>
        </is>
      </c>
      <c r="M55" s="20" t="inlineStr">
        <is>
          <t>32 min</t>
        </is>
      </c>
      <c r="N55" s="20" t="inlineStr">
        <is>
          <t xml:space="preserve">        N/A           N/A           N/A</t>
        </is>
      </c>
      <c r="O55" s="20" t="inlineStr">
        <is>
          <t>HjM4rf1adYYfqcD6cwsgStmTN5Dz4wyEycGPHLh4pump</t>
        </is>
      </c>
      <c r="P55" s="20">
        <f>HYPERLINK("https://photon-sol.tinyastro.io/en/lp/HjM4rf1adYYfqcD6cwsgStmTN5Dz4wyEycGPHLh4pump?handle=676050794bc1b1657a56b", "View")</f>
        <v/>
      </c>
    </row>
    <row r="56">
      <c r="A56" s="15" t="inlineStr">
        <is>
          <t>ALVIN</t>
        </is>
      </c>
      <c r="B56" s="16" t="n">
        <v>34129033</v>
      </c>
      <c r="C56" s="16" t="n">
        <v>34129033</v>
      </c>
      <c r="D56" s="16" t="inlineStr">
        <is>
          <t>0.011010</t>
        </is>
      </c>
      <c r="E56" s="16" t="inlineStr">
        <is>
          <t>1.022 SOL</t>
        </is>
      </c>
      <c r="F56" s="16" t="inlineStr">
        <is>
          <t>1.055 SOL</t>
        </is>
      </c>
      <c r="G56" s="22" t="inlineStr">
        <is>
          <t>0.022 SOL</t>
        </is>
      </c>
      <c r="H56" s="22" t="inlineStr">
        <is>
          <t>2.11%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27.09.2024 13:07:33</t>
        </is>
      </c>
      <c r="M56" s="16" t="inlineStr">
        <is>
          <t>3 min</t>
        </is>
      </c>
      <c r="N56" s="16" t="inlineStr">
        <is>
          <t xml:space="preserve">        N/A           N/A           N/A</t>
        </is>
      </c>
      <c r="O56" s="16" t="inlineStr">
        <is>
          <t>A77qYmYwfmdRuqsyRAePZ4prigdLiFQpovnSQyfLpump</t>
        </is>
      </c>
      <c r="P56" s="16">
        <f>HYPERLINK("https://photon-sol.tinyastro.io/en/lp/A77qYmYwfmdRuqsyRAePZ4prigdLiFQpovnSQyfLpump?handle=676050794bc1b1657a56b", "View")</f>
        <v/>
      </c>
    </row>
    <row r="57">
      <c r="A57" s="19" t="inlineStr">
        <is>
          <t>CRASHOUT</t>
        </is>
      </c>
      <c r="B57" s="20" t="n">
        <v>26986082</v>
      </c>
      <c r="C57" s="20" t="n">
        <v>26986082</v>
      </c>
      <c r="D57" s="20" t="inlineStr">
        <is>
          <t>0.011010</t>
        </is>
      </c>
      <c r="E57" s="20" t="inlineStr">
        <is>
          <t>0.901 SOL</t>
        </is>
      </c>
      <c r="F57" s="20" t="inlineStr">
        <is>
          <t>9.320 SOL</t>
        </is>
      </c>
      <c r="G57" s="23" t="inlineStr">
        <is>
          <t>8.408 SOL</t>
        </is>
      </c>
      <c r="H57" s="23" t="inlineStr">
        <is>
          <t>921.48%</t>
        </is>
      </c>
      <c r="I57" s="20" t="inlineStr">
        <is>
          <t>N/A</t>
        </is>
      </c>
      <c r="J57" s="20" t="n">
        <v>1</v>
      </c>
      <c r="K57" s="20" t="n">
        <v>1</v>
      </c>
      <c r="L57" s="20" t="inlineStr">
        <is>
          <t>27.09.2024 00:15:25</t>
        </is>
      </c>
      <c r="M57" s="20" t="inlineStr">
        <is>
          <t>19 min</t>
        </is>
      </c>
      <c r="N57" s="20" t="inlineStr">
        <is>
          <t xml:space="preserve">          5K            61K             4K</t>
        </is>
      </c>
      <c r="O57" s="20" t="inlineStr">
        <is>
          <t>7YsGG8uranVSk2wPBXFfXywLt8zWPLB7sscLKRFVpump</t>
        </is>
      </c>
      <c r="P57" s="20">
        <f>HYPERLINK("https://photon-sol.tinyastro.io/en/lp/7YsGG8uranVSk2wPBXFfXywLt8zWPLB7sscLKRFVpump?handle=676050794bc1b1657a56b", "View")</f>
        <v/>
      </c>
    </row>
    <row r="58">
      <c r="A58" s="15" t="inlineStr">
        <is>
          <t>Quokka</t>
        </is>
      </c>
      <c r="B58" s="16" t="n">
        <v>5739218</v>
      </c>
      <c r="C58" s="16" t="n">
        <v>5739218</v>
      </c>
      <c r="D58" s="16" t="inlineStr">
        <is>
          <t>0.011010</t>
        </is>
      </c>
      <c r="E58" s="16" t="inlineStr">
        <is>
          <t>1.000 SOL</t>
        </is>
      </c>
      <c r="F58" s="16" t="inlineStr">
        <is>
          <t>3.775 SOL</t>
        </is>
      </c>
      <c r="G58" s="23" t="inlineStr">
        <is>
          <t>2.764 SOL</t>
        </is>
      </c>
      <c r="H58" s="23" t="inlineStr">
        <is>
          <t>273.35%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26.09.2024 16:27:18</t>
        </is>
      </c>
      <c r="M58" s="16" t="inlineStr">
        <is>
          <t>14 min</t>
        </is>
      </c>
      <c r="N58" s="16" t="inlineStr">
        <is>
          <t xml:space="preserve">         30K           116K             5K</t>
        </is>
      </c>
      <c r="O58" s="16" t="inlineStr">
        <is>
          <t>J5xuQxCr1DSZvj98yPWHn5qhRo7mFLoHA4aDFed5RsWk</t>
        </is>
      </c>
      <c r="P58" s="16">
        <f>HYPERLINK("https://dexscreener.com/solana/J5xuQxCr1DSZvj98yPWHn5qhRo7mFLoHA4aDFed5RsWk", "View")</f>
        <v/>
      </c>
    </row>
    <row r="59">
      <c r="A59" s="19" t="inlineStr">
        <is>
          <t>squishy</t>
        </is>
      </c>
      <c r="B59" s="20" t="n">
        <v>32886226</v>
      </c>
      <c r="C59" s="20" t="n">
        <v>32886226</v>
      </c>
      <c r="D59" s="20" t="inlineStr">
        <is>
          <t>0.011010</t>
        </is>
      </c>
      <c r="E59" s="20" t="inlineStr">
        <is>
          <t>1.022 SOL</t>
        </is>
      </c>
      <c r="F59" s="20" t="inlineStr">
        <is>
          <t>0.947 SOL</t>
        </is>
      </c>
      <c r="G59" s="21" t="inlineStr">
        <is>
          <t>-0.086 SOL</t>
        </is>
      </c>
      <c r="H59" s="21" t="inlineStr">
        <is>
          <t>-8.33%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26.09.2024 15:51:30</t>
        </is>
      </c>
      <c r="M59" s="20" t="inlineStr">
        <is>
          <t>3 min</t>
        </is>
      </c>
      <c r="N59" s="20" t="inlineStr">
        <is>
          <t xml:space="preserve">        N/A           N/A           N/A</t>
        </is>
      </c>
      <c r="O59" s="20" t="inlineStr">
        <is>
          <t>9VaE5Sv34Mg8mzYbWoRagSkbujKcWWT1Wy95GE9hpump</t>
        </is>
      </c>
      <c r="P59" s="20">
        <f>HYPERLINK("https://photon-sol.tinyastro.io/en/lp/9VaE5Sv34Mg8mzYbWoRagSkbujKcWWT1Wy95GE9hpump?handle=676050794bc1b1657a56b", "View")</f>
        <v/>
      </c>
    </row>
    <row r="60">
      <c r="A60" s="15" t="inlineStr">
        <is>
          <t>Manyu</t>
        </is>
      </c>
      <c r="B60" s="16" t="n">
        <v>11649059</v>
      </c>
      <c r="C60" s="16" t="n">
        <v>11649059</v>
      </c>
      <c r="D60" s="16" t="inlineStr">
        <is>
          <t>0.022020</t>
        </is>
      </c>
      <c r="E60" s="16" t="inlineStr">
        <is>
          <t>2.050 SOL</t>
        </is>
      </c>
      <c r="F60" s="16" t="inlineStr">
        <is>
          <t>27.842 SOL</t>
        </is>
      </c>
      <c r="G60" s="23" t="inlineStr">
        <is>
          <t>25.770 SOL</t>
        </is>
      </c>
      <c r="H60" s="23" t="inlineStr">
        <is>
          <t>1243.84%</t>
        </is>
      </c>
      <c r="I60" s="16" t="inlineStr">
        <is>
          <t>N/A</t>
        </is>
      </c>
      <c r="J60" s="16" t="n">
        <v>2</v>
      </c>
      <c r="K60" s="16" t="n">
        <v>2</v>
      </c>
      <c r="L60" s="16" t="inlineStr">
        <is>
          <t>26.09.2024 12:41:12</t>
        </is>
      </c>
      <c r="M60" s="16" t="inlineStr">
        <is>
          <t>6 days</t>
        </is>
      </c>
      <c r="N60" s="16" t="inlineStr">
        <is>
          <t xml:space="preserve">         32K           714K             7M</t>
        </is>
      </c>
      <c r="O60" s="16" t="inlineStr">
        <is>
          <t>CS7LmjtuugEUWtFgfyto79nrksKigv7Fdcp9qPuigdLs</t>
        </is>
      </c>
      <c r="P60" s="16">
        <f>HYPERLINK("https://photon-sol.tinyastro.io/en/lp/CS7LmjtuugEUWtFgfyto79nrksKigv7Fdcp9qPuigdLs?handle=676050794bc1b1657a56b", "View")</f>
        <v/>
      </c>
    </row>
    <row r="61">
      <c r="A61" s="19" t="inlineStr">
        <is>
          <t>Mocha</t>
        </is>
      </c>
      <c r="B61" s="20" t="n">
        <v>37394186</v>
      </c>
      <c r="C61" s="20" t="n">
        <v>37394186</v>
      </c>
      <c r="D61" s="20" t="inlineStr">
        <is>
          <t>0.022020</t>
        </is>
      </c>
      <c r="E61" s="20" t="inlineStr">
        <is>
          <t>1.272 SOL</t>
        </is>
      </c>
      <c r="F61" s="20" t="inlineStr">
        <is>
          <t>1.112 SOL</t>
        </is>
      </c>
      <c r="G61" s="21" t="inlineStr">
        <is>
          <t>-0.182 SOL</t>
        </is>
      </c>
      <c r="H61" s="21" t="inlineStr">
        <is>
          <t>-14.08%</t>
        </is>
      </c>
      <c r="I61" s="20" t="inlineStr">
        <is>
          <t>N/A</t>
        </is>
      </c>
      <c r="J61" s="20" t="n">
        <v>2</v>
      </c>
      <c r="K61" s="20" t="n">
        <v>2</v>
      </c>
      <c r="L61" s="20" t="inlineStr">
        <is>
          <t>26.09.2024 12:29:08</t>
        </is>
      </c>
      <c r="M61" s="20" t="inlineStr">
        <is>
          <t>15 hours</t>
        </is>
      </c>
      <c r="N61" s="20" t="inlineStr">
        <is>
          <t xml:space="preserve">        N/A           N/A           N/A</t>
        </is>
      </c>
      <c r="O61" s="20" t="inlineStr">
        <is>
          <t>6EfbjSFjwngBw3rhwqAgyhT7Y4a94WDWBfnnWKQSHWsJ</t>
        </is>
      </c>
      <c r="P61" s="20">
        <f>HYPERLINK("https://photon-sol.tinyastro.io/en/lp/6EfbjSFjwngBw3rhwqAgyhT7Y4a94WDWBfnnWKQSHWsJ?handle=676050794bc1b1657a56b", "View")</f>
        <v/>
      </c>
    </row>
    <row r="62">
      <c r="A62" s="15" t="inlineStr">
        <is>
          <t>merp</t>
        </is>
      </c>
      <c r="B62" s="16" t="n">
        <v>31875275</v>
      </c>
      <c r="C62" s="16" t="n">
        <v>31875275</v>
      </c>
      <c r="D62" s="16" t="inlineStr">
        <is>
          <t>0.011010</t>
        </is>
      </c>
      <c r="E62" s="16" t="inlineStr">
        <is>
          <t>1.022 SOL</t>
        </is>
      </c>
      <c r="F62" s="16" t="inlineStr">
        <is>
          <t>0.994 SOL</t>
        </is>
      </c>
      <c r="G62" s="21" t="inlineStr">
        <is>
          <t>-0.039 SOL</t>
        </is>
      </c>
      <c r="H62" s="21" t="inlineStr">
        <is>
          <t>-3.82%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26.09.2024 00:24:59</t>
        </is>
      </c>
      <c r="M62" s="16" t="inlineStr">
        <is>
          <t>3 min</t>
        </is>
      </c>
      <c r="N62" s="16" t="inlineStr">
        <is>
          <t xml:space="preserve">        N/A           N/A           N/A</t>
        </is>
      </c>
      <c r="O62" s="16" t="inlineStr">
        <is>
          <t>9bgTfogpQPtGchWSvmEwdqrBuUQ4fqtRtCELx4T1pump</t>
        </is>
      </c>
      <c r="P62" s="16">
        <f>HYPERLINK("https://photon-sol.tinyastro.io/en/lp/9bgTfogpQPtGchWSvmEwdqrBuUQ4fqtRtCELx4T1pump?handle=676050794bc1b1657a56b", "View")</f>
        <v/>
      </c>
    </row>
    <row r="63">
      <c r="A63" s="19" t="inlineStr">
        <is>
          <t>ELLO</t>
        </is>
      </c>
      <c r="B63" s="20" t="n">
        <v>31588986</v>
      </c>
      <c r="C63" s="20" t="n">
        <v>31588986</v>
      </c>
      <c r="D63" s="20" t="inlineStr">
        <is>
          <t>0.011010</t>
        </is>
      </c>
      <c r="E63" s="20" t="inlineStr">
        <is>
          <t>1.022 SOL</t>
        </is>
      </c>
      <c r="F63" s="20" t="inlineStr">
        <is>
          <t>2.371 SOL</t>
        </is>
      </c>
      <c r="G63" s="23" t="inlineStr">
        <is>
          <t>1.338 SOL</t>
        </is>
      </c>
      <c r="H63" s="23" t="inlineStr">
        <is>
          <t>129.55%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26.09.2024 00:06:55</t>
        </is>
      </c>
      <c r="M63" s="20" t="inlineStr">
        <is>
          <t>26 min</t>
        </is>
      </c>
      <c r="N63" s="20" t="inlineStr">
        <is>
          <t xml:space="preserve">          5K            14K             4K</t>
        </is>
      </c>
      <c r="O63" s="20" t="inlineStr">
        <is>
          <t>8GD1Y9yAvvt5eSui6GWBNrswYD3rddnUEQaTGZUNpump</t>
        </is>
      </c>
      <c r="P63" s="20">
        <f>HYPERLINK("https://photon-sol.tinyastro.io/en/lp/8GD1Y9yAvvt5eSui6GWBNrswYD3rddnUEQaTGZUNpump?handle=676050794bc1b1657a56b", "View")</f>
        <v/>
      </c>
    </row>
    <row r="64">
      <c r="A64" s="15" t="inlineStr">
        <is>
          <t>Bao</t>
        </is>
      </c>
      <c r="B64" s="16" t="n">
        <v>30421312</v>
      </c>
      <c r="C64" s="16" t="n">
        <v>30421312</v>
      </c>
      <c r="D64" s="16" t="inlineStr">
        <is>
          <t>0.011010</t>
        </is>
      </c>
      <c r="E64" s="16" t="inlineStr">
        <is>
          <t>1.054 SOL</t>
        </is>
      </c>
      <c r="F64" s="16" t="inlineStr">
        <is>
          <t>1.077 SOL</t>
        </is>
      </c>
      <c r="G64" s="22" t="inlineStr">
        <is>
          <t>0.012 SOL</t>
        </is>
      </c>
      <c r="H64" s="22" t="inlineStr">
        <is>
          <t>1.10%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25.09.2024 22:46:29</t>
        </is>
      </c>
      <c r="M64" s="16" t="inlineStr">
        <is>
          <t>22 min</t>
        </is>
      </c>
      <c r="N64" s="16" t="inlineStr">
        <is>
          <t xml:space="preserve">        N/A           N/A           N/A</t>
        </is>
      </c>
      <c r="O64" s="16" t="inlineStr">
        <is>
          <t>FzWkT5DWgZ3UnkZxjYVaNTkeXjWB8X6Ydp4Bb2C2pump</t>
        </is>
      </c>
      <c r="P64" s="16">
        <f>HYPERLINK("https://photon-sol.tinyastro.io/en/lp/FzWkT5DWgZ3UnkZxjYVaNTkeXjWB8X6Ydp4Bb2C2pump?handle=676050794bc1b1657a56b", "View")</f>
        <v/>
      </c>
    </row>
    <row r="65">
      <c r="A65" s="19" t="inlineStr">
        <is>
          <t>Derek</t>
        </is>
      </c>
      <c r="B65" s="20" t="n">
        <v>34442801</v>
      </c>
      <c r="C65" s="20" t="n">
        <v>34442801</v>
      </c>
      <c r="D65" s="20" t="inlineStr">
        <is>
          <t>0.011010</t>
        </is>
      </c>
      <c r="E65" s="20" t="inlineStr">
        <is>
          <t>1.022 SOL</t>
        </is>
      </c>
      <c r="F65" s="20" t="inlineStr">
        <is>
          <t>1.092 SOL</t>
        </is>
      </c>
      <c r="G65" s="22" t="inlineStr">
        <is>
          <t>0.059 SOL</t>
        </is>
      </c>
      <c r="H65" s="22" t="inlineStr">
        <is>
          <t>5.72%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25.09.2024 17:45:45</t>
        </is>
      </c>
      <c r="M65" s="20" t="inlineStr">
        <is>
          <t>25 min</t>
        </is>
      </c>
      <c r="N65" s="20" t="inlineStr">
        <is>
          <t xml:space="preserve">        N/A           N/A           N/A</t>
        </is>
      </c>
      <c r="O65" s="20" t="inlineStr">
        <is>
          <t>6oEMzfckn6o9oSZTkdDVHFa55aAX8abwvYTkiVNMpump</t>
        </is>
      </c>
      <c r="P65" s="20">
        <f>HYPERLINK("https://photon-sol.tinyastro.io/en/lp/6oEMzfckn6o9oSZTkdDVHFa55aAX8abwvYTkiVNMpump?handle=676050794bc1b1657a56b", "View")</f>
        <v/>
      </c>
    </row>
    <row r="66">
      <c r="A66" s="15" t="inlineStr">
        <is>
          <t>Shazam</t>
        </is>
      </c>
      <c r="B66" s="16" t="n">
        <v>34355833</v>
      </c>
      <c r="C66" s="16" t="n">
        <v>34355833</v>
      </c>
      <c r="D66" s="16" t="inlineStr">
        <is>
          <t>0.011010</t>
        </is>
      </c>
      <c r="E66" s="16" t="inlineStr">
        <is>
          <t>1.022 SOL</t>
        </is>
      </c>
      <c r="F66" s="16" t="inlineStr">
        <is>
          <t>1.000 SOL</t>
        </is>
      </c>
      <c r="G66" s="21" t="inlineStr">
        <is>
          <t>-0.033 SOL</t>
        </is>
      </c>
      <c r="H66" s="21" t="inlineStr">
        <is>
          <t>-3.24%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25.09.2024 17:12:33</t>
        </is>
      </c>
      <c r="M66" s="18" t="inlineStr">
        <is>
          <t>42 sec</t>
        </is>
      </c>
      <c r="N66" s="16" t="inlineStr">
        <is>
          <t xml:space="preserve">        N/A           N/A           N/A</t>
        </is>
      </c>
      <c r="O66" s="16" t="inlineStr">
        <is>
          <t>47tVjawzY4ZLrww9hi9fnEovNm1mTq9muYgmojrTpump</t>
        </is>
      </c>
      <c r="P66" s="16">
        <f>HYPERLINK("https://photon-sol.tinyastro.io/en/lp/47tVjawzY4ZLrww9hi9fnEovNm1mTq9muYgmojrTpump?handle=676050794bc1b1657a56b", "View")</f>
        <v/>
      </c>
    </row>
    <row r="67">
      <c r="A67" s="19" t="inlineStr">
        <is>
          <t>Tweaking</t>
        </is>
      </c>
      <c r="B67" s="20" t="n">
        <v>52104162</v>
      </c>
      <c r="C67" s="20" t="n">
        <v>52104162</v>
      </c>
      <c r="D67" s="20" t="inlineStr">
        <is>
          <t>0.022020</t>
        </is>
      </c>
      <c r="E67" s="20" t="inlineStr">
        <is>
          <t>2.034 SOL</t>
        </is>
      </c>
      <c r="F67" s="20" t="inlineStr">
        <is>
          <t>3.692 SOL</t>
        </is>
      </c>
      <c r="G67" s="23" t="inlineStr">
        <is>
          <t>1.636 SOL</t>
        </is>
      </c>
      <c r="H67" s="23" t="inlineStr">
        <is>
          <t>79.59%</t>
        </is>
      </c>
      <c r="I67" s="20" t="inlineStr">
        <is>
          <t>N/A</t>
        </is>
      </c>
      <c r="J67" s="20" t="n">
        <v>2</v>
      </c>
      <c r="K67" s="20" t="n">
        <v>2</v>
      </c>
      <c r="L67" s="20" t="inlineStr">
        <is>
          <t>25.09.2024 16:21:38</t>
        </is>
      </c>
      <c r="M67" s="20" t="inlineStr">
        <is>
          <t>1 hours</t>
        </is>
      </c>
      <c r="N67" s="20" t="inlineStr">
        <is>
          <t xml:space="preserve">        N/A           N/A           N/A</t>
        </is>
      </c>
      <c r="O67" s="20" t="inlineStr">
        <is>
          <t>J6zHHgxuREiC7adRRZ65jgPDdZkK7J2TkQb7vcXRpump</t>
        </is>
      </c>
      <c r="P67" s="20">
        <f>HYPERLINK("https://photon-sol.tinyastro.io/en/lp/J6zHHgxuREiC7adRRZ65jgPDdZkK7J2TkQb7vcXRpump?handle=676050794bc1b1657a56b", "View")</f>
        <v/>
      </c>
    </row>
    <row r="68">
      <c r="A68" s="15" t="inlineStr">
        <is>
          <t>Georgie</t>
        </is>
      </c>
      <c r="B68" s="16" t="n">
        <v>21726498</v>
      </c>
      <c r="C68" s="16" t="n">
        <v>21726498</v>
      </c>
      <c r="D68" s="16" t="inlineStr">
        <is>
          <t>0.011010</t>
        </is>
      </c>
      <c r="E68" s="16" t="inlineStr">
        <is>
          <t>1.225 SOL</t>
        </is>
      </c>
      <c r="F68" s="16" t="inlineStr">
        <is>
          <t>1.005 SOL</t>
        </is>
      </c>
      <c r="G68" s="21" t="inlineStr">
        <is>
          <t>-0.231 SOL</t>
        </is>
      </c>
      <c r="H68" s="21" t="inlineStr">
        <is>
          <t>-18.66%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25.09.2024 15:58:32</t>
        </is>
      </c>
      <c r="M68" s="16" t="inlineStr">
        <is>
          <t>2 min</t>
        </is>
      </c>
      <c r="N68" s="16" t="inlineStr">
        <is>
          <t xml:space="preserve">        N/A           N/A           N/A</t>
        </is>
      </c>
      <c r="O68" s="16" t="inlineStr">
        <is>
          <t>FWWVbXG3h2iAgdGsPNDF8ERofD6iFNj7gG7rNjeKpump</t>
        </is>
      </c>
      <c r="P68" s="16">
        <f>HYPERLINK("https://photon-sol.tinyastro.io/en/lp/FWWVbXG3h2iAgdGsPNDF8ERofD6iFNj7gG7rNjeKpump?handle=676050794bc1b1657a56b", "View")</f>
        <v/>
      </c>
    </row>
    <row r="69">
      <c r="A69" s="19" t="inlineStr">
        <is>
          <t>CT</t>
        </is>
      </c>
      <c r="B69" s="20" t="n">
        <v>32368793</v>
      </c>
      <c r="C69" s="20" t="n">
        <v>32368793</v>
      </c>
      <c r="D69" s="20" t="inlineStr">
        <is>
          <t>0.011010</t>
        </is>
      </c>
      <c r="E69" s="20" t="inlineStr">
        <is>
          <t>1.022 SOL</t>
        </is>
      </c>
      <c r="F69" s="20" t="inlineStr">
        <is>
          <t>0.905 SOL</t>
        </is>
      </c>
      <c r="G69" s="21" t="inlineStr">
        <is>
          <t>-0.128 SOL</t>
        </is>
      </c>
      <c r="H69" s="21" t="inlineStr">
        <is>
          <t>-12.38%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25.09.2024 13:48:00</t>
        </is>
      </c>
      <c r="M69" s="20" t="inlineStr">
        <is>
          <t>7 min</t>
        </is>
      </c>
      <c r="N69" s="20" t="inlineStr">
        <is>
          <t xml:space="preserve">        N/A           N/A           N/A</t>
        </is>
      </c>
      <c r="O69" s="20" t="inlineStr">
        <is>
          <t>4wKV8oJPneyyaMshBJ2ZHWanyHDWHEB2Hq3zi3Sepump</t>
        </is>
      </c>
      <c r="P69" s="20">
        <f>HYPERLINK("https://photon-sol.tinyastro.io/en/lp/4wKV8oJPneyyaMshBJ2ZHWanyHDWHEB2Hq3zi3Sepump?handle=676050794bc1b1657a56b", "View")</f>
        <v/>
      </c>
    </row>
    <row r="70">
      <c r="A70" s="15" t="inlineStr">
        <is>
          <t>BOZO</t>
        </is>
      </c>
      <c r="B70" s="16" t="n">
        <v>60739966</v>
      </c>
      <c r="C70" s="16" t="n">
        <v>60739966</v>
      </c>
      <c r="D70" s="16" t="inlineStr">
        <is>
          <t>0.022020</t>
        </is>
      </c>
      <c r="E70" s="16" t="inlineStr">
        <is>
          <t>2.042 SOL</t>
        </is>
      </c>
      <c r="F70" s="16" t="inlineStr">
        <is>
          <t>2.043 SOL</t>
        </is>
      </c>
      <c r="G70" s="21" t="inlineStr">
        <is>
          <t>-0.021 SOL</t>
        </is>
      </c>
      <c r="H70" s="21" t="inlineStr">
        <is>
          <t>-1.00%</t>
        </is>
      </c>
      <c r="I70" s="16" t="inlineStr">
        <is>
          <t>N/A</t>
        </is>
      </c>
      <c r="J70" s="16" t="n">
        <v>2</v>
      </c>
      <c r="K70" s="16" t="n">
        <v>2</v>
      </c>
      <c r="L70" s="16" t="inlineStr">
        <is>
          <t>25.09.2024 13:39:24</t>
        </is>
      </c>
      <c r="M70" s="16" t="inlineStr">
        <is>
          <t>3 min</t>
        </is>
      </c>
      <c r="N70" s="16" t="inlineStr">
        <is>
          <t xml:space="preserve">        N/A           N/A           N/A</t>
        </is>
      </c>
      <c r="O70" s="16" t="inlineStr">
        <is>
          <t>DL5QjLbDbq4eYKJkdSTPjqK9QPcw7nuioa9tRTvzpump</t>
        </is>
      </c>
      <c r="P70" s="16">
        <f>HYPERLINK("https://photon-sol.tinyastro.io/en/lp/DL5QjLbDbq4eYKJkdSTPjqK9QPcw7nuioa9tRTvzpump?handle=676050794bc1b1657a56b", "View")</f>
        <v/>
      </c>
    </row>
    <row r="71">
      <c r="A71" s="19" t="inlineStr">
        <is>
          <t>SK</t>
        </is>
      </c>
      <c r="B71" s="20" t="n">
        <v>34009782</v>
      </c>
      <c r="C71" s="20" t="n">
        <v>34009782</v>
      </c>
      <c r="D71" s="20" t="inlineStr">
        <is>
          <t>0.012020</t>
        </is>
      </c>
      <c r="E71" s="20" t="inlineStr">
        <is>
          <t>1.192 SOL</t>
        </is>
      </c>
      <c r="F71" s="20" t="inlineStr">
        <is>
          <t>1.129 SOL</t>
        </is>
      </c>
      <c r="G71" s="21" t="inlineStr">
        <is>
          <t>-0.075 SOL</t>
        </is>
      </c>
      <c r="H71" s="21" t="inlineStr">
        <is>
          <t>-6.19%</t>
        </is>
      </c>
      <c r="I71" s="20" t="inlineStr">
        <is>
          <t>N/A</t>
        </is>
      </c>
      <c r="J71" s="20" t="n">
        <v>2</v>
      </c>
      <c r="K71" s="20" t="n">
        <v>1</v>
      </c>
      <c r="L71" s="20" t="inlineStr">
        <is>
          <t>25.09.2024 12:35:32</t>
        </is>
      </c>
      <c r="M71" s="20" t="inlineStr">
        <is>
          <t>2 min</t>
        </is>
      </c>
      <c r="N71" s="20" t="inlineStr">
        <is>
          <t xml:space="preserve">        N/A           N/A           N/A</t>
        </is>
      </c>
      <c r="O71" s="20" t="inlineStr">
        <is>
          <t>3ysdLZB1XRZvPvUuLG7YANndD3dQA8hzQwSrLdRmFhri</t>
        </is>
      </c>
      <c r="P71" s="20">
        <f>HYPERLINK("https://photon-sol.tinyastro.io/en/lp/3ysdLZB1XRZvPvUuLG7YANndD3dQA8hzQwSrLdRmFhri?handle=676050794bc1b1657a56b", "View")</f>
        <v/>
      </c>
    </row>
    <row r="72">
      <c r="A72" s="15" t="inlineStr">
        <is>
          <t>AHSHIT</t>
        </is>
      </c>
      <c r="B72" s="16" t="n">
        <v>31180165</v>
      </c>
      <c r="C72" s="16" t="n">
        <v>31180165</v>
      </c>
      <c r="D72" s="16" t="inlineStr">
        <is>
          <t>0.012020</t>
        </is>
      </c>
      <c r="E72" s="16" t="inlineStr">
        <is>
          <t>1.127 SOL</t>
        </is>
      </c>
      <c r="F72" s="16" t="inlineStr">
        <is>
          <t>1.134 SOL</t>
        </is>
      </c>
      <c r="G72" s="21" t="inlineStr">
        <is>
          <t>-0.005 SOL</t>
        </is>
      </c>
      <c r="H72" s="21" t="inlineStr">
        <is>
          <t>-0.42%</t>
        </is>
      </c>
      <c r="I72" s="16" t="inlineStr">
        <is>
          <t>N/A</t>
        </is>
      </c>
      <c r="J72" s="16" t="n">
        <v>2</v>
      </c>
      <c r="K72" s="16" t="n">
        <v>1</v>
      </c>
      <c r="L72" s="16" t="inlineStr">
        <is>
          <t>24.09.2024 23:06:12</t>
        </is>
      </c>
      <c r="M72" s="16" t="inlineStr">
        <is>
          <t>5 min</t>
        </is>
      </c>
      <c r="N72" s="16" t="inlineStr">
        <is>
          <t xml:space="preserve">        N/A           N/A           N/A</t>
        </is>
      </c>
      <c r="O72" s="16" t="inlineStr">
        <is>
          <t>Bpm4fEJGHShT5Y9BLkuhGugpXUsYPBrX6ckEDxRipump</t>
        </is>
      </c>
      <c r="P72" s="16">
        <f>HYPERLINK("https://photon-sol.tinyastro.io/en/lp/Bpm4fEJGHShT5Y9BLkuhGugpXUsYPBrX6ckEDxRipump?handle=676050794bc1b1657a56b", "View")</f>
        <v/>
      </c>
    </row>
    <row r="73">
      <c r="A73" s="19" t="inlineStr">
        <is>
          <t>Revenge</t>
        </is>
      </c>
      <c r="B73" s="20" t="n">
        <v>27575492</v>
      </c>
      <c r="C73" s="20" t="n">
        <v>27575492</v>
      </c>
      <c r="D73" s="20" t="inlineStr">
        <is>
          <t>0.011010</t>
        </is>
      </c>
      <c r="E73" s="20" t="inlineStr">
        <is>
          <t>1.022 SOL</t>
        </is>
      </c>
      <c r="F73" s="20" t="inlineStr">
        <is>
          <t>1.089 SOL</t>
        </is>
      </c>
      <c r="G73" s="22" t="inlineStr">
        <is>
          <t>0.056 SOL</t>
        </is>
      </c>
      <c r="H73" s="22" t="inlineStr">
        <is>
          <t>5.38%</t>
        </is>
      </c>
      <c r="I73" s="20" t="inlineStr">
        <is>
          <t>N/A</t>
        </is>
      </c>
      <c r="J73" s="20" t="n">
        <v>1</v>
      </c>
      <c r="K73" s="20" t="n">
        <v>1</v>
      </c>
      <c r="L73" s="20" t="inlineStr">
        <is>
          <t>24.09.2024 22:39:13</t>
        </is>
      </c>
      <c r="M73" s="20" t="inlineStr">
        <is>
          <t>1 min</t>
        </is>
      </c>
      <c r="N73" s="20" t="inlineStr">
        <is>
          <t xml:space="preserve">        N/A           N/A           N/A</t>
        </is>
      </c>
      <c r="O73" s="20" t="inlineStr">
        <is>
          <t>CGChD6mcydtMPvjJLYV4pZHec8F4ssrqUFBPTnsqpump</t>
        </is>
      </c>
      <c r="P73" s="20">
        <f>HYPERLINK("https://photon-sol.tinyastro.io/en/lp/CGChD6mcydtMPvjJLYV4pZHec8F4ssrqUFBPTnsqpump?handle=676050794bc1b1657a56b", "View")</f>
        <v/>
      </c>
    </row>
    <row r="74">
      <c r="A74" s="15" t="inlineStr">
        <is>
          <t>WUT</t>
        </is>
      </c>
      <c r="B74" s="16" t="n">
        <v>32668032</v>
      </c>
      <c r="C74" s="16" t="n">
        <v>32668032</v>
      </c>
      <c r="D74" s="16" t="inlineStr">
        <is>
          <t>0.051030</t>
        </is>
      </c>
      <c r="E74" s="16" t="inlineStr">
        <is>
          <t>1.835 SOL</t>
        </is>
      </c>
      <c r="F74" s="16" t="inlineStr">
        <is>
          <t>3.865 SOL</t>
        </is>
      </c>
      <c r="G74" s="23" t="inlineStr">
        <is>
          <t>1.978 SOL</t>
        </is>
      </c>
      <c r="H74" s="23" t="inlineStr">
        <is>
          <t>104.86%</t>
        </is>
      </c>
      <c r="I74" s="16" t="inlineStr">
        <is>
          <t>N/A</t>
        </is>
      </c>
      <c r="J74" s="16" t="n">
        <v>1</v>
      </c>
      <c r="K74" s="16" t="n">
        <v>5</v>
      </c>
      <c r="L74" s="16" t="inlineStr">
        <is>
          <t>24.09.2024 22:07:51</t>
        </is>
      </c>
      <c r="M74" s="16" t="inlineStr">
        <is>
          <t>1 hours</t>
        </is>
      </c>
      <c r="N74" s="16" t="inlineStr">
        <is>
          <t xml:space="preserve">        N/A           N/A           N/A</t>
        </is>
      </c>
      <c r="O74" s="16" t="inlineStr">
        <is>
          <t>2kn8SUqfJgdDnTvwCG46fYFDNnowZzCb6M6Ya826pump</t>
        </is>
      </c>
      <c r="P74" s="16">
        <f>HYPERLINK("https://photon-sol.tinyastro.io/en/lp/2kn8SUqfJgdDnTvwCG46fYFDNnowZzCb6M6Ya826pump?handle=676050794bc1b1657a56b", "View")</f>
        <v/>
      </c>
    </row>
    <row r="75">
      <c r="A75" s="19" t="inlineStr">
        <is>
          <t>TM</t>
        </is>
      </c>
      <c r="B75" s="20" t="n">
        <v>31471499</v>
      </c>
      <c r="C75" s="20" t="n">
        <v>31471499</v>
      </c>
      <c r="D75" s="20" t="inlineStr">
        <is>
          <t>0.012020</t>
        </is>
      </c>
      <c r="E75" s="20" t="inlineStr">
        <is>
          <t>1.266 SOL</t>
        </is>
      </c>
      <c r="F75" s="20" t="inlineStr">
        <is>
          <t>1.114 SOL</t>
        </is>
      </c>
      <c r="G75" s="21" t="inlineStr">
        <is>
          <t>-0.164 SOL</t>
        </is>
      </c>
      <c r="H75" s="21" t="inlineStr">
        <is>
          <t>-12.84%</t>
        </is>
      </c>
      <c r="I75" s="20" t="inlineStr">
        <is>
          <t>N/A</t>
        </is>
      </c>
      <c r="J75" s="20" t="n">
        <v>2</v>
      </c>
      <c r="K75" s="20" t="n">
        <v>1</v>
      </c>
      <c r="L75" s="20" t="inlineStr">
        <is>
          <t>24.09.2024 17:27:04</t>
        </is>
      </c>
      <c r="M75" s="20" t="inlineStr">
        <is>
          <t>12 min</t>
        </is>
      </c>
      <c r="N75" s="20" t="inlineStr">
        <is>
          <t xml:space="preserve">        N/A           N/A           N/A</t>
        </is>
      </c>
      <c r="O75" s="20" t="inlineStr">
        <is>
          <t>ASNPbsvx2zUE6Mr184sw54hUCYzL5KNPAB5LPBunpump</t>
        </is>
      </c>
      <c r="P75" s="20">
        <f>HYPERLINK("https://photon-sol.tinyastro.io/en/lp/ASNPbsvx2zUE6Mr184sw54hUCYzL5KNPAB5LPBunpump?handle=676050794bc1b1657a56b", "View")</f>
        <v/>
      </c>
    </row>
    <row r="76">
      <c r="A76" s="15" t="inlineStr">
        <is>
          <t>PURSUE</t>
        </is>
      </c>
      <c r="B76" s="16" t="n">
        <v>46215757</v>
      </c>
      <c r="C76" s="16" t="n">
        <v>46215757</v>
      </c>
      <c r="D76" s="16" t="inlineStr">
        <is>
          <t>0.022020</t>
        </is>
      </c>
      <c r="E76" s="16" t="inlineStr">
        <is>
          <t>1.940 SOL</t>
        </is>
      </c>
      <c r="F76" s="16" t="inlineStr">
        <is>
          <t>1.489 SOL</t>
        </is>
      </c>
      <c r="G76" s="21" t="inlineStr">
        <is>
          <t>-0.473 SOL</t>
        </is>
      </c>
      <c r="H76" s="21" t="inlineStr">
        <is>
          <t>-24.12%</t>
        </is>
      </c>
      <c r="I76" s="16" t="inlineStr">
        <is>
          <t>N/A</t>
        </is>
      </c>
      <c r="J76" s="16" t="n">
        <v>2</v>
      </c>
      <c r="K76" s="16" t="n">
        <v>2</v>
      </c>
      <c r="L76" s="16" t="inlineStr">
        <is>
          <t>24.09.2024 13:42:36</t>
        </is>
      </c>
      <c r="M76" s="16" t="inlineStr">
        <is>
          <t>44 min</t>
        </is>
      </c>
      <c r="N76" s="16" t="inlineStr">
        <is>
          <t xml:space="preserve">        N/A           N/A           N/A</t>
        </is>
      </c>
      <c r="O76" s="16" t="inlineStr">
        <is>
          <t>BCqNQ9uusdLQu1mk4roy9FUjZ5N1GL7pqG2mjV1npump</t>
        </is>
      </c>
      <c r="P76" s="16">
        <f>HYPERLINK("https://photon-sol.tinyastro.io/en/lp/BCqNQ9uusdLQu1mk4roy9FUjZ5N1GL7pqG2mjV1npump?handle=676050794bc1b1657a56b", "View")</f>
        <v/>
      </c>
    </row>
    <row r="77">
      <c r="A77" s="19" t="inlineStr">
        <is>
          <t>ZIGGA</t>
        </is>
      </c>
      <c r="B77" s="20" t="n">
        <v>29267717</v>
      </c>
      <c r="C77" s="20" t="n">
        <v>29267717</v>
      </c>
      <c r="D77" s="20" t="inlineStr">
        <is>
          <t>0.011010</t>
        </is>
      </c>
      <c r="E77" s="20" t="inlineStr">
        <is>
          <t>1.103 SOL</t>
        </is>
      </c>
      <c r="F77" s="20" t="inlineStr">
        <is>
          <t>1.026 SOL</t>
        </is>
      </c>
      <c r="G77" s="21" t="inlineStr">
        <is>
          <t>-0.087 SOL</t>
        </is>
      </c>
      <c r="H77" s="21" t="inlineStr">
        <is>
          <t>-7.85%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24.09.2024 12:38:05</t>
        </is>
      </c>
      <c r="M77" s="20" t="inlineStr">
        <is>
          <t>7 min</t>
        </is>
      </c>
      <c r="N77" s="20" t="inlineStr">
        <is>
          <t xml:space="preserve">        N/A           N/A           N/A</t>
        </is>
      </c>
      <c r="O77" s="20" t="inlineStr">
        <is>
          <t>6zgob7G8JsaPv6ipfHHnU3yp9fxQZiKXFGt5dnVhpump</t>
        </is>
      </c>
      <c r="P77" s="20">
        <f>HYPERLINK("https://photon-sol.tinyastro.io/en/lp/6zgob7G8JsaPv6ipfHHnU3yp9fxQZiKXFGt5dnVhpump?handle=676050794bc1b1657a56b", "View")</f>
        <v/>
      </c>
    </row>
    <row r="78">
      <c r="A78" s="15" t="inlineStr">
        <is>
          <t>smirk</t>
        </is>
      </c>
      <c r="B78" s="16" t="n">
        <v>37682735</v>
      </c>
      <c r="C78" s="16" t="n">
        <v>37682735</v>
      </c>
      <c r="D78" s="16" t="inlineStr">
        <is>
          <t>0.012020</t>
        </is>
      </c>
      <c r="E78" s="16" t="inlineStr">
        <is>
          <t>1.202 SOL</t>
        </is>
      </c>
      <c r="F78" s="16" t="inlineStr">
        <is>
          <t>1.135 SOL</t>
        </is>
      </c>
      <c r="G78" s="21" t="inlineStr">
        <is>
          <t>-0.079 SOL</t>
        </is>
      </c>
      <c r="H78" s="21" t="inlineStr">
        <is>
          <t>-6.49%</t>
        </is>
      </c>
      <c r="I78" s="16" t="inlineStr">
        <is>
          <t>N/A</t>
        </is>
      </c>
      <c r="J78" s="16" t="n">
        <v>2</v>
      </c>
      <c r="K78" s="16" t="n">
        <v>1</v>
      </c>
      <c r="L78" s="16" t="inlineStr">
        <is>
          <t>24.09.2024 02:05:52</t>
        </is>
      </c>
      <c r="M78" s="16" t="inlineStr">
        <is>
          <t>7 min</t>
        </is>
      </c>
      <c r="N78" s="16" t="inlineStr">
        <is>
          <t xml:space="preserve">        N/A           N/A           N/A</t>
        </is>
      </c>
      <c r="O78" s="16" t="inlineStr">
        <is>
          <t>CAyam4qePqP3Mp2Bh4ALPXkFgcwQvhDrguVEzYhVQT6e</t>
        </is>
      </c>
      <c r="P78" s="16">
        <f>HYPERLINK("https://photon-sol.tinyastro.io/en/lp/CAyam4qePqP3Mp2Bh4ALPXkFgcwQvhDrguVEzYhVQT6e?handle=676050794bc1b1657a56b", "View")</f>
        <v/>
      </c>
    </row>
    <row r="79">
      <c r="A79" s="19" t="inlineStr">
        <is>
          <t>MAW</t>
        </is>
      </c>
      <c r="B79" s="20" t="n">
        <v>24186324</v>
      </c>
      <c r="C79" s="20" t="n">
        <v>24186324</v>
      </c>
      <c r="D79" s="20" t="inlineStr">
        <is>
          <t>0.051030</t>
        </is>
      </c>
      <c r="E79" s="20" t="inlineStr">
        <is>
          <t>1.022 SOL</t>
        </is>
      </c>
      <c r="F79" s="20" t="inlineStr">
        <is>
          <t>5.921 SOL</t>
        </is>
      </c>
      <c r="G79" s="23" t="inlineStr">
        <is>
          <t>4.848 SOL</t>
        </is>
      </c>
      <c r="H79" s="23" t="inlineStr">
        <is>
          <t>451.79%</t>
        </is>
      </c>
      <c r="I79" s="20" t="inlineStr">
        <is>
          <t>N/A</t>
        </is>
      </c>
      <c r="J79" s="20" t="n">
        <v>1</v>
      </c>
      <c r="K79" s="20" t="n">
        <v>5</v>
      </c>
      <c r="L79" s="20" t="inlineStr">
        <is>
          <t>23.09.2024 23:40:24</t>
        </is>
      </c>
      <c r="M79" s="20" t="inlineStr">
        <is>
          <t>2 hours</t>
        </is>
      </c>
      <c r="N79" s="20" t="inlineStr">
        <is>
          <t xml:space="preserve">          7K            40K             3K</t>
        </is>
      </c>
      <c r="O79" s="20" t="inlineStr">
        <is>
          <t>FmTPdQGTCyJ1DWyRbWGeT1LNXp8hZkFnGLP3A7tKpump</t>
        </is>
      </c>
      <c r="P79" s="20">
        <f>HYPERLINK("https://photon-sol.tinyastro.io/en/lp/FmTPdQGTCyJ1DWyRbWGeT1LNXp8hZkFnGLP3A7tKpump?handle=676050794bc1b1657a56b", "View")</f>
        <v/>
      </c>
    </row>
    <row r="80">
      <c r="A80" s="15" t="inlineStr">
        <is>
          <t>$Momo</t>
        </is>
      </c>
      <c r="B80" s="16" t="n">
        <v>31576487</v>
      </c>
      <c r="C80" s="16" t="n">
        <v>31576487</v>
      </c>
      <c r="D80" s="16" t="inlineStr">
        <is>
          <t>0.011010</t>
        </is>
      </c>
      <c r="E80" s="16" t="inlineStr">
        <is>
          <t>1.022 SOL</t>
        </is>
      </c>
      <c r="F80" s="16" t="inlineStr">
        <is>
          <t>0.983 SOL</t>
        </is>
      </c>
      <c r="G80" s="21" t="inlineStr">
        <is>
          <t>-0.050 SOL</t>
        </is>
      </c>
      <c r="H80" s="21" t="inlineStr">
        <is>
          <t>-4.80%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23.09.2024 22:49:31</t>
        </is>
      </c>
      <c r="M80" s="16" t="inlineStr">
        <is>
          <t>8 min</t>
        </is>
      </c>
      <c r="N80" s="16" t="inlineStr">
        <is>
          <t xml:space="preserve">        N/A           N/A           N/A</t>
        </is>
      </c>
      <c r="O80" s="16" t="inlineStr">
        <is>
          <t>FzancXa94ay1uZUa5xgi9nrGkrfWmWcDz79YRB1Lpump</t>
        </is>
      </c>
      <c r="P80" s="16">
        <f>HYPERLINK("https://photon-sol.tinyastro.io/en/lp/FzancXa94ay1uZUa5xgi9nrGkrfWmWcDz79YRB1Lpump?handle=676050794bc1b1657a56b", "View")</f>
        <v/>
      </c>
    </row>
    <row r="81">
      <c r="A81" s="19" t="inlineStr">
        <is>
          <t>Study</t>
        </is>
      </c>
      <c r="B81" s="20" t="n">
        <v>22929891</v>
      </c>
      <c r="C81" s="20" t="n">
        <v>22929891</v>
      </c>
      <c r="D81" s="20" t="inlineStr">
        <is>
          <t>0.011010</t>
        </is>
      </c>
      <c r="E81" s="20" t="inlineStr">
        <is>
          <t>0.818 SOL</t>
        </is>
      </c>
      <c r="F81" s="20" t="inlineStr">
        <is>
          <t>1.442 SOL</t>
        </is>
      </c>
      <c r="G81" s="23" t="inlineStr">
        <is>
          <t>0.613 SOL</t>
        </is>
      </c>
      <c r="H81" s="23" t="inlineStr">
        <is>
          <t>73.88%</t>
        </is>
      </c>
      <c r="I81" s="20" t="inlineStr">
        <is>
          <t>N/A</t>
        </is>
      </c>
      <c r="J81" s="20" t="n">
        <v>1</v>
      </c>
      <c r="K81" s="20" t="n">
        <v>1</v>
      </c>
      <c r="L81" s="20" t="inlineStr">
        <is>
          <t>23.09.2024 14:52:45</t>
        </is>
      </c>
      <c r="M81" s="20" t="inlineStr">
        <is>
          <t>1 hours</t>
        </is>
      </c>
      <c r="N81" s="20" t="inlineStr">
        <is>
          <t xml:space="preserve">        N/A           N/A           N/A</t>
        </is>
      </c>
      <c r="O81" s="20" t="inlineStr">
        <is>
          <t>3sHbc9xvqXQZzswFkqHJmpgtre3rspeoJeRsdgGNpump</t>
        </is>
      </c>
      <c r="P81" s="20">
        <f>HYPERLINK("https://photon-sol.tinyastro.io/en/lp/3sHbc9xvqXQZzswFkqHJmpgtre3rspeoJeRsdgGNpump?handle=676050794bc1b1657a56b", "View")</f>
        <v/>
      </c>
    </row>
    <row r="82">
      <c r="A82" s="15" t="inlineStr">
        <is>
          <t>Revenge</t>
        </is>
      </c>
      <c r="B82" s="16" t="n">
        <v>21712941</v>
      </c>
      <c r="C82" s="16" t="n">
        <v>21712941</v>
      </c>
      <c r="D82" s="16" t="inlineStr">
        <is>
          <t>0.011010</t>
        </is>
      </c>
      <c r="E82" s="16" t="inlineStr">
        <is>
          <t>1.046 SOL</t>
        </is>
      </c>
      <c r="F82" s="16" t="inlineStr">
        <is>
          <t>1.113 SOL</t>
        </is>
      </c>
      <c r="G82" s="22" t="inlineStr">
        <is>
          <t>0.056 SOL</t>
        </is>
      </c>
      <c r="H82" s="22" t="inlineStr">
        <is>
          <t>5.30%</t>
        </is>
      </c>
      <c r="I82" s="16" t="inlineStr">
        <is>
          <t>N/A</t>
        </is>
      </c>
      <c r="J82" s="16" t="n">
        <v>1</v>
      </c>
      <c r="K82" s="16" t="n">
        <v>1</v>
      </c>
      <c r="L82" s="16" t="inlineStr">
        <is>
          <t>22.09.2024 20:06:39</t>
        </is>
      </c>
      <c r="M82" s="16" t="inlineStr">
        <is>
          <t>2 min</t>
        </is>
      </c>
      <c r="N82" s="16" t="inlineStr">
        <is>
          <t xml:space="preserve">        N/A           N/A           N/A</t>
        </is>
      </c>
      <c r="O82" s="16" t="inlineStr">
        <is>
          <t>gqY7Eo9DMjEwqjaqdv28uA5wCc7ERqwYrtfViqspump</t>
        </is>
      </c>
      <c r="P82" s="16">
        <f>HYPERLINK("https://photon-sol.tinyastro.io/en/lp/gqY7Eo9DMjEwqjaqdv28uA5wCc7ERqwYrtfViqspump?handle=676050794bc1b1657a56b", "View")</f>
        <v/>
      </c>
    </row>
    <row r="83">
      <c r="A83" s="19" t="inlineStr">
        <is>
          <t>simp</t>
        </is>
      </c>
      <c r="B83" s="20" t="n">
        <v>31694413</v>
      </c>
      <c r="C83" s="20" t="n">
        <v>31694413</v>
      </c>
      <c r="D83" s="20" t="inlineStr">
        <is>
          <t>0.011010</t>
        </is>
      </c>
      <c r="E83" s="20" t="inlineStr">
        <is>
          <t>1.092 SOL</t>
        </is>
      </c>
      <c r="F83" s="20" t="inlineStr">
        <is>
          <t>1.432 SOL</t>
        </is>
      </c>
      <c r="G83" s="22" t="inlineStr">
        <is>
          <t>0.329 SOL</t>
        </is>
      </c>
      <c r="H83" s="22" t="inlineStr">
        <is>
          <t>29.80%</t>
        </is>
      </c>
      <c r="I83" s="20" t="inlineStr">
        <is>
          <t>N/A</t>
        </is>
      </c>
      <c r="J83" s="20" t="n">
        <v>1</v>
      </c>
      <c r="K83" s="20" t="n">
        <v>1</v>
      </c>
      <c r="L83" s="20" t="inlineStr">
        <is>
          <t>22.09.2024 19:33:02</t>
        </is>
      </c>
      <c r="M83" s="20" t="inlineStr">
        <is>
          <t>5 min</t>
        </is>
      </c>
      <c r="N83" s="20" t="inlineStr">
        <is>
          <t xml:space="preserve">        N/A           N/A           N/A</t>
        </is>
      </c>
      <c r="O83" s="20" t="inlineStr">
        <is>
          <t>HC4VA5Y4BLivk5a55q1KmfxVyjfbxtfDMSUMjvpgpump</t>
        </is>
      </c>
      <c r="P83" s="20">
        <f>HYPERLINK("https://photon-sol.tinyastro.io/en/lp/HC4VA5Y4BLivk5a55q1KmfxVyjfbxtfDMSUMjvpgpump?handle=676050794bc1b1657a56b", "View")</f>
        <v/>
      </c>
    </row>
    <row r="84">
      <c r="A84" s="15" t="inlineStr">
        <is>
          <t>Waffles</t>
        </is>
      </c>
      <c r="B84" s="16" t="n">
        <v>24291594</v>
      </c>
      <c r="C84" s="16" t="n">
        <v>24291594</v>
      </c>
      <c r="D84" s="16" t="inlineStr">
        <is>
          <t>0.011010</t>
        </is>
      </c>
      <c r="E84" s="16" t="inlineStr">
        <is>
          <t>1.022 SOL</t>
        </is>
      </c>
      <c r="F84" s="16" t="inlineStr">
        <is>
          <t>0.824 SOL</t>
        </is>
      </c>
      <c r="G84" s="21" t="inlineStr">
        <is>
          <t>-0.209 SOL</t>
        </is>
      </c>
      <c r="H84" s="21" t="inlineStr">
        <is>
          <t>-20.19%</t>
        </is>
      </c>
      <c r="I84" s="16" t="inlineStr">
        <is>
          <t>N/A</t>
        </is>
      </c>
      <c r="J84" s="16" t="n">
        <v>1</v>
      </c>
      <c r="K84" s="16" t="n">
        <v>1</v>
      </c>
      <c r="L84" s="16" t="inlineStr">
        <is>
          <t>22.09.2024 00:55:13</t>
        </is>
      </c>
      <c r="M84" s="16" t="inlineStr">
        <is>
          <t>2 hours</t>
        </is>
      </c>
      <c r="N84" s="16" t="inlineStr">
        <is>
          <t xml:space="preserve">        N/A           N/A           N/A</t>
        </is>
      </c>
      <c r="O84" s="16" t="inlineStr">
        <is>
          <t>B9KMEeHFWhc6Y9zr1cHh7iJ8Tjm5ph8GFLvLqkorpump</t>
        </is>
      </c>
      <c r="P84" s="16">
        <f>HYPERLINK("https://photon-sol.tinyastro.io/en/lp/B9KMEeHFWhc6Y9zr1cHh7iJ8Tjm5ph8GFLvLqkorpump?handle=676050794bc1b1657a56b", "View")</f>
        <v/>
      </c>
    </row>
    <row r="85">
      <c r="A85" s="19" t="inlineStr">
        <is>
          <t>squishy</t>
        </is>
      </c>
      <c r="B85" s="20" t="n">
        <v>51437397</v>
      </c>
      <c r="C85" s="20" t="n">
        <v>51437397</v>
      </c>
      <c r="D85" s="20" t="inlineStr">
        <is>
          <t>0.022020</t>
        </is>
      </c>
      <c r="E85" s="20" t="inlineStr">
        <is>
          <t>2.042 SOL</t>
        </is>
      </c>
      <c r="F85" s="20" t="inlineStr">
        <is>
          <t>2.348 SOL</t>
        </is>
      </c>
      <c r="G85" s="22" t="inlineStr">
        <is>
          <t>0.284 SOL</t>
        </is>
      </c>
      <c r="H85" s="22" t="inlineStr">
        <is>
          <t>13.78%</t>
        </is>
      </c>
      <c r="I85" s="20" t="inlineStr">
        <is>
          <t>N/A</t>
        </is>
      </c>
      <c r="J85" s="20" t="n">
        <v>2</v>
      </c>
      <c r="K85" s="20" t="n">
        <v>2</v>
      </c>
      <c r="L85" s="20" t="inlineStr">
        <is>
          <t>21.09.2024 23:56:58</t>
        </is>
      </c>
      <c r="M85" s="20" t="inlineStr">
        <is>
          <t>5 min</t>
        </is>
      </c>
      <c r="N85" s="20" t="inlineStr">
        <is>
          <t xml:space="preserve">        N/A           N/A           N/A</t>
        </is>
      </c>
      <c r="O85" s="20" t="inlineStr">
        <is>
          <t>EveZv5XQ2uFgMPQSp5HdJ5NFyPEb751KaqtXKptApump</t>
        </is>
      </c>
      <c r="P85" s="20">
        <f>HYPERLINK("https://photon-sol.tinyastro.io/en/lp/EveZv5XQ2uFgMPQSp5HdJ5NFyPEb751KaqtXKptApump?handle=676050794bc1b1657a56b", "View")</f>
        <v/>
      </c>
    </row>
    <row r="86">
      <c r="A86" s="15" t="inlineStr">
        <is>
          <t>MANYU</t>
        </is>
      </c>
      <c r="B86" s="16" t="n">
        <v>25125535</v>
      </c>
      <c r="C86" s="16" t="n">
        <v>25125535</v>
      </c>
      <c r="D86" s="16" t="inlineStr">
        <is>
          <t>0.011010</t>
        </is>
      </c>
      <c r="E86" s="16" t="inlineStr">
        <is>
          <t>1.022 SOL</t>
        </is>
      </c>
      <c r="F86" s="16" t="inlineStr">
        <is>
          <t>0.900 SOL</t>
        </is>
      </c>
      <c r="G86" s="21" t="inlineStr">
        <is>
          <t>-0.133 SOL</t>
        </is>
      </c>
      <c r="H86" s="21" t="inlineStr">
        <is>
          <t>-12.88%</t>
        </is>
      </c>
      <c r="I86" s="16" t="inlineStr">
        <is>
          <t>N/A</t>
        </is>
      </c>
      <c r="J86" s="16" t="n">
        <v>1</v>
      </c>
      <c r="K86" s="16" t="n">
        <v>1</v>
      </c>
      <c r="L86" s="16" t="inlineStr">
        <is>
          <t>20.09.2024 03:15:45</t>
        </is>
      </c>
      <c r="M86" s="16" t="inlineStr">
        <is>
          <t>32 min</t>
        </is>
      </c>
      <c r="N86" s="16" t="inlineStr">
        <is>
          <t xml:space="preserve">          7K             7K             8K</t>
        </is>
      </c>
      <c r="O86" s="16" t="inlineStr">
        <is>
          <t>AXaUhvo27HyHrHDJgnbyRTKdFLDZV59wK7zKgvByeK62</t>
        </is>
      </c>
      <c r="P86" s="16">
        <f>HYPERLINK("https://photon-sol.tinyastro.io/en/lp/AXaUhvo27HyHrHDJgnbyRTKdFLDZV59wK7zKgvByeK62?handle=676050794bc1b1657a56b", "View")</f>
        <v/>
      </c>
    </row>
    <row r="87">
      <c r="A87" s="19" t="inlineStr">
        <is>
          <t>Chibawan</t>
        </is>
      </c>
      <c r="B87" s="20" t="n">
        <v>34336234</v>
      </c>
      <c r="C87" s="20" t="n">
        <v>34336234</v>
      </c>
      <c r="D87" s="20" t="inlineStr">
        <is>
          <t>0.011010</t>
        </is>
      </c>
      <c r="E87" s="20" t="inlineStr">
        <is>
          <t>1.225 SOL</t>
        </is>
      </c>
      <c r="F87" s="20" t="inlineStr">
        <is>
          <t>1.032 SOL</t>
        </is>
      </c>
      <c r="G87" s="21" t="inlineStr">
        <is>
          <t>-0.204 SOL</t>
        </is>
      </c>
      <c r="H87" s="21" t="inlineStr">
        <is>
          <t>-16.53%</t>
        </is>
      </c>
      <c r="I87" s="20" t="inlineStr">
        <is>
          <t>N/A</t>
        </is>
      </c>
      <c r="J87" s="20" t="n">
        <v>1</v>
      </c>
      <c r="K87" s="20" t="n">
        <v>1</v>
      </c>
      <c r="L87" s="20" t="inlineStr">
        <is>
          <t>19.09.2024 02:39:12</t>
        </is>
      </c>
      <c r="M87" s="20" t="inlineStr">
        <is>
          <t>8 min</t>
        </is>
      </c>
      <c r="N87" s="20" t="inlineStr">
        <is>
          <t xml:space="preserve">        N/A           N/A           N/A</t>
        </is>
      </c>
      <c r="O87" s="20" t="inlineStr">
        <is>
          <t>2rSE3e4kZJAuhRzDBWCmYZYycc1mttVMF7KePMCapump</t>
        </is>
      </c>
      <c r="P87" s="20">
        <f>HYPERLINK("https://photon-sol.tinyastro.io/en/lp/2rSE3e4kZJAuhRzDBWCmYZYycc1mttVMF7KePMCapump?handle=676050794bc1b1657a56b", "View")</f>
        <v/>
      </c>
    </row>
    <row r="88">
      <c r="A88" s="15" t="inlineStr">
        <is>
          <t>INEVITABLE</t>
        </is>
      </c>
      <c r="B88" s="16" t="n">
        <v>25411387</v>
      </c>
      <c r="C88" s="16" t="n">
        <v>25411387</v>
      </c>
      <c r="D88" s="16" t="inlineStr">
        <is>
          <t>0.011010</t>
        </is>
      </c>
      <c r="E88" s="16" t="inlineStr">
        <is>
          <t>0.818 SOL</t>
        </is>
      </c>
      <c r="F88" s="16" t="inlineStr">
        <is>
          <t>0.955 SOL</t>
        </is>
      </c>
      <c r="G88" s="22" t="inlineStr">
        <is>
          <t>0.126 SOL</t>
        </is>
      </c>
      <c r="H88" s="22" t="inlineStr">
        <is>
          <t>15.13%</t>
        </is>
      </c>
      <c r="I88" s="16" t="inlineStr">
        <is>
          <t>N/A</t>
        </is>
      </c>
      <c r="J88" s="16" t="n">
        <v>1</v>
      </c>
      <c r="K88" s="16" t="n">
        <v>1</v>
      </c>
      <c r="L88" s="16" t="inlineStr">
        <is>
          <t>18.09.2024 15:26:21</t>
        </is>
      </c>
      <c r="M88" s="16" t="inlineStr">
        <is>
          <t>24 min</t>
        </is>
      </c>
      <c r="N88" s="16" t="inlineStr">
        <is>
          <t xml:space="preserve">        N/A           N/A           N/A</t>
        </is>
      </c>
      <c r="O88" s="16" t="inlineStr">
        <is>
          <t>2kLkUTVVxpA3UjsKMxxq1vCr1acPKDsHLZiB5cEjpump</t>
        </is>
      </c>
      <c r="P88" s="16">
        <f>HYPERLINK("https://photon-sol.tinyastro.io/en/lp/2kLkUTVVxpA3UjsKMxxq1vCr1acPKDsHLZiB5cEjpump?handle=676050794bc1b1657a56b", "View")</f>
        <v/>
      </c>
    </row>
    <row r="89">
      <c r="A89" s="19" t="inlineStr">
        <is>
          <t>Tsutsuji</t>
        </is>
      </c>
      <c r="B89" s="20" t="n">
        <v>33000528</v>
      </c>
      <c r="C89" s="20" t="n">
        <v>33000528</v>
      </c>
      <c r="D89" s="20" t="inlineStr">
        <is>
          <t>0.011010</t>
        </is>
      </c>
      <c r="E89" s="20" t="inlineStr">
        <is>
          <t>1.022 SOL</t>
        </is>
      </c>
      <c r="F89" s="20" t="inlineStr">
        <is>
          <t>0.979 SOL</t>
        </is>
      </c>
      <c r="G89" s="21" t="inlineStr">
        <is>
          <t>-0.054 SOL</t>
        </is>
      </c>
      <c r="H89" s="21" t="inlineStr">
        <is>
          <t>-5.27%</t>
        </is>
      </c>
      <c r="I89" s="20" t="inlineStr">
        <is>
          <t>N/A</t>
        </is>
      </c>
      <c r="J89" s="20" t="n">
        <v>1</v>
      </c>
      <c r="K89" s="20" t="n">
        <v>1</v>
      </c>
      <c r="L89" s="20" t="inlineStr">
        <is>
          <t>17.09.2024 22:54:08</t>
        </is>
      </c>
      <c r="M89" s="20" t="inlineStr">
        <is>
          <t>12 min</t>
        </is>
      </c>
      <c r="N89" s="20" t="inlineStr">
        <is>
          <t xml:space="preserve">        N/A           N/A           N/A</t>
        </is>
      </c>
      <c r="O89" s="20" t="inlineStr">
        <is>
          <t>nsJmGvdTLZEaGS5pbosgmoVin6LZnyKinbP88Fgpump</t>
        </is>
      </c>
      <c r="P89" s="20">
        <f>HYPERLINK("https://photon-sol.tinyastro.io/en/lp/nsJmGvdTLZEaGS5pbosgmoVin6LZnyKinbP88Fgpump?handle=676050794bc1b1657a56b", "View")</f>
        <v/>
      </c>
    </row>
    <row r="90">
      <c r="A90" s="15" t="inlineStr">
        <is>
          <t>berun</t>
        </is>
      </c>
      <c r="B90" s="16" t="n">
        <v>29576681</v>
      </c>
      <c r="C90" s="16" t="n">
        <v>29576681</v>
      </c>
      <c r="D90" s="16" t="inlineStr">
        <is>
          <t>0.011010</t>
        </is>
      </c>
      <c r="E90" s="16" t="inlineStr">
        <is>
          <t>1.243 SOL</t>
        </is>
      </c>
      <c r="F90" s="16" t="inlineStr">
        <is>
          <t>1.292 SOL</t>
        </is>
      </c>
      <c r="G90" s="22" t="inlineStr">
        <is>
          <t>0.038 SOL</t>
        </is>
      </c>
      <c r="H90" s="22" t="inlineStr">
        <is>
          <t>3.06%</t>
        </is>
      </c>
      <c r="I90" s="16" t="inlineStr">
        <is>
          <t>N/A</t>
        </is>
      </c>
      <c r="J90" s="16" t="n">
        <v>1</v>
      </c>
      <c r="K90" s="16" t="n">
        <v>1</v>
      </c>
      <c r="L90" s="16" t="inlineStr">
        <is>
          <t>16.09.2024 22:52:55</t>
        </is>
      </c>
      <c r="M90" s="16" t="inlineStr">
        <is>
          <t>7 min</t>
        </is>
      </c>
      <c r="N90" s="16" t="inlineStr">
        <is>
          <t xml:space="preserve">        N/A           N/A           N/A</t>
        </is>
      </c>
      <c r="O90" s="16" t="inlineStr">
        <is>
          <t>By1R2ZbruxPsv6ktaFxFJeAxsPUW8bQZmsyUbDavpump</t>
        </is>
      </c>
      <c r="P90" s="16">
        <f>HYPERLINK("https://photon-sol.tinyastro.io/en/lp/By1R2ZbruxPsv6ktaFxFJeAxsPUW8bQZmsyUbDavpump?handle=676050794bc1b1657a56b", "View")</f>
        <v/>
      </c>
    </row>
    <row r="91">
      <c r="A91" s="19" t="inlineStr">
        <is>
          <t xml:space="preserve">done </t>
        </is>
      </c>
      <c r="B91" s="20" t="n">
        <v>5432753</v>
      </c>
      <c r="C91" s="20" t="n">
        <v>5432753</v>
      </c>
      <c r="D91" s="20" t="inlineStr">
        <is>
          <t>0.011010</t>
        </is>
      </c>
      <c r="E91" s="20" t="inlineStr">
        <is>
          <t>1.022 SOL</t>
        </is>
      </c>
      <c r="F91" s="20" t="inlineStr">
        <is>
          <t>1.313 SOL</t>
        </is>
      </c>
      <c r="G91" s="22" t="inlineStr">
        <is>
          <t>0.280 SOL</t>
        </is>
      </c>
      <c r="H91" s="22" t="inlineStr">
        <is>
          <t>27.14%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16.09.2024 19:29:44</t>
        </is>
      </c>
      <c r="M91" s="20" t="inlineStr">
        <is>
          <t>54 min</t>
        </is>
      </c>
      <c r="N91" s="20" t="inlineStr">
        <is>
          <t xml:space="preserve">         33K            42K             3K</t>
        </is>
      </c>
      <c r="O91" s="20" t="inlineStr">
        <is>
          <t>9QbgiTJ8tCbQhzNCi4DadM8mhPhcfwZZU6HKz7aUpump</t>
        </is>
      </c>
      <c r="P91" s="20">
        <f>HYPERLINK("https://photon-sol.tinyastro.io/en/lp/9QbgiTJ8tCbQhzNCi4DadM8mhPhcfwZZU6HKz7aUpump?handle=676050794bc1b1657a56b", "View")</f>
        <v/>
      </c>
    </row>
    <row r="92">
      <c r="A92" s="15" t="inlineStr">
        <is>
          <t>POP</t>
        </is>
      </c>
      <c r="B92" s="16" t="n">
        <v>24137871</v>
      </c>
      <c r="C92" s="16" t="n">
        <v>24137871</v>
      </c>
      <c r="D92" s="16" t="inlineStr">
        <is>
          <t>0.011010</t>
        </is>
      </c>
      <c r="E92" s="16" t="inlineStr">
        <is>
          <t>1.226 SOL</t>
        </is>
      </c>
      <c r="F92" s="16" t="inlineStr">
        <is>
          <t>1.153 SOL</t>
        </is>
      </c>
      <c r="G92" s="21" t="inlineStr">
        <is>
          <t>-0.084 SOL</t>
        </is>
      </c>
      <c r="H92" s="21" t="inlineStr">
        <is>
          <t>-6.77%</t>
        </is>
      </c>
      <c r="I92" s="16" t="inlineStr">
        <is>
          <t>N/A</t>
        </is>
      </c>
      <c r="J92" s="16" t="n">
        <v>1</v>
      </c>
      <c r="K92" s="16" t="n">
        <v>1</v>
      </c>
      <c r="L92" s="16" t="inlineStr">
        <is>
          <t>09.09.2024 13:12:01</t>
        </is>
      </c>
      <c r="M92" s="16" t="inlineStr">
        <is>
          <t>2 min</t>
        </is>
      </c>
      <c r="N92" s="16" t="inlineStr">
        <is>
          <t xml:space="preserve">        N/A           N/A           N/A</t>
        </is>
      </c>
      <c r="O92" s="16" t="inlineStr">
        <is>
          <t>4p319BWFczU4D3Qss9DebrbH5mDUSnyZMEy98pNrpump</t>
        </is>
      </c>
      <c r="P92" s="16">
        <f>HYPERLINK("https://photon-sol.tinyastro.io/en/lp/4p319BWFczU4D3Qss9DebrbH5mDUSnyZMEy98pNrpump?handle=676050794bc1b1657a56b", "View")</f>
        <v/>
      </c>
    </row>
    <row r="93">
      <c r="A93" s="19" t="inlineStr">
        <is>
          <t>HYPE</t>
        </is>
      </c>
      <c r="B93" s="20" t="n">
        <v>23383278</v>
      </c>
      <c r="C93" s="20" t="n">
        <v>23383278</v>
      </c>
      <c r="D93" s="20" t="inlineStr">
        <is>
          <t>0.020010</t>
        </is>
      </c>
      <c r="E93" s="20" t="inlineStr">
        <is>
          <t>1.088 SOL</t>
        </is>
      </c>
      <c r="F93" s="20" t="inlineStr">
        <is>
          <t>1.045 SOL</t>
        </is>
      </c>
      <c r="G93" s="21" t="inlineStr">
        <is>
          <t>-0.062 SOL</t>
        </is>
      </c>
      <c r="H93" s="21" t="inlineStr">
        <is>
          <t>-5.63%</t>
        </is>
      </c>
      <c r="I93" s="20" t="inlineStr">
        <is>
          <t>N/A</t>
        </is>
      </c>
      <c r="J93" s="20" t="n">
        <v>1</v>
      </c>
      <c r="K93" s="20" t="n">
        <v>1</v>
      </c>
      <c r="L93" s="20" t="inlineStr">
        <is>
          <t>06.09.2024 13:48:06</t>
        </is>
      </c>
      <c r="M93" s="20" t="inlineStr">
        <is>
          <t>11 min</t>
        </is>
      </c>
      <c r="N93" s="20" t="inlineStr">
        <is>
          <t xml:space="preserve">        N/A           N/A           N/A</t>
        </is>
      </c>
      <c r="O93" s="20" t="inlineStr">
        <is>
          <t>9CTmzDbGMJZXJNeWY1itF23EZQCfAfH5AbemBKGdpump</t>
        </is>
      </c>
      <c r="P93" s="20">
        <f>HYPERLINK("https://photon-sol.tinyastro.io/en/lp/9CTmzDbGMJZXJNeWY1itF23EZQCfAfH5AbemBKGdpump?handle=676050794bc1b1657a56b", "View")</f>
        <v/>
      </c>
    </row>
    <row r="94">
      <c r="A94" s="15" t="inlineStr">
        <is>
          <t>leo</t>
        </is>
      </c>
      <c r="B94" s="16" t="n">
        <v>43972763</v>
      </c>
      <c r="C94" s="16" t="n">
        <v>43972763</v>
      </c>
      <c r="D94" s="16" t="inlineStr">
        <is>
          <t>0.040020</t>
        </is>
      </c>
      <c r="E94" s="16" t="inlineStr">
        <is>
          <t>2.228 SOL</t>
        </is>
      </c>
      <c r="F94" s="16" t="inlineStr">
        <is>
          <t>2.026 SOL</t>
        </is>
      </c>
      <c r="G94" s="21" t="inlineStr">
        <is>
          <t>-0.242 SOL</t>
        </is>
      </c>
      <c r="H94" s="21" t="inlineStr">
        <is>
          <t>-10.66%</t>
        </is>
      </c>
      <c r="I94" s="16" t="inlineStr">
        <is>
          <t>N/A</t>
        </is>
      </c>
      <c r="J94" s="16" t="n">
        <v>2</v>
      </c>
      <c r="K94" s="16" t="n">
        <v>2</v>
      </c>
      <c r="L94" s="16" t="inlineStr">
        <is>
          <t>05.09.2024 14:02:53</t>
        </is>
      </c>
      <c r="M94" s="16" t="inlineStr">
        <is>
          <t>1 hours</t>
        </is>
      </c>
      <c r="N94" s="16" t="inlineStr">
        <is>
          <t xml:space="preserve">        N/A           N/A           N/A</t>
        </is>
      </c>
      <c r="O94" s="16" t="inlineStr">
        <is>
          <t>4g5n9yLbu1wMtf7bYyPnmCrmA2gPhAbG6xDZBfnFK4h7</t>
        </is>
      </c>
      <c r="P94" s="16">
        <f>HYPERLINK("https://photon-sol.tinyastro.io/en/lp/4g5n9yLbu1wMtf7bYyPnmCrmA2gPhAbG6xDZBfnFK4h7?handle=676050794bc1b1657a56b", "View")</f>
        <v/>
      </c>
    </row>
    <row r="95">
      <c r="A95" s="19" t="inlineStr">
        <is>
          <t>Present</t>
        </is>
      </c>
      <c r="B95" s="20" t="n">
        <v>19624677</v>
      </c>
      <c r="C95" s="20" t="n">
        <v>19624677</v>
      </c>
      <c r="D95" s="20" t="inlineStr">
        <is>
          <t>0.020010</t>
        </is>
      </c>
      <c r="E95" s="20" t="inlineStr">
        <is>
          <t>1.138 SOL</t>
        </is>
      </c>
      <c r="F95" s="20" t="inlineStr">
        <is>
          <t>0.683 SOL</t>
        </is>
      </c>
      <c r="G95" s="21" t="inlineStr">
        <is>
          <t>-0.474 SOL</t>
        </is>
      </c>
      <c r="H95" s="21" t="inlineStr">
        <is>
          <t>-40.97%</t>
        </is>
      </c>
      <c r="I95" s="20" t="inlineStr">
        <is>
          <t>N/A</t>
        </is>
      </c>
      <c r="J95" s="20" t="n">
        <v>1</v>
      </c>
      <c r="K95" s="20" t="n">
        <v>1</v>
      </c>
      <c r="L95" s="20" t="inlineStr">
        <is>
          <t>05.09.2024 13:41:07</t>
        </is>
      </c>
      <c r="M95" s="20" t="inlineStr">
        <is>
          <t>33 min</t>
        </is>
      </c>
      <c r="N95" s="20" t="inlineStr">
        <is>
          <t xml:space="preserve">        N/A           N/A           N/A</t>
        </is>
      </c>
      <c r="O95" s="20" t="inlineStr">
        <is>
          <t>76qPDS5zeRzAbEf1cmKrJcMZnsKeQF4wDyCXwixrpump</t>
        </is>
      </c>
      <c r="P95" s="20">
        <f>HYPERLINK("https://photon-sol.tinyastro.io/en/lp/76qPDS5zeRzAbEf1cmKrJcMZnsKeQF4wDyCXwixrpump?handle=676050794bc1b1657a56b", "View")</f>
        <v/>
      </c>
    </row>
    <row r="96">
      <c r="A96" s="15" t="inlineStr">
        <is>
          <t>sike</t>
        </is>
      </c>
      <c r="B96" s="16" t="n">
        <v>26228049</v>
      </c>
      <c r="C96" s="16" t="n">
        <v>26228049</v>
      </c>
      <c r="D96" s="16" t="inlineStr">
        <is>
          <t>0.020010</t>
        </is>
      </c>
      <c r="E96" s="16" t="inlineStr">
        <is>
          <t>1.031 SOL</t>
        </is>
      </c>
      <c r="F96" s="16" t="inlineStr">
        <is>
          <t>1.171 SOL</t>
        </is>
      </c>
      <c r="G96" s="22" t="inlineStr">
        <is>
          <t>0.120 SOL</t>
        </is>
      </c>
      <c r="H96" s="22" t="inlineStr">
        <is>
          <t>11.43%</t>
        </is>
      </c>
      <c r="I96" s="16" t="inlineStr">
        <is>
          <t>N/A</t>
        </is>
      </c>
      <c r="J96" s="16" t="n">
        <v>1</v>
      </c>
      <c r="K96" s="16" t="n">
        <v>1</v>
      </c>
      <c r="L96" s="16" t="inlineStr">
        <is>
          <t>05.09.2024 12:45:16</t>
        </is>
      </c>
      <c r="M96" s="16" t="inlineStr">
        <is>
          <t>5 min</t>
        </is>
      </c>
      <c r="N96" s="16" t="inlineStr">
        <is>
          <t xml:space="preserve">        N/A           N/A           N/A</t>
        </is>
      </c>
      <c r="O96" s="16" t="inlineStr">
        <is>
          <t>DS6qWtmRCM2Te2C2zMUiPRXY7MdunWf4qWESZvPvpump</t>
        </is>
      </c>
      <c r="P96" s="16">
        <f>HYPERLINK("https://photon-sol.tinyastro.io/en/lp/DS6qWtmRCM2Te2C2zMUiPRXY7MdunWf4qWESZvPvpump?handle=676050794bc1b1657a56b", "View")</f>
        <v/>
      </c>
    </row>
    <row r="97">
      <c r="A97" s="19" t="inlineStr">
        <is>
          <t>AHB</t>
        </is>
      </c>
      <c r="B97" s="20" t="n">
        <v>12109515</v>
      </c>
      <c r="C97" s="20" t="n">
        <v>12109515</v>
      </c>
      <c r="D97" s="20" t="inlineStr">
        <is>
          <t>0.020010</t>
        </is>
      </c>
      <c r="E97" s="20" t="inlineStr">
        <is>
          <t>1.077 SOL</t>
        </is>
      </c>
      <c r="F97" s="20" t="inlineStr">
        <is>
          <t>0.477 SOL</t>
        </is>
      </c>
      <c r="G97" s="24" t="inlineStr">
        <is>
          <t>-0.620 SOL</t>
        </is>
      </c>
      <c r="H97" s="24" t="inlineStr">
        <is>
          <t>-56.55%</t>
        </is>
      </c>
      <c r="I97" s="20" t="inlineStr">
        <is>
          <t>N/A</t>
        </is>
      </c>
      <c r="J97" s="20" t="n">
        <v>1</v>
      </c>
      <c r="K97" s="20" t="n">
        <v>1</v>
      </c>
      <c r="L97" s="20" t="inlineStr">
        <is>
          <t>05.09.2024 02:03:26</t>
        </is>
      </c>
      <c r="M97" s="20" t="inlineStr">
        <is>
          <t>4 hours</t>
        </is>
      </c>
      <c r="N97" s="20" t="inlineStr">
        <is>
          <t xml:space="preserve">        N/A           N/A           N/A</t>
        </is>
      </c>
      <c r="O97" s="20" t="inlineStr">
        <is>
          <t>2ZA6HgdnCrvDG5PqNQJmv6ATuX5sazBdXakymP3Epump</t>
        </is>
      </c>
      <c r="P97" s="20">
        <f>HYPERLINK("https://photon-sol.tinyastro.io/en/lp/2ZA6HgdnCrvDG5PqNQJmv6ATuX5sazBdXakymP3Epump?handle=676050794bc1b1657a56b", "View")</f>
        <v/>
      </c>
    </row>
    <row r="98">
      <c r="A98" s="15" t="inlineStr">
        <is>
          <t>dafak</t>
        </is>
      </c>
      <c r="B98" s="16" t="n">
        <v>39189600</v>
      </c>
      <c r="C98" s="16" t="n">
        <v>39189600</v>
      </c>
      <c r="D98" s="16" t="inlineStr">
        <is>
          <t>0.040020</t>
        </is>
      </c>
      <c r="E98" s="16" t="inlineStr">
        <is>
          <t>2.107 SOL</t>
        </is>
      </c>
      <c r="F98" s="16" t="inlineStr">
        <is>
          <t>1.667 SOL</t>
        </is>
      </c>
      <c r="G98" s="21" t="inlineStr">
        <is>
          <t>-0.480 SOL</t>
        </is>
      </c>
      <c r="H98" s="21" t="inlineStr">
        <is>
          <t>-22.35%</t>
        </is>
      </c>
      <c r="I98" s="16" t="inlineStr">
        <is>
          <t>N/A</t>
        </is>
      </c>
      <c r="J98" s="16" t="n">
        <v>2</v>
      </c>
      <c r="K98" s="16" t="n">
        <v>2</v>
      </c>
      <c r="L98" s="16" t="inlineStr">
        <is>
          <t>04.09.2024 01:23:17</t>
        </is>
      </c>
      <c r="M98" s="16" t="inlineStr">
        <is>
          <t>3 hours</t>
        </is>
      </c>
      <c r="N98" s="16" t="inlineStr">
        <is>
          <t xml:space="preserve">        N/A           N/A           N/A</t>
        </is>
      </c>
      <c r="O98" s="16" t="inlineStr">
        <is>
          <t>GU2MbLJ8tvWDzdHTu3B6SKidnMSMuLxXngAdsv8dm6mf</t>
        </is>
      </c>
      <c r="P98" s="16">
        <f>HYPERLINK("https://photon-sol.tinyastro.io/en/lp/GU2MbLJ8tvWDzdHTu3B6SKidnMSMuLxXngAdsv8dm6mf?handle=676050794bc1b1657a56b", "View")</f>
        <v/>
      </c>
    </row>
    <row r="99">
      <c r="A99" s="19" t="inlineStr">
        <is>
          <t>Tomoki</t>
        </is>
      </c>
      <c r="B99" s="20" t="n">
        <v>21919887</v>
      </c>
      <c r="C99" s="20" t="n">
        <v>21919887</v>
      </c>
      <c r="D99" s="20" t="inlineStr">
        <is>
          <t>0.020010</t>
        </is>
      </c>
      <c r="E99" s="20" t="inlineStr">
        <is>
          <t>1.540 SOL</t>
        </is>
      </c>
      <c r="F99" s="20" t="inlineStr">
        <is>
          <t>1.287 SOL</t>
        </is>
      </c>
      <c r="G99" s="21" t="inlineStr">
        <is>
          <t>-0.273 SOL</t>
        </is>
      </c>
      <c r="H99" s="21" t="inlineStr">
        <is>
          <t>-17.51%</t>
        </is>
      </c>
      <c r="I99" s="20" t="inlineStr">
        <is>
          <t>N/A</t>
        </is>
      </c>
      <c r="J99" s="20" t="n">
        <v>1</v>
      </c>
      <c r="K99" s="20" t="n">
        <v>1</v>
      </c>
      <c r="L99" s="20" t="inlineStr">
        <is>
          <t>03.09.2024 15:47:46</t>
        </is>
      </c>
      <c r="M99" s="20" t="inlineStr">
        <is>
          <t>1 hours</t>
        </is>
      </c>
      <c r="N99" s="20" t="inlineStr">
        <is>
          <t xml:space="preserve">        N/A           N/A           N/A</t>
        </is>
      </c>
      <c r="O99" s="20" t="inlineStr">
        <is>
          <t>GE868TRKsDXPgJaeVgQEc2ec5qnjc4WnEwNbAJqrpump</t>
        </is>
      </c>
      <c r="P99" s="20">
        <f>HYPERLINK("https://photon-sol.tinyastro.io/en/lp/GE868TRKsDXPgJaeVgQEc2ec5qnjc4WnEwNbAJqrpump?handle=676050794bc1b1657a56b", "View")</f>
        <v/>
      </c>
    </row>
    <row r="100">
      <c r="A100" s="15" t="inlineStr">
        <is>
          <t>AppME</t>
        </is>
      </c>
      <c r="B100" s="16" t="n">
        <v>13124337</v>
      </c>
      <c r="C100" s="16" t="n">
        <v>13124337</v>
      </c>
      <c r="D100" s="16" t="inlineStr">
        <is>
          <t>0.020010</t>
        </is>
      </c>
      <c r="E100" s="16" t="inlineStr">
        <is>
          <t>1.062 SOL</t>
        </is>
      </c>
      <c r="F100" s="16" t="inlineStr">
        <is>
          <t>0.705 SOL</t>
        </is>
      </c>
      <c r="G100" s="21" t="inlineStr">
        <is>
          <t>-0.377 SOL</t>
        </is>
      </c>
      <c r="H100" s="21" t="inlineStr">
        <is>
          <t>-34.85%</t>
        </is>
      </c>
      <c r="I100" s="16" t="inlineStr">
        <is>
          <t>N/A</t>
        </is>
      </c>
      <c r="J100" s="16" t="n">
        <v>1</v>
      </c>
      <c r="K100" s="16" t="n">
        <v>1</v>
      </c>
      <c r="L100" s="16" t="inlineStr">
        <is>
          <t>03.09.2024 00:18:25</t>
        </is>
      </c>
      <c r="M100" s="16" t="inlineStr">
        <is>
          <t>34 min</t>
        </is>
      </c>
      <c r="N100" s="16" t="inlineStr">
        <is>
          <t xml:space="preserve">        N/A           N/A           N/A</t>
        </is>
      </c>
      <c r="O100" s="16" t="inlineStr">
        <is>
          <t>co6GYx3AeKYHci16BsoqLGENEd3KZ2YWebox4pRKs1k</t>
        </is>
      </c>
      <c r="P100" s="16">
        <f>HYPERLINK("https://photon-sol.tinyastro.io/en/lp/co6GYx3AeKYHci16BsoqLGENEd3KZ2YWebox4pRKs1k?handle=676050794bc1b1657a56b", "View")</f>
        <v/>
      </c>
    </row>
    <row r="101">
      <c r="A101" s="19" t="inlineStr">
        <is>
          <t>Stoic</t>
        </is>
      </c>
      <c r="B101" s="20" t="n">
        <v>22877112</v>
      </c>
      <c r="C101" s="20" t="n">
        <v>22877112</v>
      </c>
      <c r="D101" s="20" t="inlineStr">
        <is>
          <t>0.020010</t>
        </is>
      </c>
      <c r="E101" s="20" t="inlineStr">
        <is>
          <t>2.129 SOL</t>
        </is>
      </c>
      <c r="F101" s="20" t="inlineStr">
        <is>
          <t>3.025 SOL</t>
        </is>
      </c>
      <c r="G101" s="22" t="inlineStr">
        <is>
          <t>0.876 SOL</t>
        </is>
      </c>
      <c r="H101" s="22" t="inlineStr">
        <is>
          <t>40.77%</t>
        </is>
      </c>
      <c r="I101" s="20" t="inlineStr">
        <is>
          <t>N/A</t>
        </is>
      </c>
      <c r="J101" s="20" t="n">
        <v>1</v>
      </c>
      <c r="K101" s="20" t="n">
        <v>1</v>
      </c>
      <c r="L101" s="20" t="inlineStr">
        <is>
          <t>02.09.2024 20:14:13</t>
        </is>
      </c>
      <c r="M101" s="20" t="inlineStr">
        <is>
          <t>43 min</t>
        </is>
      </c>
      <c r="N101" s="20" t="inlineStr">
        <is>
          <t xml:space="preserve">        N/A           N/A           N/A</t>
        </is>
      </c>
      <c r="O101" s="20" t="inlineStr">
        <is>
          <t>2YmSTHFrqCjRcFr3tnt1CqRvMBZEuMATG2zWvLonpump</t>
        </is>
      </c>
      <c r="P101" s="20">
        <f>HYPERLINK("https://photon-sol.tinyastro.io/en/lp/2YmSTHFrqCjRcFr3tnt1CqRvMBZEuMATG2zWvLonpump?handle=676050794bc1b1657a56b", "View")</f>
        <v/>
      </c>
    </row>
    <row r="102">
      <c r="A102" s="15" t="inlineStr">
        <is>
          <t>TANK</t>
        </is>
      </c>
      <c r="B102" s="16" t="n">
        <v>22085617</v>
      </c>
      <c r="C102" s="16" t="n">
        <v>22085617</v>
      </c>
      <c r="D102" s="16" t="inlineStr">
        <is>
          <t>0.020010</t>
        </is>
      </c>
      <c r="E102" s="16" t="inlineStr">
        <is>
          <t>1.114 SOL</t>
        </is>
      </c>
      <c r="F102" s="16" t="inlineStr">
        <is>
          <t>0.972 SOL</t>
        </is>
      </c>
      <c r="G102" s="21" t="inlineStr">
        <is>
          <t>-0.162 SOL</t>
        </is>
      </c>
      <c r="H102" s="21" t="inlineStr">
        <is>
          <t>-14.28%</t>
        </is>
      </c>
      <c r="I102" s="16" t="inlineStr">
        <is>
          <t>N/A</t>
        </is>
      </c>
      <c r="J102" s="16" t="n">
        <v>1</v>
      </c>
      <c r="K102" s="16" t="n">
        <v>1</v>
      </c>
      <c r="L102" s="16" t="inlineStr">
        <is>
          <t>02.09.2024 19:28:43</t>
        </is>
      </c>
      <c r="M102" s="16" t="inlineStr">
        <is>
          <t>7 min</t>
        </is>
      </c>
      <c r="N102" s="16" t="inlineStr">
        <is>
          <t xml:space="preserve">        N/A           N/A           N/A</t>
        </is>
      </c>
      <c r="O102" s="16" t="inlineStr">
        <is>
          <t>DrbdpkfyvvpHKWr5vMuqd1i9NXoVuD1FVCFosf3gK9md</t>
        </is>
      </c>
      <c r="P102" s="16">
        <f>HYPERLINK("https://photon-sol.tinyastro.io/en/lp/DrbdpkfyvvpHKWr5vMuqd1i9NXoVuD1FVCFosf3gK9md?handle=676050794bc1b1657a56b", "View")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125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HYPERLINK("https://gmgn.ai/sol/address/EZrztGLkXoMbTTA8xXh8ZJ5EVnWCoMRpFUVMTTKFUFF", "GMGN")</f>
        <v/>
      </c>
    </row>
    <row r="2">
      <c r="A2" s="3" t="inlineStr">
        <is>
          <t>EZrztGLkXoMbTTA8xXh8ZJ5EVnWCoMRpFUVMTTKFUFF</t>
        </is>
      </c>
      <c r="B2" s="3" t="inlineStr">
        <is>
          <t>66.14 SOL</t>
        </is>
      </c>
      <c r="C2" s="3" t="inlineStr">
        <is>
          <t>25%</t>
        </is>
      </c>
      <c r="D2" s="3" t="inlineStr">
        <is>
          <t>37%</t>
        </is>
      </c>
      <c r="E2" s="3" t="inlineStr">
        <is>
          <t>54.46 SOL</t>
        </is>
      </c>
      <c r="F2" s="3" t="inlineStr">
        <is>
          <t>8 (8%)</t>
        </is>
      </c>
      <c r="G2" s="3" t="inlineStr">
        <is>
          <t>0 (0%)</t>
        </is>
      </c>
      <c r="H2" s="3" t="n">
        <v>106</v>
      </c>
      <c r="I2" s="3" t="n">
        <v>22</v>
      </c>
      <c r="J2" s="3" t="inlineStr">
        <is>
          <t>89 days</t>
        </is>
      </c>
      <c r="K2" s="3" t="inlineStr">
        <is>
          <t>2 h</t>
        </is>
      </c>
      <c r="L2" s="3" t="n">
        <v>31</v>
      </c>
      <c r="M2" s="3" t="n">
        <v>40</v>
      </c>
      <c r="N2" s="3">
        <f>HYPERLINK("https://solscan.io/account/EZrztGLkXoMbTTA8xXh8ZJ5EVnWCoMRpFUVMTTKFUFF", "Solscan")</f>
        <v/>
      </c>
    </row>
    <row r="3">
      <c r="A3" s="6" t="inlineStr">
        <is>
          <t>Median ROI</t>
        </is>
      </c>
      <c r="B3" s="5" t="inlineStr">
        <is>
          <t>-59.55%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HYPERLINK("https://birdeye.so/profile/EZrztGLkXoMbTTA8xXh8ZJ5EVnWCoMRpFUVMTTKFUFF", "Birdeye")</f>
        <v/>
      </c>
    </row>
    <row r="4">
      <c r="A4" s="6" t="inlineStr">
        <is>
          <t>Rockets percent</t>
        </is>
      </c>
      <c r="B4" s="3" t="inlineStr">
        <is>
          <t>12%</t>
        </is>
      </c>
      <c r="C4" s="3" t="inlineStr"/>
      <c r="D4" s="3" t="inlineStr">
        <is>
          <t>9%</t>
        </is>
      </c>
      <c r="E4" s="3" t="inlineStr">
        <is>
          <t>13.02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273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5</v>
      </c>
      <c r="C10" s="6" t="n">
        <v>8</v>
      </c>
      <c r="D10" s="6" t="n">
        <v>4</v>
      </c>
      <c r="E10" s="6" t="n">
        <v>9</v>
      </c>
      <c r="F10" s="6" t="n">
        <v>21</v>
      </c>
      <c r="G10" s="6" t="n">
        <v>59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4.7%</t>
        </is>
      </c>
      <c r="C11" s="6" t="inlineStr">
        <is>
          <t>7.5%</t>
        </is>
      </c>
      <c r="D11" s="6" t="inlineStr">
        <is>
          <t>3.8%</t>
        </is>
      </c>
      <c r="E11" s="6" t="inlineStr">
        <is>
          <t>8.5%</t>
        </is>
      </c>
      <c r="F11" s="6" t="inlineStr">
        <is>
          <t>19.8%</t>
        </is>
      </c>
      <c r="G11" s="6" t="inlineStr">
        <is>
          <t>55.7%</t>
        </is>
      </c>
      <c r="H11" s="3" t="n"/>
      <c r="I11" s="3" t="inlineStr">
        <is>
          <t>5k-30k</t>
        </is>
      </c>
      <c r="J11" s="3" t="inlineStr">
        <is>
          <t>8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99.1 SOL</t>
        </is>
      </c>
      <c r="C12" s="6" t="inlineStr">
        <is>
          <t>15.9 SOL</t>
        </is>
      </c>
      <c r="D12" s="6" t="inlineStr">
        <is>
          <t>7.9 SOL</t>
        </is>
      </c>
      <c r="E12" s="6" t="inlineStr">
        <is>
          <t>2.4 SOL</t>
        </is>
      </c>
      <c r="F12" s="6" t="inlineStr">
        <is>
          <t>-7.2 SOL</t>
        </is>
      </c>
      <c r="G12" s="6" t="inlineStr">
        <is>
          <t>-63.7 SOL</t>
        </is>
      </c>
      <c r="H12" s="3" t="n"/>
      <c r="I12" s="3" t="inlineStr">
        <is>
          <t>30k-100k</t>
        </is>
      </c>
      <c r="J12" s="3" t="inlineStr">
        <is>
          <t>20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24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37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238.0K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mondo</t>
        </is>
      </c>
      <c r="B20" s="16" t="n">
        <v>382469</v>
      </c>
      <c r="C20" s="16" t="n">
        <v>0</v>
      </c>
      <c r="D20" s="16" t="inlineStr">
        <is>
          <t>0.030010</t>
        </is>
      </c>
      <c r="E20" s="16" t="inlineStr">
        <is>
          <t>2.970 SOL</t>
        </is>
      </c>
      <c r="F20" s="16" t="inlineStr">
        <is>
          <t>0.000 SOL</t>
        </is>
      </c>
      <c r="G20" s="17" t="inlineStr">
        <is>
          <t>-3.000 SOL</t>
        </is>
      </c>
      <c r="H20" s="17" t="inlineStr">
        <is>
          <t>0.00%</t>
        </is>
      </c>
      <c r="I20" s="16" t="inlineStr">
        <is>
          <t>382,469</t>
        </is>
      </c>
      <c r="J20" s="16" t="n">
        <v>2</v>
      </c>
      <c r="K20" s="16" t="n">
        <v>0</v>
      </c>
      <c r="L20" s="16" t="inlineStr">
        <is>
          <t>30.10.2024 09:31:54</t>
        </is>
      </c>
      <c r="M20" s="16" t="inlineStr">
        <is>
          <t>14 min</t>
        </is>
      </c>
      <c r="N20" s="16" t="inlineStr">
        <is>
          <t xml:space="preserve">          2M             1M             1M</t>
        </is>
      </c>
      <c r="O20" s="16" t="inlineStr">
        <is>
          <t>3Wp5z1GtPqKwyiaicXa7nyXhBVJJ5JgAwzWXuPXqpump</t>
        </is>
      </c>
      <c r="P20" s="16">
        <f>HYPERLINK("https://dexscreener.com/solana/3Wp5z1GtPqKwyiaicXa7nyXhBVJJ5JgAwzWXuPXqpump", "View")</f>
        <v/>
      </c>
    </row>
    <row r="21">
      <c r="A21" s="19" t="inlineStr">
        <is>
          <t>CLOCK</t>
        </is>
      </c>
      <c r="B21" s="20" t="n">
        <v>10545964</v>
      </c>
      <c r="C21" s="20" t="n">
        <v>7579912</v>
      </c>
      <c r="D21" s="20" t="inlineStr">
        <is>
          <t>0.075030</t>
        </is>
      </c>
      <c r="E21" s="20" t="inlineStr">
        <is>
          <t>0.827 SOL</t>
        </is>
      </c>
      <c r="F21" s="20" t="inlineStr">
        <is>
          <t>11.956 SOL</t>
        </is>
      </c>
      <c r="G21" s="23" t="inlineStr">
        <is>
          <t>11.054 SOL</t>
        </is>
      </c>
      <c r="H21" s="23" t="inlineStr">
        <is>
          <t>1225.34%</t>
        </is>
      </c>
      <c r="I21" s="20" t="inlineStr">
        <is>
          <t>N/A</t>
        </is>
      </c>
      <c r="J21" s="20" t="n">
        <v>3</v>
      </c>
      <c r="K21" s="20" t="n">
        <v>3</v>
      </c>
      <c r="L21" s="20" t="inlineStr">
        <is>
          <t>29.10.2024 17:53:26</t>
        </is>
      </c>
      <c r="M21" s="20" t="inlineStr">
        <is>
          <t>14 min</t>
        </is>
      </c>
      <c r="N21" s="20" t="inlineStr">
        <is>
          <t xml:space="preserve">         14K           557K             6K</t>
        </is>
      </c>
      <c r="O21" s="20" t="inlineStr">
        <is>
          <t>CRvp1BprgpKhGTeW3Le5K8SwvSM3pZ2dv6xw3k2Zkt4H</t>
        </is>
      </c>
      <c r="P21" s="20">
        <f>HYPERLINK("https://photon-sol.tinyastro.io/en/lp/CRvp1BprgpKhGTeW3Le5K8SwvSM3pZ2dv6xw3k2Zkt4H?handle=676050794bc1b1657a56b", "View")</f>
        <v/>
      </c>
    </row>
    <row r="22">
      <c r="A22" s="15" t="inlineStr">
        <is>
          <t>∞</t>
        </is>
      </c>
      <c r="B22" s="16" t="n">
        <v>434196</v>
      </c>
      <c r="C22" s="16" t="n">
        <v>434196</v>
      </c>
      <c r="D22" s="16" t="inlineStr">
        <is>
          <t>0.035010</t>
        </is>
      </c>
      <c r="E22" s="16" t="inlineStr">
        <is>
          <t>0.990 SOL</t>
        </is>
      </c>
      <c r="F22" s="16" t="inlineStr">
        <is>
          <t>1.259 SOL</t>
        </is>
      </c>
      <c r="G22" s="22" t="inlineStr">
        <is>
          <t>0.234 SOL</t>
        </is>
      </c>
      <c r="H22" s="22" t="inlineStr">
        <is>
          <t>22.83%</t>
        </is>
      </c>
      <c r="I22" s="16" t="inlineStr">
        <is>
          <t>N/A</t>
        </is>
      </c>
      <c r="J22" s="16" t="n">
        <v>1</v>
      </c>
      <c r="K22" s="16" t="n">
        <v>2</v>
      </c>
      <c r="L22" s="16" t="inlineStr">
        <is>
          <t>29.10.2024 15:41:16</t>
        </is>
      </c>
      <c r="M22" s="16" t="inlineStr">
        <is>
          <t>5 min</t>
        </is>
      </c>
      <c r="N22" s="16" t="inlineStr">
        <is>
          <t xml:space="preserve">        400K           481K             7K</t>
        </is>
      </c>
      <c r="O22" s="16" t="inlineStr">
        <is>
          <t>7LzF7BgpmXapBUMmJMwyP5o4uC2rr7T8keRc4R3kpump</t>
        </is>
      </c>
      <c r="P22" s="16">
        <f>HYPERLINK("https://dexscreener.com/solana/7LzF7BgpmXapBUMmJMwyP5o4uC2rr7T8keRc4R3kpump", "View")</f>
        <v/>
      </c>
    </row>
    <row r="23">
      <c r="A23" s="19" t="inlineStr">
        <is>
          <t>THRONE</t>
        </is>
      </c>
      <c r="B23" s="20" t="n">
        <v>1184591</v>
      </c>
      <c r="C23" s="20" t="n">
        <v>0</v>
      </c>
      <c r="D23" s="20" t="inlineStr">
        <is>
          <t>0.015000</t>
        </is>
      </c>
      <c r="E23" s="20" t="inlineStr">
        <is>
          <t>0.495 SOL</t>
        </is>
      </c>
      <c r="F23" s="20" t="inlineStr">
        <is>
          <t>0.000 SOL</t>
        </is>
      </c>
      <c r="G23" s="17" t="inlineStr">
        <is>
          <t>-0.510 SOL</t>
        </is>
      </c>
      <c r="H23" s="17" t="inlineStr">
        <is>
          <t>0.00%</t>
        </is>
      </c>
      <c r="I23" s="20" t="inlineStr">
        <is>
          <t>1,184,591</t>
        </is>
      </c>
      <c r="J23" s="20" t="n">
        <v>1</v>
      </c>
      <c r="K23" s="20" t="n">
        <v>0</v>
      </c>
      <c r="L23" s="20" t="inlineStr">
        <is>
          <t>29.10.2024 15:24:47</t>
        </is>
      </c>
      <c r="M23" s="18" t="inlineStr">
        <is>
          <t>0 sec</t>
        </is>
      </c>
      <c r="N23" s="20" t="inlineStr">
        <is>
          <t xml:space="preserve">         74K            74K             4K</t>
        </is>
      </c>
      <c r="O23" s="20" t="inlineStr">
        <is>
          <t>BcnQmjHhapKwGCeWTZD8R9gHHFLqPwx8EdxmXmJCpump</t>
        </is>
      </c>
      <c r="P23" s="20">
        <f>HYPERLINK("https://dexscreener.com/solana/BcnQmjHhapKwGCeWTZD8R9gHHFLqPwx8EdxmXmJCpump", "View")</f>
        <v/>
      </c>
    </row>
    <row r="24">
      <c r="A24" s="15" t="inlineStr">
        <is>
          <t>RP</t>
        </is>
      </c>
      <c r="B24" s="16" t="n">
        <v>500999</v>
      </c>
      <c r="C24" s="16" t="n">
        <v>250500</v>
      </c>
      <c r="D24" s="16" t="inlineStr">
        <is>
          <t>0.025010</t>
        </is>
      </c>
      <c r="E24" s="16" t="inlineStr">
        <is>
          <t>1.980 SOL</t>
        </is>
      </c>
      <c r="F24" s="16" t="inlineStr">
        <is>
          <t>2.243 SOL</t>
        </is>
      </c>
      <c r="G24" s="22" t="inlineStr">
        <is>
          <t>0.238 SOL</t>
        </is>
      </c>
      <c r="H24" s="22" t="inlineStr">
        <is>
          <t>11.85%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12:32:05</t>
        </is>
      </c>
      <c r="M24" s="16" t="inlineStr">
        <is>
          <t>12 min</t>
        </is>
      </c>
      <c r="N24" s="16" t="inlineStr">
        <is>
          <t xml:space="preserve">        694K             2M            49K</t>
        </is>
      </c>
      <c r="O24" s="16" t="inlineStr">
        <is>
          <t>86FMngwijeQhTGfSZqj1rNkKVsmS7uXJ3y13qqDupump</t>
        </is>
      </c>
      <c r="P24" s="16">
        <f>HYPERLINK("https://dexscreener.com/solana/86FMngwijeQhTGfSZqj1rNkKVsmS7uXJ3y13qqDupump", "View")</f>
        <v/>
      </c>
    </row>
    <row r="25">
      <c r="A25" s="19" t="inlineStr">
        <is>
          <t>cley</t>
        </is>
      </c>
      <c r="B25" s="20" t="n">
        <v>1826375</v>
      </c>
      <c r="C25" s="20" t="n">
        <v>0</v>
      </c>
      <c r="D25" s="20" t="inlineStr">
        <is>
          <t>0.015000</t>
        </is>
      </c>
      <c r="E25" s="20" t="inlineStr">
        <is>
          <t>0.990 SOL</t>
        </is>
      </c>
      <c r="F25" s="20" t="inlineStr">
        <is>
          <t>0.000 SOL</t>
        </is>
      </c>
      <c r="G25" s="17" t="inlineStr">
        <is>
          <t>-1.005 SOL</t>
        </is>
      </c>
      <c r="H25" s="17" t="inlineStr">
        <is>
          <t>0.00%</t>
        </is>
      </c>
      <c r="I25" s="20" t="inlineStr">
        <is>
          <t>1,826,375</t>
        </is>
      </c>
      <c r="J25" s="20" t="n">
        <v>1</v>
      </c>
      <c r="K25" s="20" t="n">
        <v>0</v>
      </c>
      <c r="L25" s="20" t="inlineStr">
        <is>
          <t>29.10.2024 12:24:39</t>
        </is>
      </c>
      <c r="M25" s="18" t="inlineStr">
        <is>
          <t>0 sec</t>
        </is>
      </c>
      <c r="N25" s="20" t="inlineStr">
        <is>
          <t xml:space="preserve">         95K            95K             6K</t>
        </is>
      </c>
      <c r="O25" s="20" t="inlineStr">
        <is>
          <t>BLZXoa66hmPYyC7DeRwKSaL4aXRNWPWZgfBCuyLupump</t>
        </is>
      </c>
      <c r="P25" s="20">
        <f>HYPERLINK("https://dexscreener.com/solana/BLZXoa66hmPYyC7DeRwKSaL4aXRNWPWZgfBCuyLupump", "View")</f>
        <v/>
      </c>
    </row>
    <row r="26">
      <c r="A26" s="15" t="inlineStr">
        <is>
          <t>JUSTIN</t>
        </is>
      </c>
      <c r="B26" s="16" t="n">
        <v>410145</v>
      </c>
      <c r="C26" s="16" t="n">
        <v>0</v>
      </c>
      <c r="D26" s="16" t="inlineStr">
        <is>
          <t>0.015000</t>
        </is>
      </c>
      <c r="E26" s="16" t="inlineStr">
        <is>
          <t>0.495 SOL</t>
        </is>
      </c>
      <c r="F26" s="16" t="inlineStr">
        <is>
          <t>0.000 SOL</t>
        </is>
      </c>
      <c r="G26" s="17" t="inlineStr">
        <is>
          <t>-0.510 SOL</t>
        </is>
      </c>
      <c r="H26" s="17" t="inlineStr">
        <is>
          <t>0.00%</t>
        </is>
      </c>
      <c r="I26" s="16" t="inlineStr">
        <is>
          <t>410,145</t>
        </is>
      </c>
      <c r="J26" s="16" t="n">
        <v>1</v>
      </c>
      <c r="K26" s="16" t="n">
        <v>0</v>
      </c>
      <c r="L26" s="16" t="inlineStr">
        <is>
          <t>28.10.2024 21:28:12</t>
        </is>
      </c>
      <c r="M26" s="18" t="inlineStr">
        <is>
          <t>0 sec</t>
        </is>
      </c>
      <c r="N26" s="16" t="inlineStr">
        <is>
          <t xml:space="preserve">        212K           212K             5K</t>
        </is>
      </c>
      <c r="O26" s="16" t="inlineStr">
        <is>
          <t>cbQq5WWrPPBFAv66GXBArm8BhmP1ZHWiBHUsWBupump</t>
        </is>
      </c>
      <c r="P26" s="16">
        <f>HYPERLINK("https://dexscreener.com/solana/cbQq5WWrPPBFAv66GXBArm8BhmP1ZHWiBHUsWBupump", "View")</f>
        <v/>
      </c>
    </row>
    <row r="27">
      <c r="A27" s="19" t="inlineStr">
        <is>
          <t>🟥</t>
        </is>
      </c>
      <c r="B27" s="20" t="n">
        <v>1091323</v>
      </c>
      <c r="C27" s="20" t="n">
        <v>0</v>
      </c>
      <c r="D27" s="20" t="inlineStr">
        <is>
          <t>0.015000</t>
        </is>
      </c>
      <c r="E27" s="20" t="inlineStr">
        <is>
          <t>0.495 SOL</t>
        </is>
      </c>
      <c r="F27" s="20" t="inlineStr">
        <is>
          <t>0.000 SOL</t>
        </is>
      </c>
      <c r="G27" s="17" t="inlineStr">
        <is>
          <t>-0.510 SOL</t>
        </is>
      </c>
      <c r="H27" s="17" t="inlineStr">
        <is>
          <t>0.00%</t>
        </is>
      </c>
      <c r="I27" s="20" t="inlineStr">
        <is>
          <t>1,091,323</t>
        </is>
      </c>
      <c r="J27" s="20" t="n">
        <v>1</v>
      </c>
      <c r="K27" s="20" t="n">
        <v>0</v>
      </c>
      <c r="L27" s="20" t="inlineStr">
        <is>
          <t>27.10.2024 20:55:38</t>
        </is>
      </c>
      <c r="M27" s="18" t="inlineStr">
        <is>
          <t>0 sec</t>
        </is>
      </c>
      <c r="N27" s="20" t="inlineStr">
        <is>
          <t xml:space="preserve">         79K            79K             5K</t>
        </is>
      </c>
      <c r="O27" s="20" t="inlineStr">
        <is>
          <t>2R9ZELvagkmWap97LS3pAmtFGmrKjApQGGBCA7ABpump</t>
        </is>
      </c>
      <c r="P27" s="20">
        <f>HYPERLINK("https://dexscreener.com/solana/2R9ZELvagkmWap97LS3pAmtFGmrKjApQGGBCA7ABpump", "View")</f>
        <v/>
      </c>
    </row>
    <row r="28">
      <c r="A28" s="15" t="inlineStr">
        <is>
          <t>agents</t>
        </is>
      </c>
      <c r="B28" s="16" t="n">
        <v>4713217</v>
      </c>
      <c r="C28" s="16" t="n">
        <v>0</v>
      </c>
      <c r="D28" s="16" t="inlineStr">
        <is>
          <t>0.015000</t>
        </is>
      </c>
      <c r="E28" s="16" t="inlineStr">
        <is>
          <t>0.527 SOL</t>
        </is>
      </c>
      <c r="F28" s="16" t="inlineStr">
        <is>
          <t>0.000 SOL</t>
        </is>
      </c>
      <c r="G28" s="17" t="inlineStr">
        <is>
          <t>-0.542 SOL</t>
        </is>
      </c>
      <c r="H28" s="17" t="inlineStr">
        <is>
          <t>0.00%</t>
        </is>
      </c>
      <c r="I28" s="16" t="inlineStr">
        <is>
          <t>4,713,217</t>
        </is>
      </c>
      <c r="J28" s="16" t="n">
        <v>1</v>
      </c>
      <c r="K28" s="16" t="n">
        <v>0</v>
      </c>
      <c r="L28" s="16" t="inlineStr">
        <is>
          <t>27.10.2024 18:54:06</t>
        </is>
      </c>
      <c r="M28" s="18" t="inlineStr">
        <is>
          <t>0 sec</t>
        </is>
      </c>
      <c r="N28" s="16" t="inlineStr">
        <is>
          <t xml:space="preserve">         19K            19K             5K</t>
        </is>
      </c>
      <c r="O28" s="16" t="inlineStr">
        <is>
          <t>DtTYQbx9qM1z3QYWEaHcisBWAdpLvVmjeGL7PFzNpump</t>
        </is>
      </c>
      <c r="P28" s="16">
        <f>HYPERLINK("https://photon-sol.tinyastro.io/en/lp/DtTYQbx9qM1z3QYWEaHcisBWAdpLvVmjeGL7PFzNpump?handle=676050794bc1b1657a56b", "View")</f>
        <v/>
      </c>
    </row>
    <row r="29">
      <c r="A29" s="19" t="inlineStr">
        <is>
          <t>GOAT</t>
        </is>
      </c>
      <c r="B29" s="20" t="n">
        <v>54786</v>
      </c>
      <c r="C29" s="20" t="n">
        <v>54786</v>
      </c>
      <c r="D29" s="20" t="inlineStr">
        <is>
          <t>0.075040</t>
        </is>
      </c>
      <c r="E29" s="20" t="inlineStr">
        <is>
          <t>4.950 SOL</t>
        </is>
      </c>
      <c r="F29" s="20" t="inlineStr">
        <is>
          <t>76.204 SOL</t>
        </is>
      </c>
      <c r="G29" s="23" t="inlineStr">
        <is>
          <t>71.179 SOL</t>
        </is>
      </c>
      <c r="H29" s="23" t="inlineStr">
        <is>
          <t>1416.48%</t>
        </is>
      </c>
      <c r="I29" s="20" t="inlineStr">
        <is>
          <t>N/A</t>
        </is>
      </c>
      <c r="J29" s="20" t="n">
        <v>1</v>
      </c>
      <c r="K29" s="20" t="n">
        <v>6</v>
      </c>
      <c r="L29" s="20" t="inlineStr">
        <is>
          <t>27.10.2024 18:01:05</t>
        </is>
      </c>
      <c r="M29" s="20" t="inlineStr">
        <is>
          <t>15 days</t>
        </is>
      </c>
      <c r="N29" s="20" t="inlineStr">
        <is>
          <t xml:space="preserve">         16M            87M           569M</t>
        </is>
      </c>
      <c r="O29" s="20" t="inlineStr">
        <is>
          <t>CzLSujWBLFsSjncfkh59rUFqvafWcY5tzedWJSuypump</t>
        </is>
      </c>
      <c r="P29" s="20">
        <f>HYPERLINK("https://dexscreener.com/solana/CzLSujWBLFsSjncfkh59rUFqvafWcY5tzedWJSuypump", "View")</f>
        <v/>
      </c>
    </row>
    <row r="30">
      <c r="A30" s="15" t="inlineStr">
        <is>
          <t>(^u^)</t>
        </is>
      </c>
      <c r="B30" s="16" t="n">
        <v>7217007</v>
      </c>
      <c r="C30" s="16" t="n">
        <v>0</v>
      </c>
      <c r="D30" s="16" t="inlineStr">
        <is>
          <t>0.030010</t>
        </is>
      </c>
      <c r="E30" s="16" t="inlineStr">
        <is>
          <t>0.990 SOL</t>
        </is>
      </c>
      <c r="F30" s="16" t="inlineStr">
        <is>
          <t>0.000 SOL</t>
        </is>
      </c>
      <c r="G30" s="17" t="inlineStr">
        <is>
          <t>-1.020 SOL</t>
        </is>
      </c>
      <c r="H30" s="17" t="inlineStr">
        <is>
          <t>0.00%</t>
        </is>
      </c>
      <c r="I30" s="16" t="inlineStr">
        <is>
          <t>7,217,007</t>
        </is>
      </c>
      <c r="J30" s="16" t="n">
        <v>2</v>
      </c>
      <c r="K30" s="16" t="n">
        <v>0</v>
      </c>
      <c r="L30" s="16" t="inlineStr">
        <is>
          <t>27.10.2024 18:00:26</t>
        </is>
      </c>
      <c r="M30" s="18" t="inlineStr">
        <is>
          <t>2 sec</t>
        </is>
      </c>
      <c r="N30" s="16" t="inlineStr">
        <is>
          <t xml:space="preserve">         26K            23K             3K</t>
        </is>
      </c>
      <c r="O30" s="16" t="inlineStr">
        <is>
          <t>4LWcsKw2sfWwngQQMPx6N5zrSqKe7wffrn86vHVqpump</t>
        </is>
      </c>
      <c r="P30" s="16">
        <f>HYPERLINK("https://dexscreener.com/solana/4LWcsKw2sfWwngQQMPx6N5zrSqKe7wffrn86vHVqpump", "View")</f>
        <v/>
      </c>
    </row>
    <row r="31">
      <c r="A31" s="19" t="inlineStr">
        <is>
          <t>LOL</t>
        </is>
      </c>
      <c r="B31" s="20" t="n">
        <v>139838</v>
      </c>
      <c r="C31" s="20" t="n">
        <v>0</v>
      </c>
      <c r="D31" s="20" t="inlineStr">
        <is>
          <t>0.015000</t>
        </is>
      </c>
      <c r="E31" s="20" t="inlineStr">
        <is>
          <t>1.980 SOL</t>
        </is>
      </c>
      <c r="F31" s="20" t="inlineStr">
        <is>
          <t>0.000 SOL</t>
        </is>
      </c>
      <c r="G31" s="17" t="inlineStr">
        <is>
          <t>-1.995 SOL</t>
        </is>
      </c>
      <c r="H31" s="17" t="inlineStr">
        <is>
          <t>0.00%</t>
        </is>
      </c>
      <c r="I31" s="20" t="inlineStr">
        <is>
          <t>139,838</t>
        </is>
      </c>
      <c r="J31" s="20" t="n">
        <v>1</v>
      </c>
      <c r="K31" s="20" t="n">
        <v>0</v>
      </c>
      <c r="L31" s="20" t="inlineStr">
        <is>
          <t>25.10.2024 09:07:34</t>
        </is>
      </c>
      <c r="M31" s="18" t="inlineStr">
        <is>
          <t>0 sec</t>
        </is>
      </c>
      <c r="N31" s="20" t="inlineStr">
        <is>
          <t xml:space="preserve">          2M             2M             2M</t>
        </is>
      </c>
      <c r="O31" s="20" t="inlineStr">
        <is>
          <t>LoL1RDQiUfifC2BX28xaef6r2G8ES8SEzgrzThJemMv</t>
        </is>
      </c>
      <c r="P31" s="20">
        <f>HYPERLINK("https://dexscreener.com/solana/LoL1RDQiUfifC2BX28xaef6r2G8ES8SEzgrzThJemMv", "View")</f>
        <v/>
      </c>
    </row>
    <row r="32">
      <c r="A32" s="15" t="inlineStr">
        <is>
          <t>YOUSIM</t>
        </is>
      </c>
      <c r="B32" s="16" t="n">
        <v>83619</v>
      </c>
      <c r="C32" s="16" t="n">
        <v>0</v>
      </c>
      <c r="D32" s="16" t="inlineStr">
        <is>
          <t>0.030010</t>
        </is>
      </c>
      <c r="E32" s="16" t="inlineStr">
        <is>
          <t>2.970 SOL</t>
        </is>
      </c>
      <c r="F32" s="16" t="inlineStr">
        <is>
          <t>0.000 SOL</t>
        </is>
      </c>
      <c r="G32" s="17" t="inlineStr">
        <is>
          <t>-3.000 SOL</t>
        </is>
      </c>
      <c r="H32" s="17" t="inlineStr">
        <is>
          <t>0.00%</t>
        </is>
      </c>
      <c r="I32" s="16" t="inlineStr">
        <is>
          <t>83,619</t>
        </is>
      </c>
      <c r="J32" s="16" t="n">
        <v>2</v>
      </c>
      <c r="K32" s="16" t="n">
        <v>0</v>
      </c>
      <c r="L32" s="16" t="inlineStr">
        <is>
          <t>24.10.2024 18:39:56</t>
        </is>
      </c>
      <c r="M32" s="16" t="inlineStr">
        <is>
          <t>5 min</t>
        </is>
      </c>
      <c r="N32" s="16" t="inlineStr">
        <is>
          <t xml:space="preserve">          7M             6M            10M</t>
        </is>
      </c>
      <c r="O32" s="16" t="inlineStr">
        <is>
          <t>66gsTs88mXJ5L4AtJnWqFW6H2L5YQDRy4W41y6zbpump</t>
        </is>
      </c>
      <c r="P32" s="16">
        <f>HYPERLINK("https://dexscreener.com/solana/66gsTs88mXJ5L4AtJnWqFW6H2L5YQDRy4W41y6zbpump", "View")</f>
        <v/>
      </c>
    </row>
    <row r="33">
      <c r="A33" s="19" t="inlineStr">
        <is>
          <t>TARD</t>
        </is>
      </c>
      <c r="B33" s="20" t="n">
        <v>1003328</v>
      </c>
      <c r="C33" s="20" t="n">
        <v>0</v>
      </c>
      <c r="D33" s="20" t="inlineStr">
        <is>
          <t>0.090030</t>
        </is>
      </c>
      <c r="E33" s="20" t="inlineStr">
        <is>
          <t>5.445 SOL</t>
        </is>
      </c>
      <c r="F33" s="20" t="inlineStr">
        <is>
          <t>0.000 SOL</t>
        </is>
      </c>
      <c r="G33" s="17" t="inlineStr">
        <is>
          <t>-5.535 SOL</t>
        </is>
      </c>
      <c r="H33" s="17" t="inlineStr">
        <is>
          <t>0.00%</t>
        </is>
      </c>
      <c r="I33" s="20" t="inlineStr">
        <is>
          <t>1,003,328</t>
        </is>
      </c>
      <c r="J33" s="20" t="n">
        <v>6</v>
      </c>
      <c r="K33" s="20" t="n">
        <v>0</v>
      </c>
      <c r="L33" s="20" t="inlineStr">
        <is>
          <t>24.10.2024 18:36:38</t>
        </is>
      </c>
      <c r="M33" s="20" t="inlineStr">
        <is>
          <t>1 days</t>
        </is>
      </c>
      <c r="N33" s="20" t="inlineStr">
        <is>
          <t xml:space="preserve">        618K             1M           119K</t>
        </is>
      </c>
      <c r="O33" s="20" t="inlineStr">
        <is>
          <t>6bbATbj5XDYBoS8LFzQmDSRoGwfZZvNaAUA5WKuapump</t>
        </is>
      </c>
      <c r="P33" s="20">
        <f>HYPERLINK("https://dexscreener.com/solana/6bbATbj5XDYBoS8LFzQmDSRoGwfZZvNaAUA5WKuapump", "View")</f>
        <v/>
      </c>
    </row>
    <row r="34">
      <c r="A34" s="15" t="inlineStr">
        <is>
          <t>ROKO</t>
        </is>
      </c>
      <c r="B34" s="16" t="n">
        <v>669650</v>
      </c>
      <c r="C34" s="16" t="n">
        <v>669650</v>
      </c>
      <c r="D34" s="16" t="inlineStr">
        <is>
          <t>0.045020</t>
        </is>
      </c>
      <c r="E34" s="16" t="inlineStr">
        <is>
          <t>0.990 SOL</t>
        </is>
      </c>
      <c r="F34" s="16" t="inlineStr">
        <is>
          <t>6.667 SOL</t>
        </is>
      </c>
      <c r="G34" s="23" t="inlineStr">
        <is>
          <t>5.632 SOL</t>
        </is>
      </c>
      <c r="H34" s="23" t="inlineStr">
        <is>
          <t>544.14%</t>
        </is>
      </c>
      <c r="I34" s="16" t="inlineStr">
        <is>
          <t>N/A</t>
        </is>
      </c>
      <c r="J34" s="16" t="n">
        <v>1</v>
      </c>
      <c r="K34" s="16" t="n">
        <v>3</v>
      </c>
      <c r="L34" s="16" t="inlineStr">
        <is>
          <t>23.10.2024 17:31:06</t>
        </is>
      </c>
      <c r="M34" s="16" t="inlineStr">
        <is>
          <t>5 days</t>
        </is>
      </c>
      <c r="N34" s="16" t="inlineStr">
        <is>
          <t xml:space="preserve">        260K             4M           241K</t>
        </is>
      </c>
      <c r="O34" s="16" t="inlineStr">
        <is>
          <t>41revsxLUZnoiUQoMT9eBVCzi4cs8Xbs48rp53gcpump</t>
        </is>
      </c>
      <c r="P34" s="16">
        <f>HYPERLINK("https://dexscreener.com/solana/41revsxLUZnoiUQoMT9eBVCzi4cs8Xbs48rp53gcpump", "View")</f>
        <v/>
      </c>
    </row>
    <row r="35">
      <c r="A35" s="19" t="inlineStr">
        <is>
          <t>megs</t>
        </is>
      </c>
      <c r="B35" s="20" t="n">
        <v>249263</v>
      </c>
      <c r="C35" s="20" t="n">
        <v>249263</v>
      </c>
      <c r="D35" s="20" t="inlineStr">
        <is>
          <t>0.035010</t>
        </is>
      </c>
      <c r="E35" s="20" t="inlineStr">
        <is>
          <t>1.980 SOL</t>
        </is>
      </c>
      <c r="F35" s="20" t="inlineStr">
        <is>
          <t>2.361 SOL</t>
        </is>
      </c>
      <c r="G35" s="22" t="inlineStr">
        <is>
          <t>0.346 SOL</t>
        </is>
      </c>
      <c r="H35" s="22" t="inlineStr">
        <is>
          <t>17.19%</t>
        </is>
      </c>
      <c r="I35" s="20" t="inlineStr">
        <is>
          <t>N/A</t>
        </is>
      </c>
      <c r="J35" s="20" t="n">
        <v>1</v>
      </c>
      <c r="K35" s="20" t="n">
        <v>2</v>
      </c>
      <c r="L35" s="20" t="inlineStr">
        <is>
          <t>23.10.2024 17:30:43</t>
        </is>
      </c>
      <c r="M35" s="20" t="inlineStr">
        <is>
          <t>7 days</t>
        </is>
      </c>
      <c r="N35" s="20" t="inlineStr">
        <is>
          <t xml:space="preserve">          1M             3M           165K</t>
        </is>
      </c>
      <c r="O35" s="20" t="inlineStr">
        <is>
          <t>GegBq6qGirNSVPbDcHNbG89xUcFTqNDwfSKt85T8pump</t>
        </is>
      </c>
      <c r="P35" s="20">
        <f>HYPERLINK("https://dexscreener.com/solana/GegBq6qGirNSVPbDcHNbG89xUcFTqNDwfSKt85T8pump", "View")</f>
        <v/>
      </c>
    </row>
    <row r="36">
      <c r="A36" s="15" t="inlineStr">
        <is>
          <t>ALPHA</t>
        </is>
      </c>
      <c r="B36" s="16" t="n">
        <v>199819</v>
      </c>
      <c r="C36" s="16" t="n">
        <v>199819</v>
      </c>
      <c r="D36" s="16" t="inlineStr">
        <is>
          <t>0.055020</t>
        </is>
      </c>
      <c r="E36" s="16" t="inlineStr">
        <is>
          <t>2.970 SOL</t>
        </is>
      </c>
      <c r="F36" s="16" t="inlineStr">
        <is>
          <t>0.732 SOL</t>
        </is>
      </c>
      <c r="G36" s="24" t="inlineStr">
        <is>
          <t>-2.293 SOL</t>
        </is>
      </c>
      <c r="H36" s="24" t="inlineStr">
        <is>
          <t>-75.80%</t>
        </is>
      </c>
      <c r="I36" s="16" t="inlineStr">
        <is>
          <t>N/A</t>
        </is>
      </c>
      <c r="J36" s="16" t="n">
        <v>3</v>
      </c>
      <c r="K36" s="16" t="n">
        <v>1</v>
      </c>
      <c r="L36" s="16" t="inlineStr">
        <is>
          <t>23.10.2024 17:30:22</t>
        </is>
      </c>
      <c r="M36" s="16" t="inlineStr">
        <is>
          <t>9 days</t>
        </is>
      </c>
      <c r="N36" s="16" t="inlineStr">
        <is>
          <t xml:space="preserve">          3M             3M           223K</t>
        </is>
      </c>
      <c r="O36" s="16" t="inlineStr">
        <is>
          <t>EvNBoWwZFF6pPpjTnNSzrurxkDfw1PGUmih1eAStpump</t>
        </is>
      </c>
      <c r="P36" s="16">
        <f>HYPERLINK("https://dexscreener.com/solana/EvNBoWwZFF6pPpjTnNSzrurxkDfw1PGUmih1eAStpump", "View")</f>
        <v/>
      </c>
    </row>
    <row r="37">
      <c r="A37" s="19" t="inlineStr">
        <is>
          <t>CHAIR</t>
        </is>
      </c>
      <c r="B37" s="20" t="n">
        <v>2120594</v>
      </c>
      <c r="C37" s="20" t="n">
        <v>2120594</v>
      </c>
      <c r="D37" s="20" t="inlineStr">
        <is>
          <t>0.025010</t>
        </is>
      </c>
      <c r="E37" s="20" t="inlineStr">
        <is>
          <t>1.980 SOL</t>
        </is>
      </c>
      <c r="F37" s="20" t="inlineStr">
        <is>
          <t>0.813 SOL</t>
        </is>
      </c>
      <c r="G37" s="24" t="inlineStr">
        <is>
          <t>-1.192 SOL</t>
        </is>
      </c>
      <c r="H37" s="24" t="inlineStr">
        <is>
          <t>-59.45%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23.10.2024 16:42:36</t>
        </is>
      </c>
      <c r="M37" s="20" t="inlineStr">
        <is>
          <t>6 days</t>
        </is>
      </c>
      <c r="N37" s="20" t="inlineStr">
        <is>
          <t xml:space="preserve">        163K           163K            76K</t>
        </is>
      </c>
      <c r="O37" s="20" t="inlineStr">
        <is>
          <t>HDTasrVEvEmrfHUzLN42hhhNbELrcFrWCqsvWs3ypump</t>
        </is>
      </c>
      <c r="P37" s="20">
        <f>HYPERLINK("https://dexscreener.com/solana/HDTasrVEvEmrfHUzLN42hhhNbELrcFrWCqsvWs3ypump", "View")</f>
        <v/>
      </c>
    </row>
    <row r="38">
      <c r="A38" s="15" t="inlineStr">
        <is>
          <t>$CLOWN</t>
        </is>
      </c>
      <c r="B38" s="16" t="n">
        <v>147765</v>
      </c>
      <c r="C38" s="16" t="n">
        <v>0</v>
      </c>
      <c r="D38" s="16" t="inlineStr">
        <is>
          <t>0.015000</t>
        </is>
      </c>
      <c r="E38" s="16" t="inlineStr">
        <is>
          <t>0.495 SOL</t>
        </is>
      </c>
      <c r="F38" s="16" t="inlineStr">
        <is>
          <t>0.000 SOL</t>
        </is>
      </c>
      <c r="G38" s="17" t="inlineStr">
        <is>
          <t>-0.510 SOL</t>
        </is>
      </c>
      <c r="H38" s="17" t="inlineStr">
        <is>
          <t>0.00%</t>
        </is>
      </c>
      <c r="I38" s="16" t="inlineStr">
        <is>
          <t>147,765</t>
        </is>
      </c>
      <c r="J38" s="16" t="n">
        <v>1</v>
      </c>
      <c r="K38" s="16" t="n">
        <v>0</v>
      </c>
      <c r="L38" s="16" t="inlineStr">
        <is>
          <t>23.10.2024 16:32:23</t>
        </is>
      </c>
      <c r="M38" s="18" t="inlineStr">
        <is>
          <t>0 sec</t>
        </is>
      </c>
      <c r="N38" s="16" t="inlineStr">
        <is>
          <t xml:space="preserve">        588K           588K             8K</t>
        </is>
      </c>
      <c r="O38" s="16" t="inlineStr">
        <is>
          <t>BbFqMMfDfLNhr832iKthvyegYXQoALz16kdtJMjNpump</t>
        </is>
      </c>
      <c r="P38" s="16">
        <f>HYPERLINK("https://dexscreener.com/solana/BbFqMMfDfLNhr832iKthvyegYXQoALz16kdtJMjNpump", "View")</f>
        <v/>
      </c>
    </row>
    <row r="39">
      <c r="A39" s="19" t="inlineStr">
        <is>
          <t>THUG</t>
        </is>
      </c>
      <c r="B39" s="20" t="n">
        <v>4774242</v>
      </c>
      <c r="C39" s="20" t="n">
        <v>4774242</v>
      </c>
      <c r="D39" s="20" t="inlineStr">
        <is>
          <t>0.025010</t>
        </is>
      </c>
      <c r="E39" s="20" t="inlineStr">
        <is>
          <t>1.027 SOL</t>
        </is>
      </c>
      <c r="F39" s="20" t="inlineStr">
        <is>
          <t>0.119 SOL</t>
        </is>
      </c>
      <c r="G39" s="24" t="inlineStr">
        <is>
          <t>-0.933 SOL</t>
        </is>
      </c>
      <c r="H39" s="24" t="inlineStr">
        <is>
          <t>-88.69%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23.10.2024 08:01:52</t>
        </is>
      </c>
      <c r="M39" s="20" t="inlineStr">
        <is>
          <t>1 min</t>
        </is>
      </c>
      <c r="N39" s="20" t="inlineStr">
        <is>
          <t xml:space="preserve">         39K             4K             5K</t>
        </is>
      </c>
      <c r="O39" s="20" t="inlineStr">
        <is>
          <t>D85HmDGkPpKz3ksTXNnsfEo9EzEGtQnxPfPfmMjA3ak6</t>
        </is>
      </c>
      <c r="P39" s="20">
        <f>HYPERLINK("https://photon-sol.tinyastro.io/en/lp/D85HmDGkPpKz3ksTXNnsfEo9EzEGtQnxPfPfmMjA3ak6?handle=676050794bc1b1657a56b", "View")</f>
        <v/>
      </c>
    </row>
    <row r="40">
      <c r="A40" s="15" t="inlineStr">
        <is>
          <t>THUG</t>
        </is>
      </c>
      <c r="B40" s="16" t="n">
        <v>13366914</v>
      </c>
      <c r="C40" s="16" t="n">
        <v>0</v>
      </c>
      <c r="D40" s="16" t="inlineStr">
        <is>
          <t>0.015000</t>
        </is>
      </c>
      <c r="E40" s="16" t="inlineStr">
        <is>
          <t>0.527 SOL</t>
        </is>
      </c>
      <c r="F40" s="16" t="inlineStr">
        <is>
          <t>0.000 SOL</t>
        </is>
      </c>
      <c r="G40" s="17" t="inlineStr">
        <is>
          <t>-0.542 SOL</t>
        </is>
      </c>
      <c r="H40" s="17" t="inlineStr">
        <is>
          <t>0.00%</t>
        </is>
      </c>
      <c r="I40" s="16" t="inlineStr">
        <is>
          <t>13,366,914</t>
        </is>
      </c>
      <c r="J40" s="16" t="n">
        <v>1</v>
      </c>
      <c r="K40" s="16" t="n">
        <v>0</v>
      </c>
      <c r="L40" s="16" t="inlineStr">
        <is>
          <t>23.10.2024 07:57:47</t>
        </is>
      </c>
      <c r="M40" s="18" t="inlineStr">
        <is>
          <t>0 sec</t>
        </is>
      </c>
      <c r="N40" s="16" t="inlineStr">
        <is>
          <t xml:space="preserve">          7K             7K             5K</t>
        </is>
      </c>
      <c r="O40" s="16" t="inlineStr">
        <is>
          <t>BRQvLcPNdMu2wxCrwzuFNeA8uvr4xnQ3mY44HCsYpump</t>
        </is>
      </c>
      <c r="P40" s="16">
        <f>HYPERLINK("https://photon-sol.tinyastro.io/en/lp/BRQvLcPNdMu2wxCrwzuFNeA8uvr4xnQ3mY44HCsYpump?handle=676050794bc1b1657a56b", "View")</f>
        <v/>
      </c>
    </row>
    <row r="41">
      <c r="A41" s="19" t="inlineStr">
        <is>
          <t>Minion</t>
        </is>
      </c>
      <c r="B41" s="20" t="n">
        <v>421037</v>
      </c>
      <c r="C41" s="20" t="n">
        <v>421037</v>
      </c>
      <c r="D41" s="20" t="inlineStr">
        <is>
          <t>0.035010</t>
        </is>
      </c>
      <c r="E41" s="20" t="inlineStr">
        <is>
          <t>2.970 SOL</t>
        </is>
      </c>
      <c r="F41" s="20" t="inlineStr">
        <is>
          <t>6.503 SOL</t>
        </is>
      </c>
      <c r="G41" s="23" t="inlineStr">
        <is>
          <t>3.498 SOL</t>
        </is>
      </c>
      <c r="H41" s="23" t="inlineStr">
        <is>
          <t>116.41%</t>
        </is>
      </c>
      <c r="I41" s="20" t="inlineStr">
        <is>
          <t>N/A</t>
        </is>
      </c>
      <c r="J41" s="20" t="n">
        <v>1</v>
      </c>
      <c r="K41" s="20" t="n">
        <v>2</v>
      </c>
      <c r="L41" s="20" t="inlineStr">
        <is>
          <t>23.10.2024 06:40:19</t>
        </is>
      </c>
      <c r="M41" s="20" t="inlineStr">
        <is>
          <t>24 days</t>
        </is>
      </c>
      <c r="N41" s="20" t="inlineStr">
        <is>
          <t xml:space="preserve">          1M             6M             1M</t>
        </is>
      </c>
      <c r="O41" s="20" t="inlineStr">
        <is>
          <t>DqWf9DDK6H5c7KmEHkNJxnzNPSM6mzxonZJjK6yxpump</t>
        </is>
      </c>
      <c r="P41" s="20">
        <f>HYPERLINK("https://dexscreener.com/solana/DqWf9DDK6H5c7KmEHkNJxnzNPSM6mzxonZJjK6yxpump", "View")</f>
        <v/>
      </c>
    </row>
    <row r="42">
      <c r="A42" s="15" t="inlineStr">
        <is>
          <t>156</t>
        </is>
      </c>
      <c r="B42" s="16" t="n">
        <v>596103</v>
      </c>
      <c r="C42" s="16" t="n">
        <v>0</v>
      </c>
      <c r="D42" s="16" t="inlineStr">
        <is>
          <t>0.015000</t>
        </is>
      </c>
      <c r="E42" s="16" t="inlineStr">
        <is>
          <t>1.980 SOL</t>
        </is>
      </c>
      <c r="F42" s="16" t="inlineStr">
        <is>
          <t>0.000 SOL</t>
        </is>
      </c>
      <c r="G42" s="17" t="inlineStr">
        <is>
          <t>-1.995 SOL</t>
        </is>
      </c>
      <c r="H42" s="17" t="inlineStr">
        <is>
          <t>0.00%</t>
        </is>
      </c>
      <c r="I42" s="16" t="inlineStr">
        <is>
          <t>596,103</t>
        </is>
      </c>
      <c r="J42" s="16" t="n">
        <v>1</v>
      </c>
      <c r="K42" s="16" t="n">
        <v>0</v>
      </c>
      <c r="L42" s="16" t="inlineStr">
        <is>
          <t>23.10.2024 06:39:57</t>
        </is>
      </c>
      <c r="M42" s="18" t="inlineStr">
        <is>
          <t>0 sec</t>
        </is>
      </c>
      <c r="N42" s="16" t="inlineStr">
        <is>
          <t xml:space="preserve">        553K           553K            21K</t>
        </is>
      </c>
      <c r="O42" s="16" t="inlineStr">
        <is>
          <t>EsQH1EH1L8HYzargwnarSA8AwAywWPrGNLWbZQ6dpump</t>
        </is>
      </c>
      <c r="P42" s="16">
        <f>HYPERLINK("https://dexscreener.com/solana/EsQH1EH1L8HYzargwnarSA8AwAywWPrGNLWbZQ6dpump", "View")</f>
        <v/>
      </c>
    </row>
    <row r="43">
      <c r="A43" s="19" t="inlineStr">
        <is>
          <t>LOOM</t>
        </is>
      </c>
      <c r="B43" s="20" t="n">
        <v>418279</v>
      </c>
      <c r="C43" s="20" t="n">
        <v>209140</v>
      </c>
      <c r="D43" s="20" t="inlineStr">
        <is>
          <t>0.025010</t>
        </is>
      </c>
      <c r="E43" s="20" t="inlineStr">
        <is>
          <t>2.970 SOL</t>
        </is>
      </c>
      <c r="F43" s="20" t="inlineStr">
        <is>
          <t>4.751 SOL</t>
        </is>
      </c>
      <c r="G43" s="23" t="inlineStr">
        <is>
          <t>1.756 SOL</t>
        </is>
      </c>
      <c r="H43" s="23" t="inlineStr">
        <is>
          <t>58.64%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21.10.2024 17:04:17</t>
        </is>
      </c>
      <c r="M43" s="20" t="inlineStr">
        <is>
          <t>8 hours</t>
        </is>
      </c>
      <c r="N43" s="20" t="inlineStr">
        <is>
          <t xml:space="preserve">          1M             1M           147K</t>
        </is>
      </c>
      <c r="O43" s="20" t="inlineStr">
        <is>
          <t>D57CP6MA7G5idNmxAuigU6W8uPeiGvDVuuwh4z2ypump</t>
        </is>
      </c>
      <c r="P43" s="20">
        <f>HYPERLINK("https://dexscreener.com/solana/D57CP6MA7G5idNmxAuigU6W8uPeiGvDVuuwh4z2ypump", "View")</f>
        <v/>
      </c>
    </row>
    <row r="44">
      <c r="A44" s="15" t="inlineStr">
        <is>
          <t>AirheadFun</t>
        </is>
      </c>
      <c r="B44" s="16" t="n">
        <v>702324</v>
      </c>
      <c r="C44" s="16" t="n">
        <v>0</v>
      </c>
      <c r="D44" s="16" t="inlineStr">
        <is>
          <t>0.015000</t>
        </is>
      </c>
      <c r="E44" s="16" t="inlineStr">
        <is>
          <t>0.990 SOL</t>
        </is>
      </c>
      <c r="F44" s="16" t="inlineStr">
        <is>
          <t>0.000 SOL</t>
        </is>
      </c>
      <c r="G44" s="17" t="inlineStr">
        <is>
          <t>-1.005 SOL</t>
        </is>
      </c>
      <c r="H44" s="17" t="inlineStr">
        <is>
          <t>0.00%</t>
        </is>
      </c>
      <c r="I44" s="16" t="inlineStr">
        <is>
          <t>702,324</t>
        </is>
      </c>
      <c r="J44" s="16" t="n">
        <v>1</v>
      </c>
      <c r="K44" s="16" t="n">
        <v>0</v>
      </c>
      <c r="L44" s="16" t="inlineStr">
        <is>
          <t>18.10.2024 16:22:34</t>
        </is>
      </c>
      <c r="M44" s="18" t="inlineStr">
        <is>
          <t>0 sec</t>
        </is>
      </c>
      <c r="N44" s="16" t="inlineStr">
        <is>
          <t xml:space="preserve">        247K           247K             7K</t>
        </is>
      </c>
      <c r="O44" s="16" t="inlineStr">
        <is>
          <t>FCGDDio5DuhujHcRQCDbXHnrcSA4pUGg2haNt7S2pump</t>
        </is>
      </c>
      <c r="P44" s="16">
        <f>HYPERLINK("https://dexscreener.com/solana/FCGDDio5DuhujHcRQCDbXHnrcSA4pUGg2haNt7S2pump", "View")</f>
        <v/>
      </c>
    </row>
    <row r="45">
      <c r="A45" s="19" t="inlineStr">
        <is>
          <t>CHARLIE</t>
        </is>
      </c>
      <c r="B45" s="20" t="n">
        <v>1661736</v>
      </c>
      <c r="C45" s="20" t="n">
        <v>0</v>
      </c>
      <c r="D45" s="20" t="inlineStr">
        <is>
          <t>0.015000</t>
        </is>
      </c>
      <c r="E45" s="20" t="inlineStr">
        <is>
          <t>0.990 SOL</t>
        </is>
      </c>
      <c r="F45" s="20" t="inlineStr">
        <is>
          <t>0.000 SOL</t>
        </is>
      </c>
      <c r="G45" s="17" t="inlineStr">
        <is>
          <t>-1.005 SOL</t>
        </is>
      </c>
      <c r="H45" s="17" t="inlineStr">
        <is>
          <t>0.00%</t>
        </is>
      </c>
      <c r="I45" s="20" t="inlineStr">
        <is>
          <t>1,661,736</t>
        </is>
      </c>
      <c r="J45" s="20" t="n">
        <v>1</v>
      </c>
      <c r="K45" s="20" t="n">
        <v>0</v>
      </c>
      <c r="L45" s="20" t="inlineStr">
        <is>
          <t>18.10.2024 15:31:14</t>
        </is>
      </c>
      <c r="M45" s="18" t="inlineStr">
        <is>
          <t>0 sec</t>
        </is>
      </c>
      <c r="N45" s="20" t="inlineStr">
        <is>
          <t xml:space="preserve">        105K           105K             4K</t>
        </is>
      </c>
      <c r="O45" s="20" t="inlineStr">
        <is>
          <t>E3pU9piMVEubx3YH4msN826cpaKdAga9zjTQc2dxpump</t>
        </is>
      </c>
      <c r="P45" s="20">
        <f>HYPERLINK("https://dexscreener.com/solana/E3pU9piMVEubx3YH4msN826cpaKdAga9zjTQc2dxpump", "View")</f>
        <v/>
      </c>
    </row>
    <row r="46">
      <c r="A46" s="15" t="inlineStr">
        <is>
          <t>ARTIC</t>
        </is>
      </c>
      <c r="B46" s="16" t="n">
        <v>228</v>
      </c>
      <c r="C46" s="16" t="n">
        <v>0</v>
      </c>
      <c r="D46" s="16" t="inlineStr">
        <is>
          <t>0.015000</t>
        </is>
      </c>
      <c r="E46" s="16" t="inlineStr">
        <is>
          <t>0.010 SOL</t>
        </is>
      </c>
      <c r="F46" s="16" t="inlineStr">
        <is>
          <t>0.000 SOL</t>
        </is>
      </c>
      <c r="G46" s="17" t="inlineStr">
        <is>
          <t>-0.025 SOL</t>
        </is>
      </c>
      <c r="H46" s="17" t="inlineStr">
        <is>
          <t>0.00%</t>
        </is>
      </c>
      <c r="I46" s="16" t="inlineStr">
        <is>
          <t>228</t>
        </is>
      </c>
      <c r="J46" s="16" t="n">
        <v>1</v>
      </c>
      <c r="K46" s="16" t="n">
        <v>0</v>
      </c>
      <c r="L46" s="16" t="inlineStr">
        <is>
          <t>18.10.2024 08:03:52</t>
        </is>
      </c>
      <c r="M46" s="18" t="inlineStr">
        <is>
          <t>0 sec</t>
        </is>
      </c>
      <c r="N46" s="16" t="inlineStr">
        <is>
          <t xml:space="preserve">          8M             8M           749K</t>
        </is>
      </c>
      <c r="O46" s="16" t="inlineStr">
        <is>
          <t>CgsgaAyDbbqQ34zffEwqw7HStpAStGmBzHdBBGyyLthF</t>
        </is>
      </c>
      <c r="P46" s="16">
        <f>HYPERLINK("https://dexscreener.com/solana/CgsgaAyDbbqQ34zffEwqw7HStpAStGmBzHdBBGyyLthF", "View")</f>
        <v/>
      </c>
    </row>
    <row r="47">
      <c r="A47" s="19" t="inlineStr">
        <is>
          <t>vibes</t>
        </is>
      </c>
      <c r="B47" s="20" t="n">
        <v>124325</v>
      </c>
      <c r="C47" s="20" t="n">
        <v>0</v>
      </c>
      <c r="D47" s="20" t="inlineStr">
        <is>
          <t>0.015000</t>
        </is>
      </c>
      <c r="E47" s="20" t="inlineStr">
        <is>
          <t>1.980 SOL</t>
        </is>
      </c>
      <c r="F47" s="20" t="inlineStr">
        <is>
          <t>0.000 SOL</t>
        </is>
      </c>
      <c r="G47" s="17" t="inlineStr">
        <is>
          <t>-1.995 SOL</t>
        </is>
      </c>
      <c r="H47" s="17" t="inlineStr">
        <is>
          <t>0.00%</t>
        </is>
      </c>
      <c r="I47" s="20" t="inlineStr">
        <is>
          <t>124,325</t>
        </is>
      </c>
      <c r="J47" s="20" t="n">
        <v>1</v>
      </c>
      <c r="K47" s="20" t="n">
        <v>0</v>
      </c>
      <c r="L47" s="20" t="inlineStr">
        <is>
          <t>14.10.2024 19:56:43</t>
        </is>
      </c>
      <c r="M47" s="18" t="inlineStr">
        <is>
          <t>0 sec</t>
        </is>
      </c>
      <c r="N47" s="20" t="inlineStr">
        <is>
          <t xml:space="preserve">          3M             3M           657K</t>
        </is>
      </c>
      <c r="O47" s="20" t="inlineStr">
        <is>
          <t>Ed1yisBEAo8UXToSswvVFgzyJKpF48HEdq5kvz2zpump</t>
        </is>
      </c>
      <c r="P47" s="20">
        <f>HYPERLINK("https://dexscreener.com/solana/Ed1yisBEAo8UXToSswvVFgzyJKpF48HEdq5kvz2zpump", "View")</f>
        <v/>
      </c>
    </row>
    <row r="48">
      <c r="A48" s="15" t="inlineStr">
        <is>
          <t>RUFF</t>
        </is>
      </c>
      <c r="B48" s="16" t="n">
        <v>81816</v>
      </c>
      <c r="C48" s="16" t="n">
        <v>81816</v>
      </c>
      <c r="D48" s="16" t="inlineStr">
        <is>
          <t>0.025010</t>
        </is>
      </c>
      <c r="E48" s="16" t="inlineStr">
        <is>
          <t>1.980 SOL</t>
        </is>
      </c>
      <c r="F48" s="16" t="inlineStr">
        <is>
          <t>0.929 SOL</t>
        </is>
      </c>
      <c r="G48" s="24" t="inlineStr">
        <is>
          <t>-1.076 SOL</t>
        </is>
      </c>
      <c r="H48" s="24" t="inlineStr">
        <is>
          <t>-53.68%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14.10.2024 15:41:23</t>
        </is>
      </c>
      <c r="M48" s="16" t="inlineStr">
        <is>
          <t>4 min</t>
        </is>
      </c>
      <c r="N48" s="16" t="inlineStr">
        <is>
          <t xml:space="preserve">          4M             2M            19K</t>
        </is>
      </c>
      <c r="O48" s="16" t="inlineStr">
        <is>
          <t>BWFKLaEYDoMDYzZRB2bYLPhMJTycD9voNihvSL34pump</t>
        </is>
      </c>
      <c r="P48" s="16">
        <f>HYPERLINK("https://dexscreener.com/solana/BWFKLaEYDoMDYzZRB2bYLPhMJTycD9voNihvSL34pump", "View")</f>
        <v/>
      </c>
    </row>
    <row r="49">
      <c r="A49" s="19" t="inlineStr">
        <is>
          <t>RUF</t>
        </is>
      </c>
      <c r="B49" s="20" t="n">
        <v>145467</v>
      </c>
      <c r="C49" s="20" t="n">
        <v>0</v>
      </c>
      <c r="D49" s="20" t="inlineStr">
        <is>
          <t>0.015000</t>
        </is>
      </c>
      <c r="E49" s="20" t="inlineStr">
        <is>
          <t>0.990 SOL</t>
        </is>
      </c>
      <c r="F49" s="20" t="inlineStr">
        <is>
          <t>0.000 SOL</t>
        </is>
      </c>
      <c r="G49" s="17" t="inlineStr">
        <is>
          <t>-1.005 SOL</t>
        </is>
      </c>
      <c r="H49" s="17" t="inlineStr">
        <is>
          <t>0.00%</t>
        </is>
      </c>
      <c r="I49" s="20" t="inlineStr">
        <is>
          <t>145,467</t>
        </is>
      </c>
      <c r="J49" s="20" t="n">
        <v>1</v>
      </c>
      <c r="K49" s="20" t="n">
        <v>0</v>
      </c>
      <c r="L49" s="20" t="inlineStr">
        <is>
          <t>14.10.2024 15:40:19</t>
        </is>
      </c>
      <c r="M49" s="18" t="inlineStr">
        <is>
          <t>0 sec</t>
        </is>
      </c>
      <c r="N49" s="20" t="inlineStr">
        <is>
          <t xml:space="preserve">          1M             1M            10K</t>
        </is>
      </c>
      <c r="O49" s="20" t="inlineStr">
        <is>
          <t>8EQeemcUppYMH1T4JQSh4UNE6DLhJZV7ap6Y7k38pump</t>
        </is>
      </c>
      <c r="P49" s="20">
        <f>HYPERLINK("https://dexscreener.com/solana/8EQeemcUppYMH1T4JQSh4UNE6DLhJZV7ap6Y7k38pump", "View")</f>
        <v/>
      </c>
    </row>
    <row r="50">
      <c r="A50" s="15" t="inlineStr">
        <is>
          <t>VLORP</t>
        </is>
      </c>
      <c r="B50" s="16" t="n">
        <v>3271093</v>
      </c>
      <c r="C50" s="16" t="n">
        <v>3271093</v>
      </c>
      <c r="D50" s="16" t="inlineStr">
        <is>
          <t>0.025010</t>
        </is>
      </c>
      <c r="E50" s="16" t="inlineStr">
        <is>
          <t>0.277 SOL</t>
        </is>
      </c>
      <c r="F50" s="16" t="inlineStr">
        <is>
          <t>0.071 SOL</t>
        </is>
      </c>
      <c r="G50" s="24" t="inlineStr">
        <is>
          <t>-0.231 SOL</t>
        </is>
      </c>
      <c r="H50" s="24" t="inlineStr">
        <is>
          <t>-76.56%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14.10.2024 14:33:35</t>
        </is>
      </c>
      <c r="M50" s="16" t="inlineStr">
        <is>
          <t>1 months</t>
        </is>
      </c>
      <c r="N50" s="16" t="inlineStr">
        <is>
          <t xml:space="preserve">        N/A           N/A           N/A</t>
        </is>
      </c>
      <c r="O50" s="16" t="inlineStr">
        <is>
          <t>G7gvUs15sYxtSkPWoKYyXKMgS2KpQYWWuXLR9AbHpump</t>
        </is>
      </c>
      <c r="P50" s="16">
        <f>HYPERLINK("https://photon-sol.tinyastro.io/en/lp/G7gvUs15sYxtSkPWoKYyXKMgS2KpQYWWuXLR9AbHpump?handle=676050794bc1b1657a56b", "View")</f>
        <v/>
      </c>
    </row>
    <row r="51">
      <c r="A51" s="19" t="inlineStr">
        <is>
          <t xml:space="preserve">PEPE6900 </t>
        </is>
      </c>
      <c r="B51" s="20" t="n">
        <v>2641365</v>
      </c>
      <c r="C51" s="20" t="n">
        <v>0</v>
      </c>
      <c r="D51" s="20" t="inlineStr">
        <is>
          <t>0.015000</t>
        </is>
      </c>
      <c r="E51" s="20" t="inlineStr">
        <is>
          <t>0.247 SOL</t>
        </is>
      </c>
      <c r="F51" s="20" t="inlineStr">
        <is>
          <t>0.000 SOL</t>
        </is>
      </c>
      <c r="G51" s="17" t="inlineStr">
        <is>
          <t>-0.263 SOL</t>
        </is>
      </c>
      <c r="H51" s="17" t="inlineStr">
        <is>
          <t>0.00%</t>
        </is>
      </c>
      <c r="I51" s="20" t="inlineStr">
        <is>
          <t>2,641,365</t>
        </is>
      </c>
      <c r="J51" s="20" t="n">
        <v>1</v>
      </c>
      <c r="K51" s="20" t="n">
        <v>0</v>
      </c>
      <c r="L51" s="20" t="inlineStr">
        <is>
          <t>13.10.2024 15:12:04</t>
        </is>
      </c>
      <c r="M51" s="18" t="inlineStr">
        <is>
          <t>0 sec</t>
        </is>
      </c>
      <c r="N51" s="20" t="inlineStr">
        <is>
          <t xml:space="preserve">        N/A           N/A           N/A</t>
        </is>
      </c>
      <c r="O51" s="20" t="inlineStr">
        <is>
          <t>EqtftEjbY5X6bemrLv4aGsMxRJMXoo2qtRKYvtKEb5kn</t>
        </is>
      </c>
      <c r="P51" s="20">
        <f>HYPERLINK("https://dexscreener.com/solana/EqtftEjbY5X6bemrLv4aGsMxRJMXoo2qtRKYvtKEb5kn", "View")</f>
        <v/>
      </c>
    </row>
    <row r="52">
      <c r="A52" s="15" t="inlineStr">
        <is>
          <t>BOBER</t>
        </is>
      </c>
      <c r="B52" s="16" t="n">
        <v>776871</v>
      </c>
      <c r="C52" s="16" t="n">
        <v>776871</v>
      </c>
      <c r="D52" s="16" t="inlineStr">
        <is>
          <t>0.035010</t>
        </is>
      </c>
      <c r="E52" s="16" t="inlineStr">
        <is>
          <t>0.990 SOL</t>
        </is>
      </c>
      <c r="F52" s="16" t="inlineStr">
        <is>
          <t>2.119 SOL</t>
        </is>
      </c>
      <c r="G52" s="23" t="inlineStr">
        <is>
          <t>1.094 SOL</t>
        </is>
      </c>
      <c r="H52" s="23" t="inlineStr">
        <is>
          <t>106.69%</t>
        </is>
      </c>
      <c r="I52" s="16" t="inlineStr">
        <is>
          <t>N/A</t>
        </is>
      </c>
      <c r="J52" s="16" t="n">
        <v>1</v>
      </c>
      <c r="K52" s="16" t="n">
        <v>2</v>
      </c>
      <c r="L52" s="16" t="inlineStr">
        <is>
          <t>13.10.2024 12:47:09</t>
        </is>
      </c>
      <c r="M52" s="16" t="inlineStr">
        <is>
          <t>5 days</t>
        </is>
      </c>
      <c r="N52" s="16" t="inlineStr">
        <is>
          <t xml:space="preserve">        211K           413K            69K</t>
        </is>
      </c>
      <c r="O52" s="16" t="inlineStr">
        <is>
          <t>6bDbbx8ptD7WSV6b21PQcoDtPguHYptmYLs81v9rmSnD</t>
        </is>
      </c>
      <c r="P52" s="16">
        <f>HYPERLINK("https://dexscreener.com/solana/6bDbbx8ptD7WSV6b21PQcoDtPguHYptmYLs81v9rmSnD", "View")</f>
        <v/>
      </c>
    </row>
    <row r="53">
      <c r="A53" s="19" t="inlineStr">
        <is>
          <t>NINO</t>
        </is>
      </c>
      <c r="B53" s="20" t="n">
        <v>8330618</v>
      </c>
      <c r="C53" s="20" t="n">
        <v>8330618</v>
      </c>
      <c r="D53" s="20" t="inlineStr">
        <is>
          <t>0.025010</t>
        </is>
      </c>
      <c r="E53" s="20" t="inlineStr">
        <is>
          <t>1.027 SOL</t>
        </is>
      </c>
      <c r="F53" s="20" t="inlineStr">
        <is>
          <t>0.211 SOL</t>
        </is>
      </c>
      <c r="G53" s="24" t="inlineStr">
        <is>
          <t>-0.841 SOL</t>
        </is>
      </c>
      <c r="H53" s="24" t="inlineStr">
        <is>
          <t>-79.95%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13.10.2024 12:46:23</t>
        </is>
      </c>
      <c r="M53" s="20" t="inlineStr">
        <is>
          <t>10 days</t>
        </is>
      </c>
      <c r="N53" s="20" t="inlineStr">
        <is>
          <t xml:space="preserve">        N/A           N/A           N/A</t>
        </is>
      </c>
      <c r="O53" s="20" t="inlineStr">
        <is>
          <t>EGCbT6s8bAzkY2voyVE1pcvSNuQVts6aruSA9y2Dpump</t>
        </is>
      </c>
      <c r="P53" s="20">
        <f>HYPERLINK("https://photon-sol.tinyastro.io/en/lp/EGCbT6s8bAzkY2voyVE1pcvSNuQVts6aruSA9y2Dpump?handle=676050794bc1b1657a56b", "View")</f>
        <v/>
      </c>
    </row>
    <row r="54">
      <c r="A54" s="15" t="inlineStr">
        <is>
          <t>BEAVER</t>
        </is>
      </c>
      <c r="B54" s="16" t="n">
        <v>86536</v>
      </c>
      <c r="C54" s="16" t="n">
        <v>86536</v>
      </c>
      <c r="D54" s="16" t="inlineStr">
        <is>
          <t>0.035010</t>
        </is>
      </c>
      <c r="E54" s="16" t="inlineStr">
        <is>
          <t>1.980 SOL</t>
        </is>
      </c>
      <c r="F54" s="16" t="inlineStr">
        <is>
          <t>1.864 SOL</t>
        </is>
      </c>
      <c r="G54" s="21" t="inlineStr">
        <is>
          <t>-0.151 SOL</t>
        </is>
      </c>
      <c r="H54" s="21" t="inlineStr">
        <is>
          <t>-7.51%</t>
        </is>
      </c>
      <c r="I54" s="16" t="inlineStr">
        <is>
          <t>N/A</t>
        </is>
      </c>
      <c r="J54" s="16" t="n">
        <v>1</v>
      </c>
      <c r="K54" s="16" t="n">
        <v>2</v>
      </c>
      <c r="L54" s="16" t="inlineStr">
        <is>
          <t>13.10.2024 12:45:55</t>
        </is>
      </c>
      <c r="M54" s="16" t="inlineStr">
        <is>
          <t>5 days</t>
        </is>
      </c>
      <c r="N54" s="16" t="inlineStr">
        <is>
          <t xml:space="preserve">        402K           308K           261K</t>
        </is>
      </c>
      <c r="O54" s="16" t="inlineStr">
        <is>
          <t>M9i5xQz8Z2Ua3VHuBkjBSkP5HYwdetu7N9RP5VUsW4z</t>
        </is>
      </c>
      <c r="P54" s="16">
        <f>HYPERLINK("https://dexscreener.com/solana/M9i5xQz8Z2Ua3VHuBkjBSkP5HYwdetu7N9RP5VUsW4z", "View")</f>
        <v/>
      </c>
    </row>
    <row r="55">
      <c r="A55" s="19" t="inlineStr">
        <is>
          <t>Normie</t>
        </is>
      </c>
      <c r="B55" s="20" t="n">
        <v>1494950</v>
      </c>
      <c r="C55" s="20" t="n">
        <v>1494950</v>
      </c>
      <c r="D55" s="20" t="inlineStr">
        <is>
          <t>0.025010</t>
        </is>
      </c>
      <c r="E55" s="20" t="inlineStr">
        <is>
          <t>0.527 SOL</t>
        </is>
      </c>
      <c r="F55" s="20" t="inlineStr">
        <is>
          <t>0.223 SOL</t>
        </is>
      </c>
      <c r="G55" s="24" t="inlineStr">
        <is>
          <t>-0.329 SOL</t>
        </is>
      </c>
      <c r="H55" s="24" t="inlineStr">
        <is>
          <t>-59.65%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13.10.2024 12:35:55</t>
        </is>
      </c>
      <c r="M55" s="18" t="inlineStr">
        <is>
          <t>56 sec</t>
        </is>
      </c>
      <c r="N55" s="20" t="inlineStr">
        <is>
          <t xml:space="preserve">        N/A           N/A           N/A</t>
        </is>
      </c>
      <c r="O55" s="20" t="inlineStr">
        <is>
          <t>5PhGFNKpwHqQsH8hLX4PdWiJDDnzw93tL8dkkkoUpump</t>
        </is>
      </c>
      <c r="P55" s="20">
        <f>HYPERLINK("https://photon-sol.tinyastro.io/en/lp/5PhGFNKpwHqQsH8hLX4PdWiJDDnzw93tL8dkkkoUpump?handle=676050794bc1b1657a56b", "View")</f>
        <v/>
      </c>
    </row>
    <row r="56">
      <c r="A56" s="15" t="inlineStr">
        <is>
          <t>Swarm</t>
        </is>
      </c>
      <c r="B56" s="16" t="n">
        <v>518099</v>
      </c>
      <c r="C56" s="16" t="n">
        <v>281414</v>
      </c>
      <c r="D56" s="16" t="inlineStr">
        <is>
          <t>0.060020</t>
        </is>
      </c>
      <c r="E56" s="16" t="inlineStr">
        <is>
          <t>0.325 SOL</t>
        </is>
      </c>
      <c r="F56" s="16" t="inlineStr">
        <is>
          <t>3.784 SOL</t>
        </is>
      </c>
      <c r="G56" s="23" t="inlineStr">
        <is>
          <t>3.399 SOL</t>
        </is>
      </c>
      <c r="H56" s="23" t="inlineStr">
        <is>
          <t>883.85%</t>
        </is>
      </c>
      <c r="I56" s="16" t="inlineStr">
        <is>
          <t>N/A</t>
        </is>
      </c>
      <c r="J56" s="16" t="n">
        <v>2</v>
      </c>
      <c r="K56" s="16" t="n">
        <v>3</v>
      </c>
      <c r="L56" s="16" t="inlineStr">
        <is>
          <t>13.10.2024 11:53:28</t>
        </is>
      </c>
      <c r="M56" s="16" t="inlineStr">
        <is>
          <t>19 hours</t>
        </is>
      </c>
      <c r="N56" s="16" t="inlineStr">
        <is>
          <t xml:space="preserve">         74K             5M           187K</t>
        </is>
      </c>
      <c r="O56" s="16" t="inlineStr">
        <is>
          <t>JBSVUpKgYNHt4GLtNebQxTJmZgftTMWENQrziHtGpump</t>
        </is>
      </c>
      <c r="P56" s="16">
        <f>HYPERLINK("https://photon-sol.tinyastro.io/en/lp/JBSVUpKgYNHt4GLtNebQxTJmZgftTMWENQrziHtGpump?handle=676050794bc1b1657a56b", "View")</f>
        <v/>
      </c>
    </row>
    <row r="57">
      <c r="A57" s="19" t="inlineStr">
        <is>
          <t>LP64</t>
        </is>
      </c>
      <c r="B57" s="20" t="n">
        <v>1722827</v>
      </c>
      <c r="C57" s="20" t="n">
        <v>0</v>
      </c>
      <c r="D57" s="20" t="inlineStr">
        <is>
          <t>0.015000</t>
        </is>
      </c>
      <c r="E57" s="20" t="inlineStr">
        <is>
          <t>0.527 SOL</t>
        </is>
      </c>
      <c r="F57" s="20" t="inlineStr">
        <is>
          <t>0.000 SOL</t>
        </is>
      </c>
      <c r="G57" s="17" t="inlineStr">
        <is>
          <t>-0.542 SOL</t>
        </is>
      </c>
      <c r="H57" s="17" t="inlineStr">
        <is>
          <t>0.00%</t>
        </is>
      </c>
      <c r="I57" s="20" t="inlineStr">
        <is>
          <t>1,722,827</t>
        </is>
      </c>
      <c r="J57" s="20" t="n">
        <v>1</v>
      </c>
      <c r="K57" s="20" t="n">
        <v>0</v>
      </c>
      <c r="L57" s="20" t="inlineStr">
        <is>
          <t>12.10.2024 18:18:01</t>
        </is>
      </c>
      <c r="M57" s="18" t="inlineStr">
        <is>
          <t>0 sec</t>
        </is>
      </c>
      <c r="N57" s="20" t="inlineStr">
        <is>
          <t xml:space="preserve">         54K            54K             3K</t>
        </is>
      </c>
      <c r="O57" s="20" t="inlineStr">
        <is>
          <t>HjNi2uCHrLgfxeXVgWWr1CyJhyJfzXjQx8HntVVVpump</t>
        </is>
      </c>
      <c r="P57" s="20">
        <f>HYPERLINK("https://photon-sol.tinyastro.io/en/lp/HjNi2uCHrLgfxeXVgWWr1CyJhyJfzXjQx8HntVVVpump?handle=676050794bc1b1657a56b", "View")</f>
        <v/>
      </c>
    </row>
    <row r="58">
      <c r="A58" s="15" t="inlineStr">
        <is>
          <t>Fern</t>
        </is>
      </c>
      <c r="B58" s="16" t="n">
        <v>488613</v>
      </c>
      <c r="C58" s="16" t="n">
        <v>0</v>
      </c>
      <c r="D58" s="16" t="inlineStr">
        <is>
          <t>0.015000</t>
        </is>
      </c>
      <c r="E58" s="16" t="inlineStr">
        <is>
          <t>0.495 SOL</t>
        </is>
      </c>
      <c r="F58" s="16" t="inlineStr">
        <is>
          <t>0.000 SOL</t>
        </is>
      </c>
      <c r="G58" s="17" t="inlineStr">
        <is>
          <t>-0.510 SOL</t>
        </is>
      </c>
      <c r="H58" s="17" t="inlineStr">
        <is>
          <t>0.00%</t>
        </is>
      </c>
      <c r="I58" s="16" t="inlineStr">
        <is>
          <t>488,613</t>
        </is>
      </c>
      <c r="J58" s="16" t="n">
        <v>1</v>
      </c>
      <c r="K58" s="16" t="n">
        <v>0</v>
      </c>
      <c r="L58" s="16" t="inlineStr">
        <is>
          <t>12.10.2024 17:44:16</t>
        </is>
      </c>
      <c r="M58" s="18" t="inlineStr">
        <is>
          <t>0 sec</t>
        </is>
      </c>
      <c r="N58" s="16" t="inlineStr">
        <is>
          <t xml:space="preserve">        177K           177K             5K</t>
        </is>
      </c>
      <c r="O58" s="16" t="inlineStr">
        <is>
          <t>HSfG5tUMe3BRLto3cjVTe288FCk3NmsUKqdX89Wkpump</t>
        </is>
      </c>
      <c r="P58" s="16">
        <f>HYPERLINK("https://dexscreener.com/solana/HSfG5tUMe3BRLto3cjVTe288FCk3NmsUKqdX89Wkpump", "View")</f>
        <v/>
      </c>
    </row>
    <row r="59">
      <c r="A59" s="19" t="inlineStr">
        <is>
          <t>todd</t>
        </is>
      </c>
      <c r="B59" s="20" t="n">
        <v>143972</v>
      </c>
      <c r="C59" s="20" t="n">
        <v>143972</v>
      </c>
      <c r="D59" s="20" t="inlineStr">
        <is>
          <t>0.040010</t>
        </is>
      </c>
      <c r="E59" s="20" t="inlineStr">
        <is>
          <t>0.990 SOL</t>
        </is>
      </c>
      <c r="F59" s="20" t="inlineStr">
        <is>
          <t>1.673 SOL</t>
        </is>
      </c>
      <c r="G59" s="23" t="inlineStr">
        <is>
          <t>0.643 SOL</t>
        </is>
      </c>
      <c r="H59" s="23" t="inlineStr">
        <is>
          <t>62.41%</t>
        </is>
      </c>
      <c r="I59" s="20" t="inlineStr">
        <is>
          <t>N/A</t>
        </is>
      </c>
      <c r="J59" s="20" t="n">
        <v>2</v>
      </c>
      <c r="K59" s="20" t="n">
        <v>1</v>
      </c>
      <c r="L59" s="20" t="inlineStr">
        <is>
          <t>12.10.2024 00:49:53</t>
        </is>
      </c>
      <c r="M59" s="20" t="inlineStr">
        <is>
          <t>3 days</t>
        </is>
      </c>
      <c r="N59" s="20" t="inlineStr">
        <is>
          <t xml:space="preserve">          1M             2M           409K</t>
        </is>
      </c>
      <c r="O59" s="20" t="inlineStr">
        <is>
          <t>CK7UwtyYTo4CmBohCF9RhF6mCNDxnLMcZsCqouP9pump</t>
        </is>
      </c>
      <c r="P59" s="20">
        <f>HYPERLINK("https://dexscreener.com/solana/CK7UwtyYTo4CmBohCF9RhF6mCNDxnLMcZsCqouP9pump", "View")</f>
        <v/>
      </c>
    </row>
    <row r="60">
      <c r="A60" s="15" t="inlineStr">
        <is>
          <t>holy</t>
        </is>
      </c>
      <c r="B60" s="16" t="n">
        <v>1481568</v>
      </c>
      <c r="C60" s="16" t="n">
        <v>0</v>
      </c>
      <c r="D60" s="16" t="inlineStr">
        <is>
          <t>0.015000</t>
        </is>
      </c>
      <c r="E60" s="16" t="inlineStr">
        <is>
          <t>0.077 SOL</t>
        </is>
      </c>
      <c r="F60" s="16" t="inlineStr">
        <is>
          <t>0.000 SOL</t>
        </is>
      </c>
      <c r="G60" s="17" t="inlineStr">
        <is>
          <t>-0.092 SOL</t>
        </is>
      </c>
      <c r="H60" s="17" t="inlineStr">
        <is>
          <t>0.00%</t>
        </is>
      </c>
      <c r="I60" s="16" t="inlineStr">
        <is>
          <t>1,481,568</t>
        </is>
      </c>
      <c r="J60" s="16" t="n">
        <v>1</v>
      </c>
      <c r="K60" s="16" t="n">
        <v>0</v>
      </c>
      <c r="L60" s="16" t="inlineStr">
        <is>
          <t>11.10.2024 11:46:16</t>
        </is>
      </c>
      <c r="M60" s="18" t="inlineStr">
        <is>
          <t>0 sec</t>
        </is>
      </c>
      <c r="N60" s="16" t="inlineStr">
        <is>
          <t xml:space="preserve">        N/A           N/A           N/A</t>
        </is>
      </c>
      <c r="O60" s="16" t="inlineStr">
        <is>
          <t>6iJTcYLenmLVkDzNNJ9ubHxJiYEm6RRErwu6KWi1pump</t>
        </is>
      </c>
      <c r="P60" s="16">
        <f>HYPERLINK("https://photon-sol.tinyastro.io/en/lp/6iJTcYLenmLVkDzNNJ9ubHxJiYEm6RRErwu6KWi1pump?handle=676050794bc1b1657a56b", "View")</f>
        <v/>
      </c>
    </row>
    <row r="61">
      <c r="A61" s="19" t="inlineStr">
        <is>
          <t>FRG</t>
        </is>
      </c>
      <c r="B61" s="20" t="n">
        <v>632328</v>
      </c>
      <c r="C61" s="20" t="n">
        <v>0</v>
      </c>
      <c r="D61" s="20" t="inlineStr">
        <is>
          <t>0.015000</t>
        </is>
      </c>
      <c r="E61" s="20" t="inlineStr">
        <is>
          <t>0.077 SOL</t>
        </is>
      </c>
      <c r="F61" s="20" t="inlineStr">
        <is>
          <t>0.000 SOL</t>
        </is>
      </c>
      <c r="G61" s="17" t="inlineStr">
        <is>
          <t>-0.092 SOL</t>
        </is>
      </c>
      <c r="H61" s="17" t="inlineStr">
        <is>
          <t>0.00%</t>
        </is>
      </c>
      <c r="I61" s="20" t="inlineStr">
        <is>
          <t>632,328</t>
        </is>
      </c>
      <c r="J61" s="20" t="n">
        <v>1</v>
      </c>
      <c r="K61" s="20" t="n">
        <v>0</v>
      </c>
      <c r="L61" s="20" t="inlineStr">
        <is>
          <t>11.10.2024 09:36:57</t>
        </is>
      </c>
      <c r="M61" s="18" t="inlineStr">
        <is>
          <t>0 sec</t>
        </is>
      </c>
      <c r="N61" s="20" t="inlineStr">
        <is>
          <t xml:space="preserve">        N/A           N/A           N/A</t>
        </is>
      </c>
      <c r="O61" s="20" t="inlineStr">
        <is>
          <t>J3spPzdytCA81iNMCLPECo5fbPkYoqeNCKXn67Vupump</t>
        </is>
      </c>
      <c r="P61" s="20">
        <f>HYPERLINK("https://photon-sol.tinyastro.io/en/lp/J3spPzdytCA81iNMCLPECo5fbPkYoqeNCKXn67Vupump?handle=676050794bc1b1657a56b", "View")</f>
        <v/>
      </c>
    </row>
    <row r="62">
      <c r="A62" s="15" t="inlineStr">
        <is>
          <t>ZAWG</t>
        </is>
      </c>
      <c r="B62" s="16" t="n">
        <v>145949</v>
      </c>
      <c r="C62" s="16" t="n">
        <v>0</v>
      </c>
      <c r="D62" s="16" t="inlineStr">
        <is>
          <t>0.015000</t>
        </is>
      </c>
      <c r="E62" s="16" t="inlineStr">
        <is>
          <t>0.077 SOL</t>
        </is>
      </c>
      <c r="F62" s="16" t="inlineStr">
        <is>
          <t>0.000 SOL</t>
        </is>
      </c>
      <c r="G62" s="17" t="inlineStr">
        <is>
          <t>-0.092 SOL</t>
        </is>
      </c>
      <c r="H62" s="17" t="inlineStr">
        <is>
          <t>0.00%</t>
        </is>
      </c>
      <c r="I62" s="16" t="inlineStr">
        <is>
          <t>145,949</t>
        </is>
      </c>
      <c r="J62" s="16" t="n">
        <v>1</v>
      </c>
      <c r="K62" s="16" t="n">
        <v>0</v>
      </c>
      <c r="L62" s="16" t="inlineStr">
        <is>
          <t>11.10.2024 09:26:41</t>
        </is>
      </c>
      <c r="M62" s="18" t="inlineStr">
        <is>
          <t>0 sec</t>
        </is>
      </c>
      <c r="N62" s="16" t="inlineStr">
        <is>
          <t xml:space="preserve">        N/A           N/A           N/A</t>
        </is>
      </c>
      <c r="O62" s="16" t="inlineStr">
        <is>
          <t>3eLW2apFzithRwyjQ7cepRLnYDsMLe44feuktSEvpump</t>
        </is>
      </c>
      <c r="P62" s="16">
        <f>HYPERLINK("https://photon-sol.tinyastro.io/en/lp/3eLW2apFzithRwyjQ7cepRLnYDsMLe44feuktSEvpump?handle=676050794bc1b1657a56b", "View")</f>
        <v/>
      </c>
    </row>
    <row r="63">
      <c r="A63" s="19" t="inlineStr">
        <is>
          <t>MEOW</t>
        </is>
      </c>
      <c r="B63" s="20" t="n">
        <v>397900</v>
      </c>
      <c r="C63" s="20" t="n">
        <v>0</v>
      </c>
      <c r="D63" s="20" t="inlineStr">
        <is>
          <t>0.015000</t>
        </is>
      </c>
      <c r="E63" s="20" t="inlineStr">
        <is>
          <t>0.990 SOL</t>
        </is>
      </c>
      <c r="F63" s="20" t="inlineStr">
        <is>
          <t>0.000 SOL</t>
        </is>
      </c>
      <c r="G63" s="17" t="inlineStr">
        <is>
          <t>-1.005 SOL</t>
        </is>
      </c>
      <c r="H63" s="17" t="inlineStr">
        <is>
          <t>0.00%</t>
        </is>
      </c>
      <c r="I63" s="20" t="inlineStr">
        <is>
          <t>397,900</t>
        </is>
      </c>
      <c r="J63" s="20" t="n">
        <v>1</v>
      </c>
      <c r="K63" s="20" t="n">
        <v>0</v>
      </c>
      <c r="L63" s="20" t="inlineStr">
        <is>
          <t>09.10.2024 21:25:16</t>
        </is>
      </c>
      <c r="M63" s="18" t="inlineStr">
        <is>
          <t>0 sec</t>
        </is>
      </c>
      <c r="N63" s="20" t="inlineStr">
        <is>
          <t xml:space="preserve">        437K           437K             4K</t>
        </is>
      </c>
      <c r="O63" s="20" t="inlineStr">
        <is>
          <t>9Zuog2M7SkiTXKEWBJkvgWrzMFLyX7uNgQsPrmcRpump</t>
        </is>
      </c>
      <c r="P63" s="20">
        <f>HYPERLINK("https://dexscreener.com/solana/9Zuog2M7SkiTXKEWBJkvgWrzMFLyX7uNgQsPrmcRpump", "View")</f>
        <v/>
      </c>
    </row>
    <row r="64">
      <c r="A64" s="15" t="inlineStr">
        <is>
          <t>$PCT</t>
        </is>
      </c>
      <c r="B64" s="16" t="n">
        <v>2888112</v>
      </c>
      <c r="C64" s="16" t="n">
        <v>0</v>
      </c>
      <c r="D64" s="16" t="inlineStr">
        <is>
          <t>0.015000</t>
        </is>
      </c>
      <c r="E64" s="16" t="inlineStr">
        <is>
          <t>0.990 SOL</t>
        </is>
      </c>
      <c r="F64" s="16" t="inlineStr">
        <is>
          <t>0.000 SOL</t>
        </is>
      </c>
      <c r="G64" s="17" t="inlineStr">
        <is>
          <t>-1.005 SOL</t>
        </is>
      </c>
      <c r="H64" s="17" t="inlineStr">
        <is>
          <t>0.00%</t>
        </is>
      </c>
      <c r="I64" s="16" t="inlineStr">
        <is>
          <t>2,888,112</t>
        </is>
      </c>
      <c r="J64" s="16" t="n">
        <v>1</v>
      </c>
      <c r="K64" s="16" t="n">
        <v>0</v>
      </c>
      <c r="L64" s="16" t="inlineStr">
        <is>
          <t>08.10.2024 16:45:37</t>
        </is>
      </c>
      <c r="M64" s="18" t="inlineStr">
        <is>
          <t>0 sec</t>
        </is>
      </c>
      <c r="N64" s="16" t="inlineStr">
        <is>
          <t xml:space="preserve">         60K            60K             5K</t>
        </is>
      </c>
      <c r="O64" s="16" t="inlineStr">
        <is>
          <t>DLZER63dW312mccckQHmu9LY8XtNoi326V8nvJWYpump</t>
        </is>
      </c>
      <c r="P64" s="16">
        <f>HYPERLINK("https://dexscreener.com/solana/DLZER63dW312mccckQHmu9LY8XtNoi326V8nvJWYpump", "View")</f>
        <v/>
      </c>
    </row>
    <row r="65">
      <c r="A65" s="19" t="inlineStr">
        <is>
          <t>$WIF</t>
        </is>
      </c>
      <c r="B65" s="20" t="n">
        <v>68</v>
      </c>
      <c r="C65" s="20" t="n">
        <v>68</v>
      </c>
      <c r="D65" s="20" t="inlineStr">
        <is>
          <t>0.025010</t>
        </is>
      </c>
      <c r="E65" s="20" t="inlineStr">
        <is>
          <t>0.990 SOL</t>
        </is>
      </c>
      <c r="F65" s="20" t="inlineStr">
        <is>
          <t>1.169 SOL</t>
        </is>
      </c>
      <c r="G65" s="22" t="inlineStr">
        <is>
          <t>0.154 SOL</t>
        </is>
      </c>
      <c r="H65" s="22" t="inlineStr">
        <is>
          <t>15.15%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08.10.2024 09:08:45</t>
        </is>
      </c>
      <c r="M65" s="20" t="inlineStr">
        <is>
          <t>11 days</t>
        </is>
      </c>
      <c r="N65" s="20" t="inlineStr">
        <is>
          <t xml:space="preserve">          3B             3B             3B</t>
        </is>
      </c>
      <c r="O65" s="20" t="inlineStr">
        <is>
          <t>EKpQGSJtjMFqKZ9KQanSqYXRcF8fBopzLHYxdM65zcjm</t>
        </is>
      </c>
      <c r="P65" s="20">
        <f>HYPERLINK("https://dexscreener.com/solana/EKpQGSJtjMFqKZ9KQanSqYXRcF8fBopzLHYxdM65zcjm", "View")</f>
        <v/>
      </c>
    </row>
    <row r="66">
      <c r="A66" s="15" t="inlineStr">
        <is>
          <t>KAP</t>
        </is>
      </c>
      <c r="B66" s="16" t="n">
        <v>5482557</v>
      </c>
      <c r="C66" s="16" t="n">
        <v>0</v>
      </c>
      <c r="D66" s="16" t="inlineStr">
        <is>
          <t>0.015000</t>
        </is>
      </c>
      <c r="E66" s="16" t="inlineStr">
        <is>
          <t>1.027 SOL</t>
        </is>
      </c>
      <c r="F66" s="16" t="inlineStr">
        <is>
          <t>0.000 SOL</t>
        </is>
      </c>
      <c r="G66" s="17" t="inlineStr">
        <is>
          <t>-1.042 SOL</t>
        </is>
      </c>
      <c r="H66" s="17" t="inlineStr">
        <is>
          <t>0.00%</t>
        </is>
      </c>
      <c r="I66" s="16" t="inlineStr">
        <is>
          <t>5,482,557</t>
        </is>
      </c>
      <c r="J66" s="16" t="n">
        <v>1</v>
      </c>
      <c r="K66" s="16" t="n">
        <v>0</v>
      </c>
      <c r="L66" s="16" t="inlineStr">
        <is>
          <t>06.10.2024 10:01:04</t>
        </is>
      </c>
      <c r="M66" s="18" t="inlineStr">
        <is>
          <t>0 sec</t>
        </is>
      </c>
      <c r="N66" s="16" t="inlineStr">
        <is>
          <t xml:space="preserve">         33K            33K             4K</t>
        </is>
      </c>
      <c r="O66" s="16" t="inlineStr">
        <is>
          <t>B7wVJqksJEhkacZKWrWGKxYcp6APUagruSVJpJaWpump</t>
        </is>
      </c>
      <c r="P66" s="16">
        <f>HYPERLINK("https://photon-sol.tinyastro.io/en/lp/B7wVJqksJEhkacZKWrWGKxYcp6APUagruSVJpJaWpump?handle=676050794bc1b1657a56b", "View")</f>
        <v/>
      </c>
    </row>
    <row r="67">
      <c r="A67" s="19" t="inlineStr">
        <is>
          <t>ERNIE</t>
        </is>
      </c>
      <c r="B67" s="20" t="n">
        <v>1087507</v>
      </c>
      <c r="C67" s="20" t="n">
        <v>920119</v>
      </c>
      <c r="D67" s="20" t="inlineStr">
        <is>
          <t>0.050020</t>
        </is>
      </c>
      <c r="E67" s="20" t="inlineStr">
        <is>
          <t>4.940 SOL</t>
        </is>
      </c>
      <c r="F67" s="20" t="inlineStr">
        <is>
          <t>9.615 SOL</t>
        </is>
      </c>
      <c r="G67" s="23" t="inlineStr">
        <is>
          <t>4.625 SOL</t>
        </is>
      </c>
      <c r="H67" s="23" t="inlineStr">
        <is>
          <t>92.68%</t>
        </is>
      </c>
      <c r="I67" s="20" t="inlineStr">
        <is>
          <t>N/A</t>
        </is>
      </c>
      <c r="J67" s="20" t="n">
        <v>2</v>
      </c>
      <c r="K67" s="20" t="n">
        <v>2</v>
      </c>
      <c r="L67" s="20" t="inlineStr">
        <is>
          <t>05.10.2024 01:30:44</t>
        </is>
      </c>
      <c r="M67" s="20" t="inlineStr">
        <is>
          <t>8 hours</t>
        </is>
      </c>
      <c r="N67" s="20" t="inlineStr">
        <is>
          <t xml:space="preserve">        345K             3M            17K</t>
        </is>
      </c>
      <c r="O67" s="20" t="inlineStr">
        <is>
          <t>6MvV5hjy11Szm7HmLciZepMJj3ez9xgLWeFKozFxV1sS</t>
        </is>
      </c>
      <c r="P67" s="20">
        <f>HYPERLINK("https://dexscreener.com/solana/6MvV5hjy11Szm7HmLciZepMJj3ez9xgLWeFKozFxV1sS", "View")</f>
        <v/>
      </c>
    </row>
    <row r="68">
      <c r="A68" s="15" t="inlineStr">
        <is>
          <t>Never</t>
        </is>
      </c>
      <c r="B68" s="16" t="n">
        <v>507352</v>
      </c>
      <c r="C68" s="16" t="n">
        <v>507352</v>
      </c>
      <c r="D68" s="16" t="inlineStr">
        <is>
          <t>0.025010</t>
        </is>
      </c>
      <c r="E68" s="16" t="inlineStr">
        <is>
          <t>1.980 SOL</t>
        </is>
      </c>
      <c r="F68" s="16" t="inlineStr">
        <is>
          <t>1.612 SOL</t>
        </is>
      </c>
      <c r="G68" s="21" t="inlineStr">
        <is>
          <t>-0.393 SOL</t>
        </is>
      </c>
      <c r="H68" s="21" t="inlineStr">
        <is>
          <t>-19.59%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03.10.2024 22:24:36</t>
        </is>
      </c>
      <c r="M68" s="16" t="inlineStr">
        <is>
          <t>2 hours</t>
        </is>
      </c>
      <c r="N68" s="16" t="inlineStr">
        <is>
          <t xml:space="preserve">        685K           559K            86K</t>
        </is>
      </c>
      <c r="O68" s="16" t="inlineStr">
        <is>
          <t>9nj92MjhAKKYyVmoNKeqN7rVDre6H49MuBq8XMmUpump</t>
        </is>
      </c>
      <c r="P68" s="16">
        <f>HYPERLINK("https://dexscreener.com/solana/9nj92MjhAKKYyVmoNKeqN7rVDre6H49MuBq8XMmUpump", "View")</f>
        <v/>
      </c>
    </row>
    <row r="69">
      <c r="A69" s="19" t="inlineStr">
        <is>
          <t xml:space="preserve">$bob </t>
        </is>
      </c>
      <c r="B69" s="20" t="n">
        <v>527777</v>
      </c>
      <c r="C69" s="20" t="n">
        <v>527777</v>
      </c>
      <c r="D69" s="20" t="inlineStr">
        <is>
          <t>0.025010</t>
        </is>
      </c>
      <c r="E69" s="20" t="inlineStr">
        <is>
          <t>0.990 SOL</t>
        </is>
      </c>
      <c r="F69" s="20" t="inlineStr">
        <is>
          <t>0.565 SOL</t>
        </is>
      </c>
      <c r="G69" s="21" t="inlineStr">
        <is>
          <t>-0.450 SOL</t>
        </is>
      </c>
      <c r="H69" s="21" t="inlineStr">
        <is>
          <t>-44.36%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02.10.2024 18:03:17</t>
        </is>
      </c>
      <c r="M69" s="20" t="inlineStr">
        <is>
          <t>54 min</t>
        </is>
      </c>
      <c r="N69" s="20" t="inlineStr">
        <is>
          <t xml:space="preserve">        330K           188K             5K</t>
        </is>
      </c>
      <c r="O69" s="20" t="inlineStr">
        <is>
          <t>12MwDLsVnuBT9BrByRZX9DcD4teHHgxmZJgzdxmHpump</t>
        </is>
      </c>
      <c r="P69" s="20">
        <f>HYPERLINK("https://dexscreener.com/solana/12MwDLsVnuBT9BrByRZX9DcD4teHHgxmZJgzdxmHpump", "View")</f>
        <v/>
      </c>
    </row>
    <row r="70">
      <c r="A70" s="15" t="inlineStr">
        <is>
          <t>Qi</t>
        </is>
      </c>
      <c r="B70" s="16" t="n">
        <v>2311489</v>
      </c>
      <c r="C70" s="16" t="n">
        <v>2311489</v>
      </c>
      <c r="D70" s="16" t="inlineStr">
        <is>
          <t>0.025010</t>
        </is>
      </c>
      <c r="E70" s="16" t="inlineStr">
        <is>
          <t>1.980 SOL</t>
        </is>
      </c>
      <c r="F70" s="16" t="inlineStr">
        <is>
          <t>0.864 SOL</t>
        </is>
      </c>
      <c r="G70" s="24" t="inlineStr">
        <is>
          <t>-1.141 SOL</t>
        </is>
      </c>
      <c r="H70" s="24" t="inlineStr">
        <is>
          <t>-56.89%</t>
        </is>
      </c>
      <c r="I70" s="16" t="inlineStr">
        <is>
          <t>N/A</t>
        </is>
      </c>
      <c r="J70" s="16" t="n">
        <v>1</v>
      </c>
      <c r="K70" s="16" t="n">
        <v>1</v>
      </c>
      <c r="L70" s="16" t="inlineStr">
        <is>
          <t>02.10.2024 16:01:18</t>
        </is>
      </c>
      <c r="M70" s="16" t="inlineStr">
        <is>
          <t>4 min</t>
        </is>
      </c>
      <c r="N70" s="16" t="inlineStr">
        <is>
          <t xml:space="preserve">        151K            65K             5K</t>
        </is>
      </c>
      <c r="O70" s="16" t="inlineStr">
        <is>
          <t>HdeskaKhMmS1d1H3fgrYLeZCSytp2SBAaqSsphTppump</t>
        </is>
      </c>
      <c r="P70" s="16">
        <f>HYPERLINK("https://dexscreener.com/solana/HdeskaKhMmS1d1H3fgrYLeZCSytp2SBAaqSsphTppump", "View")</f>
        <v/>
      </c>
    </row>
    <row r="71">
      <c r="A71" s="19" t="inlineStr">
        <is>
          <t>/dog</t>
        </is>
      </c>
      <c r="B71" s="20" t="n">
        <v>142853</v>
      </c>
      <c r="C71" s="20" t="n">
        <v>0</v>
      </c>
      <c r="D71" s="20" t="inlineStr">
        <is>
          <t>0.015000</t>
        </is>
      </c>
      <c r="E71" s="20" t="inlineStr">
        <is>
          <t>0.781 SOL</t>
        </is>
      </c>
      <c r="F71" s="20" t="inlineStr">
        <is>
          <t>0.000 SOL</t>
        </is>
      </c>
      <c r="G71" s="17" t="inlineStr">
        <is>
          <t>-0.796 SOL</t>
        </is>
      </c>
      <c r="H71" s="17" t="inlineStr">
        <is>
          <t>0.00%</t>
        </is>
      </c>
      <c r="I71" s="20" t="inlineStr">
        <is>
          <t>142,853</t>
        </is>
      </c>
      <c r="J71" s="20" t="n">
        <v>1</v>
      </c>
      <c r="K71" s="20" t="n">
        <v>0</v>
      </c>
      <c r="L71" s="20" t="inlineStr">
        <is>
          <t>30.09.2024 16:24:22</t>
        </is>
      </c>
      <c r="M71" s="18" t="inlineStr">
        <is>
          <t>0 sec</t>
        </is>
      </c>
      <c r="N71" s="20" t="inlineStr">
        <is>
          <t xml:space="preserve">        958K           958K            11K</t>
        </is>
      </c>
      <c r="O71" s="20" t="inlineStr">
        <is>
          <t>3A55jnwrLZMMTJd6Uj7sTcuDFmKskLS6cebijdwyvb7s</t>
        </is>
      </c>
      <c r="P71" s="20">
        <f>HYPERLINK("https://dexscreener.com/solana/3A55jnwrLZMMTJd6Uj7sTcuDFmKskLS6cebijdwyvb7s", "View")</f>
        <v/>
      </c>
    </row>
    <row r="72">
      <c r="A72" s="15" t="inlineStr">
        <is>
          <t>SBCLTR</t>
        </is>
      </c>
      <c r="B72" s="16" t="n">
        <v>640175</v>
      </c>
      <c r="C72" s="16" t="n">
        <v>0</v>
      </c>
      <c r="D72" s="16" t="inlineStr">
        <is>
          <t>0.015000</t>
        </is>
      </c>
      <c r="E72" s="16" t="inlineStr">
        <is>
          <t>1.980 SOL</t>
        </is>
      </c>
      <c r="F72" s="16" t="inlineStr">
        <is>
          <t>0.000 SOL</t>
        </is>
      </c>
      <c r="G72" s="17" t="inlineStr">
        <is>
          <t>-1.995 SOL</t>
        </is>
      </c>
      <c r="H72" s="17" t="inlineStr">
        <is>
          <t>0.00%</t>
        </is>
      </c>
      <c r="I72" s="16" t="inlineStr">
        <is>
          <t>640,175</t>
        </is>
      </c>
      <c r="J72" s="16" t="n">
        <v>1</v>
      </c>
      <c r="K72" s="16" t="n">
        <v>0</v>
      </c>
      <c r="L72" s="16" t="inlineStr">
        <is>
          <t>21.09.2024 22:50:14</t>
        </is>
      </c>
      <c r="M72" s="18" t="inlineStr">
        <is>
          <t>0 sec</t>
        </is>
      </c>
      <c r="N72" s="16" t="inlineStr">
        <is>
          <t xml:space="preserve">        543K           543K            44K</t>
        </is>
      </c>
      <c r="O72" s="16" t="inlineStr">
        <is>
          <t>9BdNZzYLuKeiN892zvz84B7X9JHgcaMH3ANHpDU2pump</t>
        </is>
      </c>
      <c r="P72" s="16">
        <f>HYPERLINK("https://dexscreener.com/solana/9BdNZzYLuKeiN892zvz84B7X9JHgcaMH3ANHpDU2pump", "View")</f>
        <v/>
      </c>
    </row>
    <row r="73">
      <c r="A73" s="19" t="inlineStr">
        <is>
          <t xml:space="preserve">zork </t>
        </is>
      </c>
      <c r="B73" s="20" t="n">
        <v>2209690</v>
      </c>
      <c r="C73" s="20" t="n">
        <v>0</v>
      </c>
      <c r="D73" s="20" t="inlineStr">
        <is>
          <t>0.015000</t>
        </is>
      </c>
      <c r="E73" s="20" t="inlineStr">
        <is>
          <t>0.990 SOL</t>
        </is>
      </c>
      <c r="F73" s="20" t="inlineStr">
        <is>
          <t>0.000 SOL</t>
        </is>
      </c>
      <c r="G73" s="17" t="inlineStr">
        <is>
          <t>-1.005 SOL</t>
        </is>
      </c>
      <c r="H73" s="17" t="inlineStr">
        <is>
          <t>0.00%</t>
        </is>
      </c>
      <c r="I73" s="20" t="inlineStr">
        <is>
          <t>2,209,690</t>
        </is>
      </c>
      <c r="J73" s="20" t="n">
        <v>1</v>
      </c>
      <c r="K73" s="20" t="n">
        <v>0</v>
      </c>
      <c r="L73" s="20" t="inlineStr">
        <is>
          <t>21.09.2024 21:24:51</t>
        </is>
      </c>
      <c r="M73" s="18" t="inlineStr">
        <is>
          <t>0 sec</t>
        </is>
      </c>
      <c r="N73" s="20" t="inlineStr">
        <is>
          <t xml:space="preserve">         79K            79K             3K</t>
        </is>
      </c>
      <c r="O73" s="20" t="inlineStr">
        <is>
          <t>Adbj4DPuvDnhQjZAWHaQqtT6YSsLhiJJe2BpwN2xpump</t>
        </is>
      </c>
      <c r="P73" s="20">
        <f>HYPERLINK("https://dexscreener.com/solana/Adbj4DPuvDnhQjZAWHaQqtT6YSsLhiJJe2BpwN2xpump", "View")</f>
        <v/>
      </c>
    </row>
    <row r="74">
      <c r="A74" s="15" t="inlineStr">
        <is>
          <t>ZABOO</t>
        </is>
      </c>
      <c r="B74" s="16" t="n">
        <v>342005</v>
      </c>
      <c r="C74" s="16" t="n">
        <v>0</v>
      </c>
      <c r="D74" s="16" t="inlineStr">
        <is>
          <t>0.015000</t>
        </is>
      </c>
      <c r="E74" s="16" t="inlineStr">
        <is>
          <t>0.976 SOL</t>
        </is>
      </c>
      <c r="F74" s="16" t="inlineStr">
        <is>
          <t>0.000 SOL</t>
        </is>
      </c>
      <c r="G74" s="17" t="inlineStr">
        <is>
          <t>-0.991 SOL</t>
        </is>
      </c>
      <c r="H74" s="17" t="inlineStr">
        <is>
          <t>0.00%</t>
        </is>
      </c>
      <c r="I74" s="16" t="inlineStr">
        <is>
          <t>342,005</t>
        </is>
      </c>
      <c r="J74" s="16" t="n">
        <v>1</v>
      </c>
      <c r="K74" s="16" t="n">
        <v>0</v>
      </c>
      <c r="L74" s="16" t="inlineStr">
        <is>
          <t>12.09.2024 13:28:22</t>
        </is>
      </c>
      <c r="M74" s="18" t="inlineStr">
        <is>
          <t>0 sec</t>
        </is>
      </c>
      <c r="N74" s="16" t="inlineStr">
        <is>
          <t xml:space="preserve">        488K           488K             9K</t>
        </is>
      </c>
      <c r="O74" s="16" t="inlineStr">
        <is>
          <t>xxQkxSQyhwwm2nVSeu2U8WGJbR3s3rVKq5EUycoDzaz</t>
        </is>
      </c>
      <c r="P74" s="16">
        <f>HYPERLINK("https://dexscreener.com/solana/xxQkxSQyhwwm2nVSeu2U8WGJbR3s3rVKq5EUycoDzaz", "View")</f>
        <v/>
      </c>
    </row>
    <row r="75">
      <c r="A75" s="19" t="inlineStr">
        <is>
          <t>MAIN</t>
        </is>
      </c>
      <c r="B75" s="20" t="n">
        <v>551982</v>
      </c>
      <c r="C75" s="20" t="n">
        <v>551982</v>
      </c>
      <c r="D75" s="20" t="inlineStr">
        <is>
          <t>0.025010</t>
        </is>
      </c>
      <c r="E75" s="20" t="inlineStr">
        <is>
          <t>0.247 SOL</t>
        </is>
      </c>
      <c r="F75" s="20" t="inlineStr">
        <is>
          <t>0.203 SOL</t>
        </is>
      </c>
      <c r="G75" s="21" t="inlineStr">
        <is>
          <t>-0.069 SOL</t>
        </is>
      </c>
      <c r="H75" s="21" t="inlineStr">
        <is>
          <t>-25.49%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05.09.2024 18:09:51</t>
        </is>
      </c>
      <c r="M75" s="18" t="inlineStr">
        <is>
          <t>55 sec</t>
        </is>
      </c>
      <c r="N75" s="20" t="inlineStr">
        <is>
          <t xml:space="preserve">         79K            65K             5K</t>
        </is>
      </c>
      <c r="O75" s="20" t="inlineStr">
        <is>
          <t>H53fsLqf1ggxHauJKTE5krCS4fSum9uUhYUwEKtnsZD8</t>
        </is>
      </c>
      <c r="P75" s="20">
        <f>HYPERLINK("https://dexscreener.com/solana/H53fsLqf1ggxHauJKTE5krCS4fSum9uUhYUwEKtnsZD8", "View")</f>
        <v/>
      </c>
    </row>
    <row r="76">
      <c r="A76" s="15" t="inlineStr">
        <is>
          <t>RAISE</t>
        </is>
      </c>
      <c r="B76" s="16" t="n">
        <v>2191820</v>
      </c>
      <c r="C76" s="16" t="n">
        <v>1035351</v>
      </c>
      <c r="D76" s="16" t="inlineStr">
        <is>
          <t>0.040010</t>
        </is>
      </c>
      <c r="E76" s="16" t="inlineStr">
        <is>
          <t>2.970 SOL</t>
        </is>
      </c>
      <c r="F76" s="16" t="inlineStr">
        <is>
          <t>1.489 SOL</t>
        </is>
      </c>
      <c r="G76" s="24" t="inlineStr">
        <is>
          <t>-1.521 SOL</t>
        </is>
      </c>
      <c r="H76" s="24" t="inlineStr">
        <is>
          <t>-50.53%</t>
        </is>
      </c>
      <c r="I76" s="16" t="inlineStr">
        <is>
          <t>N/A</t>
        </is>
      </c>
      <c r="J76" s="16" t="n">
        <v>2</v>
      </c>
      <c r="K76" s="16" t="n">
        <v>1</v>
      </c>
      <c r="L76" s="16" t="inlineStr">
        <is>
          <t>05.09.2024 16:49:09</t>
        </is>
      </c>
      <c r="M76" s="16" t="inlineStr">
        <is>
          <t>15 min</t>
        </is>
      </c>
      <c r="N76" s="16" t="inlineStr">
        <is>
          <t xml:space="preserve">        258K           116K             5K</t>
        </is>
      </c>
      <c r="O76" s="16" t="inlineStr">
        <is>
          <t>BPR8v1XAQGzZGmcWjhBXfEJTYzhx6tDE8Sm9uL3Lpump</t>
        </is>
      </c>
      <c r="P76" s="16">
        <f>HYPERLINK("https://dexscreener.com/solana/BPR8v1XAQGzZGmcWjhBXfEJTYzhx6tDE8Sm9uL3Lpump", "View")</f>
        <v/>
      </c>
    </row>
    <row r="77">
      <c r="A77" s="19" t="inlineStr">
        <is>
          <t>Max</t>
        </is>
      </c>
      <c r="B77" s="20" t="n">
        <v>1481011</v>
      </c>
      <c r="C77" s="20" t="n">
        <v>1481011</v>
      </c>
      <c r="D77" s="20" t="inlineStr">
        <is>
          <t>0.025010</t>
        </is>
      </c>
      <c r="E77" s="20" t="inlineStr">
        <is>
          <t>0.527 SOL</t>
        </is>
      </c>
      <c r="F77" s="20" t="inlineStr">
        <is>
          <t>0.453 SOL</t>
        </is>
      </c>
      <c r="G77" s="21" t="inlineStr">
        <is>
          <t>-0.099 SOL</t>
        </is>
      </c>
      <c r="H77" s="21" t="inlineStr">
        <is>
          <t>-17.99%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04.09.2024 21:54:50</t>
        </is>
      </c>
      <c r="M77" s="18" t="inlineStr">
        <is>
          <t>18 sec</t>
        </is>
      </c>
      <c r="N77" s="20" t="inlineStr">
        <is>
          <t xml:space="preserve">         63K            54K             7K</t>
        </is>
      </c>
      <c r="O77" s="20" t="inlineStr">
        <is>
          <t>GeLn7odmPFaqJBAN5rmnTScLV22DQDMbGEMi3SEc3Veb</t>
        </is>
      </c>
      <c r="P77" s="20">
        <f>HYPERLINK("https://photon-sol.tinyastro.io/en/lp/GeLn7odmPFaqJBAN5rmnTScLV22DQDMbGEMi3SEc3Veb?handle=676050794bc1b1657a56b", "View")</f>
        <v/>
      </c>
    </row>
    <row r="78">
      <c r="A78" s="15" t="inlineStr">
        <is>
          <t>Market</t>
        </is>
      </c>
      <c r="B78" s="16" t="n">
        <v>3975952</v>
      </c>
      <c r="C78" s="16" t="n">
        <v>0</v>
      </c>
      <c r="D78" s="16" t="inlineStr">
        <is>
          <t>0.015000</t>
        </is>
      </c>
      <c r="E78" s="16" t="inlineStr">
        <is>
          <t>1.027 SOL</t>
        </is>
      </c>
      <c r="F78" s="16" t="inlineStr">
        <is>
          <t>0.000 SOL</t>
        </is>
      </c>
      <c r="G78" s="17" t="inlineStr">
        <is>
          <t>-1.042 SOL</t>
        </is>
      </c>
      <c r="H78" s="17" t="inlineStr">
        <is>
          <t>0.00%</t>
        </is>
      </c>
      <c r="I78" s="16" t="inlineStr">
        <is>
          <t>3,975,952</t>
        </is>
      </c>
      <c r="J78" s="16" t="n">
        <v>1</v>
      </c>
      <c r="K78" s="16" t="n">
        <v>0</v>
      </c>
      <c r="L78" s="16" t="inlineStr">
        <is>
          <t>02.09.2024 19:11:14</t>
        </is>
      </c>
      <c r="M78" s="18" t="inlineStr">
        <is>
          <t>0 sec</t>
        </is>
      </c>
      <c r="N78" s="16" t="inlineStr">
        <is>
          <t xml:space="preserve">        N/A           N/A           N/A</t>
        </is>
      </c>
      <c r="O78" s="16" t="inlineStr">
        <is>
          <t>4cUuxLQcR5A41AxhJP93kcguSx7uyGBCWzd4dHVVmSVC</t>
        </is>
      </c>
      <c r="P78" s="16">
        <f>HYPERLINK("https://photon-sol.tinyastro.io/en/lp/4cUuxLQcR5A41AxhJP93kcguSx7uyGBCWzd4dHVVmSVC?handle=676050794bc1b1657a56b", "View")</f>
        <v/>
      </c>
    </row>
    <row r="79">
      <c r="A79" s="19" t="inlineStr">
        <is>
          <t>toldedyou</t>
        </is>
      </c>
      <c r="B79" s="20" t="n">
        <v>3374980</v>
      </c>
      <c r="C79" s="20" t="n">
        <v>3374980</v>
      </c>
      <c r="D79" s="20" t="inlineStr">
        <is>
          <t>0.025010</t>
        </is>
      </c>
      <c r="E79" s="20" t="inlineStr">
        <is>
          <t>1.027 SOL</t>
        </is>
      </c>
      <c r="F79" s="20" t="inlineStr">
        <is>
          <t>0.902 SOL</t>
        </is>
      </c>
      <c r="G79" s="21" t="inlineStr">
        <is>
          <t>-0.150 SOL</t>
        </is>
      </c>
      <c r="H79" s="21" t="inlineStr">
        <is>
          <t>-14.23%</t>
        </is>
      </c>
      <c r="I79" s="20" t="inlineStr">
        <is>
          <t>N/A</t>
        </is>
      </c>
      <c r="J79" s="20" t="n">
        <v>1</v>
      </c>
      <c r="K79" s="20" t="n">
        <v>1</v>
      </c>
      <c r="L79" s="20" t="inlineStr">
        <is>
          <t>02.09.2024 16:04:36</t>
        </is>
      </c>
      <c r="M79" s="20" t="inlineStr">
        <is>
          <t>5 min</t>
        </is>
      </c>
      <c r="N79" s="20" t="inlineStr">
        <is>
          <t xml:space="preserve">         53K            47K             3K</t>
        </is>
      </c>
      <c r="O79" s="20" t="inlineStr">
        <is>
          <t>CRtfhAKZm4sp4Mf8RpkjGN5FKTqs3fuz9DyUFDfrpump</t>
        </is>
      </c>
      <c r="P79" s="20">
        <f>HYPERLINK("https://photon-sol.tinyastro.io/en/lp/CRtfhAKZm4sp4Mf8RpkjGN5FKTqs3fuz9DyUFDfrpump?handle=676050794bc1b1657a56b", "View")</f>
        <v/>
      </c>
    </row>
    <row r="80">
      <c r="A80" s="15" t="inlineStr">
        <is>
          <t>FIF</t>
        </is>
      </c>
      <c r="B80" s="16" t="n">
        <v>137194</v>
      </c>
      <c r="C80" s="16" t="n">
        <v>137194</v>
      </c>
      <c r="D80" s="16" t="inlineStr">
        <is>
          <t>0.025010</t>
        </is>
      </c>
      <c r="E80" s="16" t="inlineStr">
        <is>
          <t>0.495 SOL</t>
        </is>
      </c>
      <c r="F80" s="16" t="inlineStr">
        <is>
          <t>0.057 SOL</t>
        </is>
      </c>
      <c r="G80" s="24" t="inlineStr">
        <is>
          <t>-0.463 SOL</t>
        </is>
      </c>
      <c r="H80" s="24" t="inlineStr">
        <is>
          <t>-88.98%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01.09.2024 23:06:39</t>
        </is>
      </c>
      <c r="M80" s="16" t="inlineStr">
        <is>
          <t>5 days</t>
        </is>
      </c>
      <c r="N80" s="16" t="inlineStr">
        <is>
          <t xml:space="preserve">        155K            18K            13K</t>
        </is>
      </c>
      <c r="O80" s="16" t="inlineStr">
        <is>
          <t>5HP6g8FF4Za7J3GD5YLN1p46QbycJLoBct8UneRvNUT</t>
        </is>
      </c>
      <c r="P80" s="16">
        <f>HYPERLINK("https://dexscreener.com/solana/5HP6g8FF4Za7J3GD5YLN1p46QbycJLoBct8UneRvNUT", "View")</f>
        <v/>
      </c>
    </row>
    <row r="81">
      <c r="A81" s="19" t="inlineStr">
        <is>
          <t>milk</t>
        </is>
      </c>
      <c r="B81" s="20" t="n">
        <v>3720696</v>
      </c>
      <c r="C81" s="20" t="n">
        <v>3720696</v>
      </c>
      <c r="D81" s="20" t="inlineStr">
        <is>
          <t>0.035010</t>
        </is>
      </c>
      <c r="E81" s="20" t="inlineStr">
        <is>
          <t>0.527 SOL</t>
        </is>
      </c>
      <c r="F81" s="20" t="inlineStr">
        <is>
          <t>0.532 SOL</t>
        </is>
      </c>
      <c r="G81" s="21" t="inlineStr">
        <is>
          <t>-0.030 SOL</t>
        </is>
      </c>
      <c r="H81" s="21" t="inlineStr">
        <is>
          <t>-5.36%</t>
        </is>
      </c>
      <c r="I81" s="20" t="inlineStr">
        <is>
          <t>N/A</t>
        </is>
      </c>
      <c r="J81" s="20" t="n">
        <v>1</v>
      </c>
      <c r="K81" s="20" t="n">
        <v>2</v>
      </c>
      <c r="L81" s="20" t="inlineStr">
        <is>
          <t>01.09.2024 23:06:11</t>
        </is>
      </c>
      <c r="M81" s="20" t="inlineStr">
        <is>
          <t>18 days</t>
        </is>
      </c>
      <c r="N81" s="20" t="inlineStr">
        <is>
          <t xml:space="preserve">         25K             4K             4K</t>
        </is>
      </c>
      <c r="O81" s="20" t="inlineStr">
        <is>
          <t>m9BP1LFxi47HckLSBzFMXCN7WYmBg5XmJxNsRiwpump</t>
        </is>
      </c>
      <c r="P81" s="20">
        <f>HYPERLINK("https://photon-sol.tinyastro.io/en/lp/m9BP1LFxi47HckLSBzFMXCN7WYmBg5XmJxNsRiwpump?handle=676050794bc1b1657a56b", "View")</f>
        <v/>
      </c>
    </row>
    <row r="82">
      <c r="A82" s="15" t="inlineStr">
        <is>
          <t>STEVE</t>
        </is>
      </c>
      <c r="B82" s="16" t="n">
        <v>3571966</v>
      </c>
      <c r="C82" s="16" t="n">
        <v>3571966</v>
      </c>
      <c r="D82" s="16" t="inlineStr">
        <is>
          <t>0.025010</t>
        </is>
      </c>
      <c r="E82" s="16" t="inlineStr">
        <is>
          <t>0.277 SOL</t>
        </is>
      </c>
      <c r="F82" s="16" t="inlineStr">
        <is>
          <t>0.079 SOL</t>
        </is>
      </c>
      <c r="G82" s="24" t="inlineStr">
        <is>
          <t>-0.223 SOL</t>
        </is>
      </c>
      <c r="H82" s="24" t="inlineStr">
        <is>
          <t>-73.89%</t>
        </is>
      </c>
      <c r="I82" s="16" t="inlineStr">
        <is>
          <t>N/A</t>
        </is>
      </c>
      <c r="J82" s="16" t="n">
        <v>1</v>
      </c>
      <c r="K82" s="16" t="n">
        <v>1</v>
      </c>
      <c r="L82" s="16" t="inlineStr">
        <is>
          <t>01.09.2024 23:05:52</t>
        </is>
      </c>
      <c r="M82" s="16" t="inlineStr">
        <is>
          <t>25 days</t>
        </is>
      </c>
      <c r="N82" s="16" t="inlineStr">
        <is>
          <t xml:space="preserve">        N/A           N/A           N/A</t>
        </is>
      </c>
      <c r="O82" s="16" t="inlineStr">
        <is>
          <t>ArGoHtx3xADNqKWurCvXqqKVDpSiNJTLCj5At5kgpump</t>
        </is>
      </c>
      <c r="P82" s="16">
        <f>HYPERLINK("https://photon-sol.tinyastro.io/en/lp/ArGoHtx3xADNqKWurCvXqqKVDpSiNJTLCj5At5kgpump?handle=676050794bc1b1657a56b", "View")</f>
        <v/>
      </c>
    </row>
    <row r="83">
      <c r="A83" s="19" t="inlineStr">
        <is>
          <t>SIT</t>
        </is>
      </c>
      <c r="B83" s="20" t="n">
        <v>3585797</v>
      </c>
      <c r="C83" s="20" t="n">
        <v>3585797</v>
      </c>
      <c r="D83" s="20" t="inlineStr">
        <is>
          <t>0.025010</t>
        </is>
      </c>
      <c r="E83" s="20" t="inlineStr">
        <is>
          <t>0.527 SOL</t>
        </is>
      </c>
      <c r="F83" s="20" t="inlineStr">
        <is>
          <t>0.081 SOL</t>
        </is>
      </c>
      <c r="G83" s="24" t="inlineStr">
        <is>
          <t>-0.471 SOL</t>
        </is>
      </c>
      <c r="H83" s="24" t="inlineStr">
        <is>
          <t>-85.37%</t>
        </is>
      </c>
      <c r="I83" s="20" t="inlineStr">
        <is>
          <t>N/A</t>
        </is>
      </c>
      <c r="J83" s="20" t="n">
        <v>1</v>
      </c>
      <c r="K83" s="20" t="n">
        <v>1</v>
      </c>
      <c r="L83" s="20" t="inlineStr">
        <is>
          <t>01.09.2024 23:05:43</t>
        </is>
      </c>
      <c r="M83" s="20" t="inlineStr">
        <is>
          <t>22 days</t>
        </is>
      </c>
      <c r="N83" s="20" t="inlineStr">
        <is>
          <t xml:space="preserve">        N/A           N/A           N/A</t>
        </is>
      </c>
      <c r="O83" s="20" t="inlineStr">
        <is>
          <t>5nreWgEWjWBCsa9wvrhXrRfJGFQDALgpkMYT3XLQpump</t>
        </is>
      </c>
      <c r="P83" s="20">
        <f>HYPERLINK("https://photon-sol.tinyastro.io/en/lp/5nreWgEWjWBCsa9wvrhXrRfJGFQDALgpkMYT3XLQpump?handle=676050794bc1b1657a56b", "View")</f>
        <v/>
      </c>
    </row>
    <row r="84">
      <c r="A84" s="15" t="inlineStr">
        <is>
          <t>360</t>
        </is>
      </c>
      <c r="B84" s="16" t="n">
        <v>3934891</v>
      </c>
      <c r="C84" s="16" t="n">
        <v>3934891</v>
      </c>
      <c r="D84" s="16" t="inlineStr">
        <is>
          <t>0.025010</t>
        </is>
      </c>
      <c r="E84" s="16" t="inlineStr">
        <is>
          <t>0.527 SOL</t>
        </is>
      </c>
      <c r="F84" s="16" t="inlineStr">
        <is>
          <t>0.088 SOL</t>
        </is>
      </c>
      <c r="G84" s="24" t="inlineStr">
        <is>
          <t>-0.464 SOL</t>
        </is>
      </c>
      <c r="H84" s="24" t="inlineStr">
        <is>
          <t>-83.97%</t>
        </is>
      </c>
      <c r="I84" s="16" t="inlineStr">
        <is>
          <t>N/A</t>
        </is>
      </c>
      <c r="J84" s="16" t="n">
        <v>1</v>
      </c>
      <c r="K84" s="16" t="n">
        <v>1</v>
      </c>
      <c r="L84" s="16" t="inlineStr">
        <is>
          <t>01.09.2024 23:05:23</t>
        </is>
      </c>
      <c r="M84" s="16" t="inlineStr">
        <is>
          <t>23 days</t>
        </is>
      </c>
      <c r="N84" s="16" t="inlineStr">
        <is>
          <t xml:space="preserve">        N/A           N/A           N/A</t>
        </is>
      </c>
      <c r="O84" s="16" t="inlineStr">
        <is>
          <t>GkbiFcEdKJJCya7mknHdodDCgFLvgMxVVgvVwcdxpump</t>
        </is>
      </c>
      <c r="P84" s="16">
        <f>HYPERLINK("https://photon-sol.tinyastro.io/en/lp/GkbiFcEdKJJCya7mknHdodDCgFLvgMxVVgvVwcdxpump?handle=676050794bc1b1657a56b", "View")</f>
        <v/>
      </c>
    </row>
    <row r="85">
      <c r="A85" s="19" t="inlineStr">
        <is>
          <t>fomo3d.fun</t>
        </is>
      </c>
      <c r="B85" s="20" t="n">
        <v>2011832</v>
      </c>
      <c r="C85" s="20" t="n">
        <v>2011832</v>
      </c>
      <c r="D85" s="20" t="inlineStr">
        <is>
          <t>0.045020</t>
        </is>
      </c>
      <c r="E85" s="20" t="inlineStr">
        <is>
          <t>0.990 SOL</t>
        </is>
      </c>
      <c r="F85" s="20" t="inlineStr">
        <is>
          <t>3.613 SOL</t>
        </is>
      </c>
      <c r="G85" s="23" t="inlineStr">
        <is>
          <t>2.578 SOL</t>
        </is>
      </c>
      <c r="H85" s="23" t="inlineStr">
        <is>
          <t>249.08%</t>
        </is>
      </c>
      <c r="I85" s="20" t="inlineStr">
        <is>
          <t>N/A</t>
        </is>
      </c>
      <c r="J85" s="20" t="n">
        <v>1</v>
      </c>
      <c r="K85" s="20" t="n">
        <v>3</v>
      </c>
      <c r="L85" s="20" t="inlineStr">
        <is>
          <t>01.09.2024 23:05:05</t>
        </is>
      </c>
      <c r="M85" s="20" t="inlineStr">
        <is>
          <t>1 days</t>
        </is>
      </c>
      <c r="N85" s="20" t="inlineStr">
        <is>
          <t xml:space="preserve">         85K           303K             8M</t>
        </is>
      </c>
      <c r="O85" s="20" t="inlineStr">
        <is>
          <t>BQpGv6LVWG1JRm1NdjerNSFdChMdAULJr3x9t2Swpump</t>
        </is>
      </c>
      <c r="P85" s="20">
        <f>HYPERLINK("https://dexscreener.com/solana/BQpGv6LVWG1JRm1NdjerNSFdChMdAULJr3x9t2Swpump", "View")</f>
        <v/>
      </c>
    </row>
    <row r="86">
      <c r="A86" s="15" t="inlineStr">
        <is>
          <t>ROOM</t>
        </is>
      </c>
      <c r="B86" s="16" t="n">
        <v>1575609</v>
      </c>
      <c r="C86" s="16" t="n">
        <v>1575609</v>
      </c>
      <c r="D86" s="16" t="inlineStr">
        <is>
          <t>0.045020</t>
        </is>
      </c>
      <c r="E86" s="16" t="inlineStr">
        <is>
          <t>0.527 SOL</t>
        </is>
      </c>
      <c r="F86" s="16" t="inlineStr">
        <is>
          <t>2.915 SOL</t>
        </is>
      </c>
      <c r="G86" s="23" t="inlineStr">
        <is>
          <t>2.343 SOL</t>
        </is>
      </c>
      <c r="H86" s="23" t="inlineStr">
        <is>
          <t>409.62%</t>
        </is>
      </c>
      <c r="I86" s="16" t="inlineStr">
        <is>
          <t>N/A</t>
        </is>
      </c>
      <c r="J86" s="16" t="n">
        <v>1</v>
      </c>
      <c r="K86" s="16" t="n">
        <v>3</v>
      </c>
      <c r="L86" s="16" t="inlineStr">
        <is>
          <t>01.09.2024 23:04:51</t>
        </is>
      </c>
      <c r="M86" s="16" t="inlineStr">
        <is>
          <t>5 hours</t>
        </is>
      </c>
      <c r="N86" s="16" t="inlineStr">
        <is>
          <t xml:space="preserve">         58K           181K             5K</t>
        </is>
      </c>
      <c r="O86" s="16" t="inlineStr">
        <is>
          <t>ASorhNHg9hxcAWpBpHMGBxWaCfpnXjUJWjKAe4ofpump</t>
        </is>
      </c>
      <c r="P86" s="16">
        <f>HYPERLINK("https://photon-sol.tinyastro.io/en/lp/ASorhNHg9hxcAWpBpHMGBxWaCfpnXjUJWjKAe4ofpump?handle=676050794bc1b1657a56b", "View")</f>
        <v/>
      </c>
    </row>
    <row r="87">
      <c r="A87" s="19" t="inlineStr">
        <is>
          <t>SCOUT</t>
        </is>
      </c>
      <c r="B87" s="20" t="n">
        <v>3600459</v>
      </c>
      <c r="C87" s="20" t="n">
        <v>1800230</v>
      </c>
      <c r="D87" s="20" t="inlineStr">
        <is>
          <t>0.025010</t>
        </is>
      </c>
      <c r="E87" s="20" t="inlineStr">
        <is>
          <t>0.527 SOL</t>
        </is>
      </c>
      <c r="F87" s="20" t="inlineStr">
        <is>
          <t>0.577 SOL</t>
        </is>
      </c>
      <c r="G87" s="22" t="inlineStr">
        <is>
          <t>0.025 SOL</t>
        </is>
      </c>
      <c r="H87" s="22" t="inlineStr">
        <is>
          <t>4.52%</t>
        </is>
      </c>
      <c r="I87" s="20" t="inlineStr">
        <is>
          <t>N/A</t>
        </is>
      </c>
      <c r="J87" s="20" t="n">
        <v>1</v>
      </c>
      <c r="K87" s="20" t="n">
        <v>1</v>
      </c>
      <c r="L87" s="20" t="inlineStr">
        <is>
          <t>01.09.2024 12:44:27</t>
        </is>
      </c>
      <c r="M87" s="20" t="inlineStr">
        <is>
          <t>15 min</t>
        </is>
      </c>
      <c r="N87" s="20" t="inlineStr">
        <is>
          <t xml:space="preserve">         26K            56K             3K</t>
        </is>
      </c>
      <c r="O87" s="20" t="inlineStr">
        <is>
          <t>2RC9NYhciWFnonvM4wv4zyz8CLJrS48yySmurGsqpump</t>
        </is>
      </c>
      <c r="P87" s="20">
        <f>HYPERLINK("https://photon-sol.tinyastro.io/en/lp/2RC9NYhciWFnonvM4wv4zyz8CLJrS48yySmurGsqpump?handle=676050794bc1b1657a56b", "View")</f>
        <v/>
      </c>
    </row>
    <row r="88">
      <c r="A88" s="15" t="inlineStr">
        <is>
          <t>MUMAN</t>
        </is>
      </c>
      <c r="B88" s="16" t="n">
        <v>225455</v>
      </c>
      <c r="C88" s="16" t="n">
        <v>0</v>
      </c>
      <c r="D88" s="16" t="inlineStr">
        <is>
          <t>0.015000</t>
        </is>
      </c>
      <c r="E88" s="16" t="inlineStr">
        <is>
          <t>0.495 SOL</t>
        </is>
      </c>
      <c r="F88" s="16" t="inlineStr">
        <is>
          <t>0.000 SOL</t>
        </is>
      </c>
      <c r="G88" s="17" t="inlineStr">
        <is>
          <t>-0.510 SOL</t>
        </is>
      </c>
      <c r="H88" s="17" t="inlineStr">
        <is>
          <t>0.00%</t>
        </is>
      </c>
      <c r="I88" s="16" t="inlineStr">
        <is>
          <t>225,455</t>
        </is>
      </c>
      <c r="J88" s="16" t="n">
        <v>1</v>
      </c>
      <c r="K88" s="16" t="n">
        <v>0</v>
      </c>
      <c r="L88" s="16" t="inlineStr">
        <is>
          <t>29.08.2024 22:23:35</t>
        </is>
      </c>
      <c r="M88" s="18" t="inlineStr">
        <is>
          <t>0 sec</t>
        </is>
      </c>
      <c r="N88" s="16" t="inlineStr">
        <is>
          <t xml:space="preserve">        309K           309K             5K</t>
        </is>
      </c>
      <c r="O88" s="16" t="inlineStr">
        <is>
          <t>mumVJ1xG5P1rkPvaqrPd5eWBqGQWW9ubtq7nykQrdvH</t>
        </is>
      </c>
      <c r="P88" s="16">
        <f>HYPERLINK("https://dexscreener.com/solana/mumVJ1xG5P1rkPvaqrPd5eWBqGQWW9ubtq7nykQrdvH", "View")</f>
        <v/>
      </c>
    </row>
    <row r="89">
      <c r="A89" s="19" t="inlineStr">
        <is>
          <t>$bil</t>
        </is>
      </c>
      <c r="B89" s="20" t="n">
        <v>9539774</v>
      </c>
      <c r="C89" s="20" t="n">
        <v>9539774</v>
      </c>
      <c r="D89" s="20" t="inlineStr">
        <is>
          <t>0.035010</t>
        </is>
      </c>
      <c r="E89" s="20" t="inlineStr">
        <is>
          <t>1.027 SOL</t>
        </is>
      </c>
      <c r="F89" s="20" t="inlineStr">
        <is>
          <t>1.907 SOL</t>
        </is>
      </c>
      <c r="G89" s="23" t="inlineStr">
        <is>
          <t>0.844 SOL</t>
        </is>
      </c>
      <c r="H89" s="23" t="inlineStr">
        <is>
          <t>79.51%</t>
        </is>
      </c>
      <c r="I89" s="20" t="inlineStr">
        <is>
          <t>N/A</t>
        </is>
      </c>
      <c r="J89" s="20" t="n">
        <v>1</v>
      </c>
      <c r="K89" s="20" t="n">
        <v>2</v>
      </c>
      <c r="L89" s="20" t="inlineStr">
        <is>
          <t>29.08.2024 21:28:28</t>
        </is>
      </c>
      <c r="M89" s="20" t="inlineStr">
        <is>
          <t>12 min</t>
        </is>
      </c>
      <c r="N89" s="20" t="inlineStr">
        <is>
          <t xml:space="preserve">        N/A           N/A           N/A</t>
        </is>
      </c>
      <c r="O89" s="20" t="inlineStr">
        <is>
          <t>4EzuFYBMCSQs3bgtjAgR2tA7BJRYyoa1E83YtBjQpump</t>
        </is>
      </c>
      <c r="P89" s="20">
        <f>HYPERLINK("https://photon-sol.tinyastro.io/en/lp/4EzuFYBMCSQs3bgtjAgR2tA7BJRYyoa1E83YtBjQpump?handle=676050794bc1b1657a56b", "View")</f>
        <v/>
      </c>
    </row>
    <row r="90">
      <c r="A90" s="15" t="inlineStr">
        <is>
          <t>Brotty</t>
        </is>
      </c>
      <c r="B90" s="16" t="n">
        <v>2337510</v>
      </c>
      <c r="C90" s="16" t="n">
        <v>2337510</v>
      </c>
      <c r="D90" s="16" t="inlineStr">
        <is>
          <t>0.035010</t>
        </is>
      </c>
      <c r="E90" s="16" t="inlineStr">
        <is>
          <t>1.980 SOL</t>
        </is>
      </c>
      <c r="F90" s="16" t="inlineStr">
        <is>
          <t>2.931 SOL</t>
        </is>
      </c>
      <c r="G90" s="22" t="inlineStr">
        <is>
          <t>0.916 SOL</t>
        </is>
      </c>
      <c r="H90" s="22" t="inlineStr">
        <is>
          <t>45.44%</t>
        </is>
      </c>
      <c r="I90" s="16" t="inlineStr">
        <is>
          <t>N/A</t>
        </is>
      </c>
      <c r="J90" s="16" t="n">
        <v>1</v>
      </c>
      <c r="K90" s="16" t="n">
        <v>2</v>
      </c>
      <c r="L90" s="16" t="inlineStr">
        <is>
          <t>29.08.2024 19:01:11</t>
        </is>
      </c>
      <c r="M90" s="16" t="inlineStr">
        <is>
          <t>37 min</t>
        </is>
      </c>
      <c r="N90" s="16" t="inlineStr">
        <is>
          <t xml:space="preserve">        149K           133K             4K</t>
        </is>
      </c>
      <c r="O90" s="16" t="inlineStr">
        <is>
          <t>4FfQt1aTyarX3wLDBW1J42LAnuG8QyEhZuWY43dGpump</t>
        </is>
      </c>
      <c r="P90" s="16">
        <f>HYPERLINK("https://dexscreener.com/solana/4FfQt1aTyarX3wLDBW1J42LAnuG8QyEhZuWY43dGpump", "View")</f>
        <v/>
      </c>
    </row>
    <row r="91">
      <c r="A91" s="19" t="inlineStr">
        <is>
          <t>6ix9ine</t>
        </is>
      </c>
      <c r="B91" s="20" t="n">
        <v>215229</v>
      </c>
      <c r="C91" s="20" t="n">
        <v>215229</v>
      </c>
      <c r="D91" s="20" t="inlineStr">
        <is>
          <t>0.025010</t>
        </is>
      </c>
      <c r="E91" s="20" t="inlineStr">
        <is>
          <t>0.247 SOL</t>
        </is>
      </c>
      <c r="F91" s="20" t="inlineStr">
        <is>
          <t>0.093 SOL</t>
        </is>
      </c>
      <c r="G91" s="24" t="inlineStr">
        <is>
          <t>-0.179 SOL</t>
        </is>
      </c>
      <c r="H91" s="24" t="inlineStr">
        <is>
          <t>-65.71%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29.08.2024 17:51:28</t>
        </is>
      </c>
      <c r="M91" s="20" t="inlineStr">
        <is>
          <t>1 min</t>
        </is>
      </c>
      <c r="N91" s="20" t="inlineStr">
        <is>
          <t xml:space="preserve">        202K            75K             3K</t>
        </is>
      </c>
      <c r="O91" s="20" t="inlineStr">
        <is>
          <t>xptSvDzZX4H7kVUKvfhZ9kGRTxzJY4rxdBeaoxEBBWx</t>
        </is>
      </c>
      <c r="P91" s="20">
        <f>HYPERLINK("https://dexscreener.com/solana/xptSvDzZX4H7kVUKvfhZ9kGRTxzJY4rxdBeaoxEBBWx", "View")</f>
        <v/>
      </c>
    </row>
    <row r="92">
      <c r="A92" s="15" t="inlineStr">
        <is>
          <t>png</t>
        </is>
      </c>
      <c r="B92" s="16" t="n">
        <v>4557499</v>
      </c>
      <c r="C92" s="16" t="n">
        <v>4557499</v>
      </c>
      <c r="D92" s="16" t="inlineStr">
        <is>
          <t>0.025010</t>
        </is>
      </c>
      <c r="E92" s="16" t="inlineStr">
        <is>
          <t>0.277 SOL</t>
        </is>
      </c>
      <c r="F92" s="16" t="inlineStr">
        <is>
          <t>0.105 SOL</t>
        </is>
      </c>
      <c r="G92" s="24" t="inlineStr">
        <is>
          <t>-0.197 SOL</t>
        </is>
      </c>
      <c r="H92" s="24" t="inlineStr">
        <is>
          <t>-65.07%</t>
        </is>
      </c>
      <c r="I92" s="16" t="inlineStr">
        <is>
          <t>N/A</t>
        </is>
      </c>
      <c r="J92" s="16" t="n">
        <v>1</v>
      </c>
      <c r="K92" s="16" t="n">
        <v>1</v>
      </c>
      <c r="L92" s="16" t="inlineStr">
        <is>
          <t>29.08.2024 15:42:35</t>
        </is>
      </c>
      <c r="M92" s="16" t="inlineStr">
        <is>
          <t>19 days</t>
        </is>
      </c>
      <c r="N92" s="16" t="inlineStr">
        <is>
          <t xml:space="preserve">        N/A           N/A           N/A</t>
        </is>
      </c>
      <c r="O92" s="16" t="inlineStr">
        <is>
          <t>DbcBrUKGvdP4FFw41mNzQg3W5R6XzsZDqLpskys8pump</t>
        </is>
      </c>
      <c r="P92" s="16">
        <f>HYPERLINK("https://photon-sol.tinyastro.io/en/lp/DbcBrUKGvdP4FFw41mNzQg3W5R6XzsZDqLpskys8pump?handle=676050794bc1b1657a56b", "View")</f>
        <v/>
      </c>
    </row>
    <row r="93">
      <c r="A93" s="19" t="inlineStr">
        <is>
          <t>MUGPUG</t>
        </is>
      </c>
      <c r="B93" s="20" t="n">
        <v>3509005</v>
      </c>
      <c r="C93" s="20" t="n">
        <v>3509005</v>
      </c>
      <c r="D93" s="20" t="inlineStr">
        <is>
          <t>0.040010</t>
        </is>
      </c>
      <c r="E93" s="20" t="inlineStr">
        <is>
          <t>0.552 SOL</t>
        </is>
      </c>
      <c r="F93" s="20" t="inlineStr">
        <is>
          <t>0.139 SOL</t>
        </is>
      </c>
      <c r="G93" s="24" t="inlineStr">
        <is>
          <t>-0.453 SOL</t>
        </is>
      </c>
      <c r="H93" s="24" t="inlineStr">
        <is>
          <t>-76.50%</t>
        </is>
      </c>
      <c r="I93" s="20" t="inlineStr">
        <is>
          <t>N/A</t>
        </is>
      </c>
      <c r="J93" s="20" t="n">
        <v>2</v>
      </c>
      <c r="K93" s="20" t="n">
        <v>1</v>
      </c>
      <c r="L93" s="20" t="inlineStr">
        <is>
          <t>28.08.2024 18:20:40</t>
        </is>
      </c>
      <c r="M93" s="20" t="inlineStr">
        <is>
          <t>40 min</t>
        </is>
      </c>
      <c r="N93" s="20" t="inlineStr">
        <is>
          <t xml:space="preserve">        N/A           N/A           N/A</t>
        </is>
      </c>
      <c r="O93" s="20" t="inlineStr">
        <is>
          <t>5gg5GPggA2Qkq71k5qSXbQTT9Ns9eCmFLnJTbngACmVC</t>
        </is>
      </c>
      <c r="P93" s="20">
        <f>HYPERLINK("https://photon-sol.tinyastro.io/en/lp/5gg5GPggA2Qkq71k5qSXbQTT9Ns9eCmFLnJTbngACmVC?handle=676050794bc1b1657a56b", "View")</f>
        <v/>
      </c>
    </row>
    <row r="94">
      <c r="A94" s="15" t="inlineStr">
        <is>
          <t>maxi</t>
        </is>
      </c>
      <c r="B94" s="16" t="n">
        <v>3193057</v>
      </c>
      <c r="C94" s="16" t="n">
        <v>3193057</v>
      </c>
      <c r="D94" s="16" t="inlineStr">
        <is>
          <t>0.045020</t>
        </is>
      </c>
      <c r="E94" s="16" t="inlineStr">
        <is>
          <t>0.527 SOL</t>
        </is>
      </c>
      <c r="F94" s="16" t="inlineStr">
        <is>
          <t>0.725 SOL</t>
        </is>
      </c>
      <c r="G94" s="22" t="inlineStr">
        <is>
          <t>0.153 SOL</t>
        </is>
      </c>
      <c r="H94" s="22" t="inlineStr">
        <is>
          <t>26.75%</t>
        </is>
      </c>
      <c r="I94" s="16" t="inlineStr">
        <is>
          <t>N/A</t>
        </is>
      </c>
      <c r="J94" s="16" t="n">
        <v>1</v>
      </c>
      <c r="K94" s="16" t="n">
        <v>3</v>
      </c>
      <c r="L94" s="16" t="inlineStr">
        <is>
          <t>28.08.2024 18:20:27</t>
        </is>
      </c>
      <c r="M94" s="16" t="inlineStr">
        <is>
          <t>23 hours</t>
        </is>
      </c>
      <c r="N94" s="16" t="inlineStr">
        <is>
          <t xml:space="preserve">         30K            19K             4K</t>
        </is>
      </c>
      <c r="O94" s="16" t="inlineStr">
        <is>
          <t>GuDubymNdXCo3b1VuQanw4tPxbC2TTEPQ9tWtkKNpump</t>
        </is>
      </c>
      <c r="P94" s="16">
        <f>HYPERLINK("https://photon-sol.tinyastro.io/en/lp/GuDubymNdXCo3b1VuQanw4tPxbC2TTEPQ9tWtkKNpump?handle=676050794bc1b1657a56b", "View")</f>
        <v/>
      </c>
    </row>
    <row r="95">
      <c r="A95" s="19" t="inlineStr">
        <is>
          <t>$Meowdy</t>
        </is>
      </c>
      <c r="B95" s="20" t="n">
        <v>8017220</v>
      </c>
      <c r="C95" s="20" t="n">
        <v>8017220</v>
      </c>
      <c r="D95" s="20" t="inlineStr">
        <is>
          <t>0.025010</t>
        </is>
      </c>
      <c r="E95" s="20" t="inlineStr">
        <is>
          <t>0.527 SOL</t>
        </is>
      </c>
      <c r="F95" s="20" t="inlineStr">
        <is>
          <t>0.206 SOL</t>
        </is>
      </c>
      <c r="G95" s="24" t="inlineStr">
        <is>
          <t>-0.346 SOL</t>
        </is>
      </c>
      <c r="H95" s="24" t="inlineStr">
        <is>
          <t>-62.70%</t>
        </is>
      </c>
      <c r="I95" s="20" t="inlineStr">
        <is>
          <t>N/A</t>
        </is>
      </c>
      <c r="J95" s="20" t="n">
        <v>1</v>
      </c>
      <c r="K95" s="20" t="n">
        <v>1</v>
      </c>
      <c r="L95" s="20" t="inlineStr">
        <is>
          <t>28.08.2024 18:20:15</t>
        </is>
      </c>
      <c r="M95" s="20" t="inlineStr">
        <is>
          <t>15 days</t>
        </is>
      </c>
      <c r="N95" s="20" t="inlineStr">
        <is>
          <t xml:space="preserve">        N/A           N/A           N/A</t>
        </is>
      </c>
      <c r="O95" s="20" t="inlineStr">
        <is>
          <t>6zXB6Yt5ds5hvPosxANUiwHMZP3dHeWwrDcnnEJCpump</t>
        </is>
      </c>
      <c r="P95" s="20">
        <f>HYPERLINK("https://photon-sol.tinyastro.io/en/lp/6zXB6Yt5ds5hvPosxANUiwHMZP3dHeWwrDcnnEJCpump?handle=676050794bc1b1657a56b", "View")</f>
        <v/>
      </c>
    </row>
    <row r="96">
      <c r="A96" s="15" t="inlineStr">
        <is>
          <t>DPR</t>
        </is>
      </c>
      <c r="B96" s="16" t="n">
        <v>157315</v>
      </c>
      <c r="C96" s="16" t="n">
        <v>0</v>
      </c>
      <c r="D96" s="16" t="inlineStr">
        <is>
          <t>0.015000</t>
        </is>
      </c>
      <c r="E96" s="16" t="inlineStr">
        <is>
          <t>0.495 SOL</t>
        </is>
      </c>
      <c r="F96" s="16" t="inlineStr">
        <is>
          <t>0.000 SOL</t>
        </is>
      </c>
      <c r="G96" s="17" t="inlineStr">
        <is>
          <t>-0.510 SOL</t>
        </is>
      </c>
      <c r="H96" s="17" t="inlineStr">
        <is>
          <t>0.00%</t>
        </is>
      </c>
      <c r="I96" s="16" t="inlineStr">
        <is>
          <t>157,315</t>
        </is>
      </c>
      <c r="J96" s="16" t="n">
        <v>1</v>
      </c>
      <c r="K96" s="16" t="n">
        <v>0</v>
      </c>
      <c r="L96" s="16" t="inlineStr">
        <is>
          <t>28.08.2024 16:07:57</t>
        </is>
      </c>
      <c r="M96" s="18" t="inlineStr">
        <is>
          <t>0 sec</t>
        </is>
      </c>
      <c r="N96" s="16" t="inlineStr">
        <is>
          <t xml:space="preserve">        553K           553K             4K</t>
        </is>
      </c>
      <c r="O96" s="16" t="inlineStr">
        <is>
          <t>9fkP1srvMkzqL98h6BsqWZojE9Q115RdS73MCEWWr1ft</t>
        </is>
      </c>
      <c r="P96" s="16">
        <f>HYPERLINK("https://dexscreener.com/solana/9fkP1srvMkzqL98h6BsqWZojE9Q115RdS73MCEWWr1ft", "View")</f>
        <v/>
      </c>
    </row>
    <row r="97">
      <c r="A97" s="19" t="inlineStr">
        <is>
          <t>xdog</t>
        </is>
      </c>
      <c r="B97" s="20" t="n">
        <v>350350</v>
      </c>
      <c r="C97" s="20" t="n">
        <v>140865</v>
      </c>
      <c r="D97" s="20" t="inlineStr">
        <is>
          <t>0.025010</t>
        </is>
      </c>
      <c r="E97" s="20" t="inlineStr">
        <is>
          <t>0.495 SOL</t>
        </is>
      </c>
      <c r="F97" s="20" t="inlineStr">
        <is>
          <t>0.494 SOL</t>
        </is>
      </c>
      <c r="G97" s="21" t="inlineStr">
        <is>
          <t>-0.026 SOL</t>
        </is>
      </c>
      <c r="H97" s="21" t="inlineStr">
        <is>
          <t>-5.00%</t>
        </is>
      </c>
      <c r="I97" s="20" t="inlineStr">
        <is>
          <t>N/A</t>
        </is>
      </c>
      <c r="J97" s="20" t="n">
        <v>1</v>
      </c>
      <c r="K97" s="20" t="n">
        <v>1</v>
      </c>
      <c r="L97" s="20" t="inlineStr">
        <is>
          <t>28.08.2024 15:24:21</t>
        </is>
      </c>
      <c r="M97" s="20" t="inlineStr">
        <is>
          <t>7 min</t>
        </is>
      </c>
      <c r="N97" s="20" t="inlineStr">
        <is>
          <t xml:space="preserve">        247K           616K             6K</t>
        </is>
      </c>
      <c r="O97" s="20" t="inlineStr">
        <is>
          <t>EhvToBy1T1ezY5R6RkZ6URgXCckmVGHCMXf8UwMmGX1z</t>
        </is>
      </c>
      <c r="P97" s="20">
        <f>HYPERLINK("https://dexscreener.com/solana/EhvToBy1T1ezY5R6RkZ6URgXCckmVGHCMXf8UwMmGX1z", "View")</f>
        <v/>
      </c>
    </row>
    <row r="98">
      <c r="A98" s="15" t="inlineStr">
        <is>
          <t>spikedog</t>
        </is>
      </c>
      <c r="B98" s="16" t="n">
        <v>989625</v>
      </c>
      <c r="C98" s="16" t="n">
        <v>989625</v>
      </c>
      <c r="D98" s="16" t="inlineStr">
        <is>
          <t>0.035010</t>
        </is>
      </c>
      <c r="E98" s="16" t="inlineStr">
        <is>
          <t>1.980 SOL</t>
        </is>
      </c>
      <c r="F98" s="16" t="inlineStr">
        <is>
          <t>2.114 SOL</t>
        </is>
      </c>
      <c r="G98" s="22" t="inlineStr">
        <is>
          <t>0.099 SOL</t>
        </is>
      </c>
      <c r="H98" s="22" t="inlineStr">
        <is>
          <t>4.93%</t>
        </is>
      </c>
      <c r="I98" s="16" t="inlineStr">
        <is>
          <t>N/A</t>
        </is>
      </c>
      <c r="J98" s="16" t="n">
        <v>1</v>
      </c>
      <c r="K98" s="16" t="n">
        <v>2</v>
      </c>
      <c r="L98" s="16" t="inlineStr">
        <is>
          <t>27.08.2024 22:01:39</t>
        </is>
      </c>
      <c r="M98" s="16" t="inlineStr">
        <is>
          <t>2 hours</t>
        </is>
      </c>
      <c r="N98" s="16" t="inlineStr">
        <is>
          <t xml:space="preserve">        351K           279K            24K</t>
        </is>
      </c>
      <c r="O98" s="16" t="inlineStr">
        <is>
          <t>5RPdyYBgVjddFfoau9dEzVwwBMjA727EPFVdPJVjpump</t>
        </is>
      </c>
      <c r="P98" s="16">
        <f>HYPERLINK("https://dexscreener.com/solana/5RPdyYBgVjddFfoau9dEzVwwBMjA727EPFVdPJVjpump", "View")</f>
        <v/>
      </c>
    </row>
    <row r="99">
      <c r="A99" s="19" t="inlineStr">
        <is>
          <t>fCAT</t>
        </is>
      </c>
      <c r="B99" s="20" t="n">
        <v>1243496</v>
      </c>
      <c r="C99" s="20" t="n">
        <v>1243496</v>
      </c>
      <c r="D99" s="20" t="inlineStr">
        <is>
          <t>0.020050</t>
        </is>
      </c>
      <c r="E99" s="20" t="inlineStr">
        <is>
          <t>0.468 SOL</t>
        </is>
      </c>
      <c r="F99" s="20" t="inlineStr">
        <is>
          <t>1.822 SOL</t>
        </is>
      </c>
      <c r="G99" s="23" t="inlineStr">
        <is>
          <t>1.334 SOL</t>
        </is>
      </c>
      <c r="H99" s="23" t="inlineStr">
        <is>
          <t>273.18%</t>
        </is>
      </c>
      <c r="I99" s="20" t="inlineStr">
        <is>
          <t>N/A</t>
        </is>
      </c>
      <c r="J99" s="20" t="n">
        <v>1</v>
      </c>
      <c r="K99" s="20" t="n">
        <v>2</v>
      </c>
      <c r="L99" s="20" t="inlineStr">
        <is>
          <t>27.08.2024 12:44:38</t>
        </is>
      </c>
      <c r="M99" s="20" t="inlineStr">
        <is>
          <t>1 hours</t>
        </is>
      </c>
      <c r="N99" s="20" t="inlineStr">
        <is>
          <t xml:space="preserve">         65K           213K             7K</t>
        </is>
      </c>
      <c r="O99" s="20" t="inlineStr">
        <is>
          <t>GBUwhRbCGEwdPRV7DJ6n6n1WWvtzNqy1C3C43NyEpump</t>
        </is>
      </c>
      <c r="P99" s="20">
        <f>HYPERLINK("https://photon-sol.tinyastro.io/en/lp/GBUwhRbCGEwdPRV7DJ6n6n1WWvtzNqy1C3C43NyEpump?handle=676050794bc1b1657a56b", "View")</f>
        <v/>
      </c>
    </row>
    <row r="100">
      <c r="A100" s="15" t="inlineStr">
        <is>
          <t xml:space="preserve">PE </t>
        </is>
      </c>
      <c r="B100" s="16" t="n">
        <v>80605571</v>
      </c>
      <c r="C100" s="16" t="n">
        <v>0</v>
      </c>
      <c r="D100" s="16" t="inlineStr">
        <is>
          <t>0.045010</t>
        </is>
      </c>
      <c r="E100" s="16" t="inlineStr">
        <is>
          <t>5.940 SOL</t>
        </is>
      </c>
      <c r="F100" s="16" t="inlineStr">
        <is>
          <t>0.000 SOL</t>
        </is>
      </c>
      <c r="G100" s="17" t="inlineStr">
        <is>
          <t>-5.985 SOL</t>
        </is>
      </c>
      <c r="H100" s="17" t="inlineStr">
        <is>
          <t>0.00%</t>
        </is>
      </c>
      <c r="I100" s="16" t="inlineStr">
        <is>
          <t>80,605,571</t>
        </is>
      </c>
      <c r="J100" s="16" t="n">
        <v>3</v>
      </c>
      <c r="K100" s="16" t="n">
        <v>0</v>
      </c>
      <c r="L100" s="16" t="inlineStr">
        <is>
          <t>26.08.2024 15:05:25</t>
        </is>
      </c>
      <c r="M100" s="16" t="inlineStr">
        <is>
          <t>7 min</t>
        </is>
      </c>
      <c r="N100" s="16" t="inlineStr">
        <is>
          <t xml:space="preserve">        N/A           N/A           N/A</t>
        </is>
      </c>
      <c r="O100" s="16" t="inlineStr">
        <is>
          <t>3zVp8vX3YfQ9JKQ52cKWTrAtSmj1UpGy3NNpkPJohbMN</t>
        </is>
      </c>
      <c r="P100" s="16">
        <f>HYPERLINK("https://dexscreener.com/solana/3zVp8vX3YfQ9JKQ52cKWTrAtSmj1UpGy3NNpkPJohbMN", "View")</f>
        <v/>
      </c>
    </row>
    <row r="101">
      <c r="A101" s="19" t="inlineStr">
        <is>
          <t>MWONK</t>
        </is>
      </c>
      <c r="B101" s="20" t="n">
        <v>1501254</v>
      </c>
      <c r="C101" s="20" t="n">
        <v>1501254</v>
      </c>
      <c r="D101" s="20" t="inlineStr">
        <is>
          <t>0.025010</t>
        </is>
      </c>
      <c r="E101" s="20" t="inlineStr">
        <is>
          <t>1.980 SOL</t>
        </is>
      </c>
      <c r="F101" s="20" t="inlineStr">
        <is>
          <t>2.253 SOL</t>
        </is>
      </c>
      <c r="G101" s="22" t="inlineStr">
        <is>
          <t>0.248 SOL</t>
        </is>
      </c>
      <c r="H101" s="22" t="inlineStr">
        <is>
          <t>12.38%</t>
        </is>
      </c>
      <c r="I101" s="20" t="inlineStr">
        <is>
          <t>N/A</t>
        </is>
      </c>
      <c r="J101" s="20" t="n">
        <v>1</v>
      </c>
      <c r="K101" s="20" t="n">
        <v>1</v>
      </c>
      <c r="L101" s="20" t="inlineStr">
        <is>
          <t>25.08.2024 22:06:07</t>
        </is>
      </c>
      <c r="M101" s="20" t="inlineStr">
        <is>
          <t>1 min</t>
        </is>
      </c>
      <c r="N101" s="20" t="inlineStr">
        <is>
          <t xml:space="preserve">        232K           263K             6K</t>
        </is>
      </c>
      <c r="O101" s="20" t="inlineStr">
        <is>
          <t>C8Fy3RzVeekLi4DPpSdKzAwfS5AbA8bxZaKg2GVPpump</t>
        </is>
      </c>
      <c r="P101" s="20">
        <f>HYPERLINK("https://dexscreener.com/solana/C8Fy3RzVeekLi4DPpSdKzAwfS5AbA8bxZaKg2GVPpump", "View")</f>
        <v/>
      </c>
    </row>
    <row r="102">
      <c r="A102" s="15" t="inlineStr">
        <is>
          <t>SPITE</t>
        </is>
      </c>
      <c r="B102" s="16" t="n">
        <v>1773144</v>
      </c>
      <c r="C102" s="16" t="n">
        <v>1773144</v>
      </c>
      <c r="D102" s="16" t="inlineStr">
        <is>
          <t>0.025010</t>
        </is>
      </c>
      <c r="E102" s="16" t="inlineStr">
        <is>
          <t>1.980 SOL</t>
        </is>
      </c>
      <c r="F102" s="16" t="inlineStr">
        <is>
          <t>1.774 SOL</t>
        </is>
      </c>
      <c r="G102" s="21" t="inlineStr">
        <is>
          <t>-0.231 SOL</t>
        </is>
      </c>
      <c r="H102" s="21" t="inlineStr">
        <is>
          <t>-11.52%</t>
        </is>
      </c>
      <c r="I102" s="16" t="inlineStr">
        <is>
          <t>N/A</t>
        </is>
      </c>
      <c r="J102" s="16" t="n">
        <v>1</v>
      </c>
      <c r="K102" s="16" t="n">
        <v>1</v>
      </c>
      <c r="L102" s="16" t="inlineStr">
        <is>
          <t>23.08.2024 20:30:21</t>
        </is>
      </c>
      <c r="M102" s="18" t="inlineStr">
        <is>
          <t>8 sec</t>
        </is>
      </c>
      <c r="N102" s="16" t="inlineStr">
        <is>
          <t xml:space="preserve">        190K           170K             5K</t>
        </is>
      </c>
      <c r="O102" s="16" t="inlineStr">
        <is>
          <t>9kdGDpLcG1D7gtuSrX41QxmiESzTjzKz9tW7ogzPpump</t>
        </is>
      </c>
      <c r="P102" s="16">
        <f>HYPERLINK("https://dexscreener.com/solana/9kdGDpLcG1D7gtuSrX41QxmiESzTjzKz9tW7ogzPpump", "View")</f>
        <v/>
      </c>
    </row>
    <row r="103">
      <c r="A103" s="19" t="inlineStr">
        <is>
          <t>Yuki</t>
        </is>
      </c>
      <c r="B103" s="20" t="n">
        <v>1591795</v>
      </c>
      <c r="C103" s="20" t="n">
        <v>0</v>
      </c>
      <c r="D103" s="20" t="inlineStr">
        <is>
          <t>0.015000</t>
        </is>
      </c>
      <c r="E103" s="20" t="inlineStr">
        <is>
          <t>1.980 SOL</t>
        </is>
      </c>
      <c r="F103" s="20" t="inlineStr">
        <is>
          <t>0.000 SOL</t>
        </is>
      </c>
      <c r="G103" s="17" t="inlineStr">
        <is>
          <t>-1.995 SOL</t>
        </is>
      </c>
      <c r="H103" s="17" t="inlineStr">
        <is>
          <t>0.00%</t>
        </is>
      </c>
      <c r="I103" s="20" t="inlineStr">
        <is>
          <t>1,591,795</t>
        </is>
      </c>
      <c r="J103" s="20" t="n">
        <v>1</v>
      </c>
      <c r="K103" s="20" t="n">
        <v>0</v>
      </c>
      <c r="L103" s="20" t="inlineStr">
        <is>
          <t>23.08.2024 15:54:29</t>
        </is>
      </c>
      <c r="M103" s="18" t="inlineStr">
        <is>
          <t>0 sec</t>
        </is>
      </c>
      <c r="N103" s="20" t="inlineStr">
        <is>
          <t xml:space="preserve">        217K           217K             4K</t>
        </is>
      </c>
      <c r="O103" s="20" t="inlineStr">
        <is>
          <t>htBnJFm5inyiGAS3hnUvVW7WkHX2iDXJmDYPQTApump</t>
        </is>
      </c>
      <c r="P103" s="20">
        <f>HYPERLINK("https://dexscreener.com/solana/htBnJFm5inyiGAS3hnUvVW7WkHX2iDXJmDYPQTApump", "View")</f>
        <v/>
      </c>
    </row>
    <row r="104">
      <c r="A104" s="15" t="inlineStr">
        <is>
          <t>Kamu</t>
        </is>
      </c>
      <c r="B104" s="16" t="n">
        <v>1424829</v>
      </c>
      <c r="C104" s="16" t="n">
        <v>1424829</v>
      </c>
      <c r="D104" s="16" t="inlineStr">
        <is>
          <t>0.025010</t>
        </is>
      </c>
      <c r="E104" s="16" t="inlineStr">
        <is>
          <t>1.980 SOL</t>
        </is>
      </c>
      <c r="F104" s="16" t="inlineStr">
        <is>
          <t>0.449 SOL</t>
        </is>
      </c>
      <c r="G104" s="24" t="inlineStr">
        <is>
          <t>-1.556 SOL</t>
        </is>
      </c>
      <c r="H104" s="24" t="inlineStr">
        <is>
          <t>-77.61%</t>
        </is>
      </c>
      <c r="I104" s="16" t="inlineStr">
        <is>
          <t>N/A</t>
        </is>
      </c>
      <c r="J104" s="16" t="n">
        <v>1</v>
      </c>
      <c r="K104" s="16" t="n">
        <v>1</v>
      </c>
      <c r="L104" s="16" t="inlineStr">
        <is>
          <t>22.08.2024 10:25:32</t>
        </is>
      </c>
      <c r="M104" s="16" t="inlineStr">
        <is>
          <t>2 days</t>
        </is>
      </c>
      <c r="N104" s="16" t="inlineStr">
        <is>
          <t xml:space="preserve">        244K            56K            11K</t>
        </is>
      </c>
      <c r="O104" s="16" t="inlineStr">
        <is>
          <t>FCHgHNQb1NVA5RpYFyxeYBEnpveMXsfRYxxn7ahbpump</t>
        </is>
      </c>
      <c r="P104" s="16">
        <f>HYPERLINK("https://dexscreener.com/solana/FCHgHNQb1NVA5RpYFyxeYBEnpveMXsfRYxxn7ahbpump", "View")</f>
        <v/>
      </c>
    </row>
    <row r="105">
      <c r="A105" s="19" t="inlineStr">
        <is>
          <t>Butters</t>
        </is>
      </c>
      <c r="B105" s="20" t="n">
        <v>1326382</v>
      </c>
      <c r="C105" s="20" t="n">
        <v>1326382</v>
      </c>
      <c r="D105" s="20" t="inlineStr">
        <is>
          <t>0.025010</t>
        </is>
      </c>
      <c r="E105" s="20" t="inlineStr">
        <is>
          <t>0.990 SOL</t>
        </is>
      </c>
      <c r="F105" s="20" t="inlineStr">
        <is>
          <t>0.681 SOL</t>
        </is>
      </c>
      <c r="G105" s="21" t="inlineStr">
        <is>
          <t>-0.334 SOL</t>
        </is>
      </c>
      <c r="H105" s="21" t="inlineStr">
        <is>
          <t>-32.89%</t>
        </is>
      </c>
      <c r="I105" s="20" t="inlineStr">
        <is>
          <t>N/A</t>
        </is>
      </c>
      <c r="J105" s="20" t="n">
        <v>1</v>
      </c>
      <c r="K105" s="20" t="n">
        <v>1</v>
      </c>
      <c r="L105" s="20" t="inlineStr">
        <is>
          <t>16.08.2024 22:30:43</t>
        </is>
      </c>
      <c r="M105" s="20" t="inlineStr">
        <is>
          <t>8 days</t>
        </is>
      </c>
      <c r="N105" s="20" t="inlineStr">
        <is>
          <t xml:space="preserve">        131K            89K            17K</t>
        </is>
      </c>
      <c r="O105" s="20" t="inlineStr">
        <is>
          <t>GS9Xa2Nroc7FfNZSz5UbmyvyekxwBtFQD2273FFgpump</t>
        </is>
      </c>
      <c r="P105" s="20">
        <f>HYPERLINK("https://dexscreener.com/solana/GS9Xa2Nroc7FfNZSz5UbmyvyekxwBtFQD2273FFgpump", "View")</f>
        <v/>
      </c>
    </row>
    <row r="106">
      <c r="A106" s="15" t="inlineStr">
        <is>
          <t>shadow</t>
        </is>
      </c>
      <c r="B106" s="16" t="n">
        <v>1668936</v>
      </c>
      <c r="C106" s="16" t="n">
        <v>1668936</v>
      </c>
      <c r="D106" s="16" t="inlineStr">
        <is>
          <t>0.035010</t>
        </is>
      </c>
      <c r="E106" s="16" t="inlineStr">
        <is>
          <t>0.527 SOL</t>
        </is>
      </c>
      <c r="F106" s="16" t="inlineStr">
        <is>
          <t>1.471 SOL</t>
        </is>
      </c>
      <c r="G106" s="23" t="inlineStr">
        <is>
          <t>0.908 SOL</t>
        </is>
      </c>
      <c r="H106" s="23" t="inlineStr">
        <is>
          <t>161.64%</t>
        </is>
      </c>
      <c r="I106" s="16" t="inlineStr">
        <is>
          <t>N/A</t>
        </is>
      </c>
      <c r="J106" s="16" t="n">
        <v>1</v>
      </c>
      <c r="K106" s="16" t="n">
        <v>2</v>
      </c>
      <c r="L106" s="16" t="inlineStr">
        <is>
          <t>14.08.2024 13:51:08</t>
        </is>
      </c>
      <c r="M106" s="16" t="inlineStr">
        <is>
          <t>3 hours</t>
        </is>
      </c>
      <c r="N106" s="16" t="inlineStr">
        <is>
          <t xml:space="preserve">         56K            97K             7K</t>
        </is>
      </c>
      <c r="O106" s="16" t="inlineStr">
        <is>
          <t>hthV4BUGpBzfpHYhGq7vE1vGgou5DEuTrEwZWSSpump</t>
        </is>
      </c>
      <c r="P106" s="16">
        <f>HYPERLINK("https://photon-sol.tinyastro.io/en/lp/hthV4BUGpBzfpHYhGq7vE1vGgou5DEuTrEwZWSSpump?handle=676050794bc1b1657a56b", "View")</f>
        <v/>
      </c>
    </row>
    <row r="107">
      <c r="A107" s="19" t="inlineStr">
        <is>
          <t>GM</t>
        </is>
      </c>
      <c r="B107" s="20" t="n">
        <v>4150976</v>
      </c>
      <c r="C107" s="20" t="n">
        <v>4150976</v>
      </c>
      <c r="D107" s="20" t="inlineStr">
        <is>
          <t>0.025010</t>
        </is>
      </c>
      <c r="E107" s="20" t="inlineStr">
        <is>
          <t>0.990 SOL</t>
        </is>
      </c>
      <c r="F107" s="20" t="inlineStr">
        <is>
          <t>0.445 SOL</t>
        </is>
      </c>
      <c r="G107" s="24" t="inlineStr">
        <is>
          <t>-0.570 SOL</t>
        </is>
      </c>
      <c r="H107" s="24" t="inlineStr">
        <is>
          <t>-56.19%</t>
        </is>
      </c>
      <c r="I107" s="20" t="inlineStr">
        <is>
          <t>N/A</t>
        </is>
      </c>
      <c r="J107" s="20" t="n">
        <v>1</v>
      </c>
      <c r="K107" s="20" t="n">
        <v>1</v>
      </c>
      <c r="L107" s="20" t="inlineStr">
        <is>
          <t>08.08.2024 23:21:42</t>
        </is>
      </c>
      <c r="M107" s="20" t="inlineStr">
        <is>
          <t>16 min</t>
        </is>
      </c>
      <c r="N107" s="20" t="inlineStr">
        <is>
          <t xml:space="preserve">         42K            19K             3K</t>
        </is>
      </c>
      <c r="O107" s="20" t="inlineStr">
        <is>
          <t>A74bDqWfML7W6WWeG86o5xKVW56fXaoeCwdkqua6pump</t>
        </is>
      </c>
      <c r="P107" s="20">
        <f>HYPERLINK("https://dexscreener.com/solana/A74bDqWfML7W6WWeG86o5xKVW56fXaoeCwdkqua6pump", "View")</f>
        <v/>
      </c>
    </row>
    <row r="108">
      <c r="A108" s="15" t="inlineStr">
        <is>
          <t>sync</t>
        </is>
      </c>
      <c r="B108" s="16" t="n">
        <v>3739587</v>
      </c>
      <c r="C108" s="16" t="n">
        <v>3739587</v>
      </c>
      <c r="D108" s="16" t="inlineStr">
        <is>
          <t>0.090040</t>
        </is>
      </c>
      <c r="E108" s="16" t="inlineStr">
        <is>
          <t>1.732 SOL</t>
        </is>
      </c>
      <c r="F108" s="16" t="inlineStr">
        <is>
          <t>1.431 SOL</t>
        </is>
      </c>
      <c r="G108" s="21" t="inlineStr">
        <is>
          <t>-0.392 SOL</t>
        </is>
      </c>
      <c r="H108" s="21" t="inlineStr">
        <is>
          <t>-21.50%</t>
        </is>
      </c>
      <c r="I108" s="16" t="inlineStr">
        <is>
          <t>N/A</t>
        </is>
      </c>
      <c r="J108" s="16" t="n">
        <v>4</v>
      </c>
      <c r="K108" s="16" t="n">
        <v>3</v>
      </c>
      <c r="L108" s="16" t="inlineStr">
        <is>
          <t>08.08.2024 23:21:35</t>
        </is>
      </c>
      <c r="M108" s="16" t="inlineStr">
        <is>
          <t>1 hours</t>
        </is>
      </c>
      <c r="N108" s="16" t="inlineStr">
        <is>
          <t xml:space="preserve">         98K            25K             4K</t>
        </is>
      </c>
      <c r="O108" s="16" t="inlineStr">
        <is>
          <t>xdGTz2hoTN33EkUwkxgYpVo63A2nUwLpThP7P7Upump</t>
        </is>
      </c>
      <c r="P108" s="16">
        <f>HYPERLINK("https://dexscreener.com/solana/xdGTz2hoTN33EkUwkxgYpVo63A2nUwLpThP7P7Upump", "View")</f>
        <v/>
      </c>
    </row>
    <row r="109">
      <c r="A109" s="19" t="inlineStr">
        <is>
          <t>HIKIKO</t>
        </is>
      </c>
      <c r="B109" s="20" t="n">
        <v>4068815</v>
      </c>
      <c r="C109" s="20" t="n">
        <v>4068815</v>
      </c>
      <c r="D109" s="20" t="inlineStr">
        <is>
          <t>0.035010</t>
        </is>
      </c>
      <c r="E109" s="20" t="inlineStr">
        <is>
          <t>0.990 SOL</t>
        </is>
      </c>
      <c r="F109" s="20" t="inlineStr">
        <is>
          <t>0.912 SOL</t>
        </is>
      </c>
      <c r="G109" s="21" t="inlineStr">
        <is>
          <t>-0.113 SOL</t>
        </is>
      </c>
      <c r="H109" s="21" t="inlineStr">
        <is>
          <t>-10.99%</t>
        </is>
      </c>
      <c r="I109" s="20" t="inlineStr">
        <is>
          <t>N/A</t>
        </is>
      </c>
      <c r="J109" s="20" t="n">
        <v>1</v>
      </c>
      <c r="K109" s="20" t="n">
        <v>2</v>
      </c>
      <c r="L109" s="20" t="inlineStr">
        <is>
          <t>08.08.2024 22:46:37</t>
        </is>
      </c>
      <c r="M109" s="20" t="inlineStr">
        <is>
          <t>4 min</t>
        </is>
      </c>
      <c r="N109" s="20" t="inlineStr">
        <is>
          <t xml:space="preserve">         40K            13K             3K</t>
        </is>
      </c>
      <c r="O109" s="20" t="inlineStr">
        <is>
          <t>GhRpYpRH2ZihDvZfJKQkj5wi7FxQ2o3n5Et5DqHJpump</t>
        </is>
      </c>
      <c r="P109" s="20">
        <f>HYPERLINK("https://dexscreener.com/solana/GhRpYpRH2ZihDvZfJKQkj5wi7FxQ2o3n5Et5DqHJpump", "View")</f>
        <v/>
      </c>
    </row>
    <row r="110">
      <c r="A110" s="15" t="inlineStr">
        <is>
          <t>wDOG</t>
        </is>
      </c>
      <c r="B110" s="16" t="n">
        <v>20287</v>
      </c>
      <c r="C110" s="16" t="n">
        <v>20287</v>
      </c>
      <c r="D110" s="16" t="inlineStr">
        <is>
          <t>0.025010</t>
        </is>
      </c>
      <c r="E110" s="16" t="inlineStr">
        <is>
          <t>1.980 SOL</t>
        </is>
      </c>
      <c r="F110" s="16" t="inlineStr">
        <is>
          <t>1.081 SOL</t>
        </is>
      </c>
      <c r="G110" s="21" t="inlineStr">
        <is>
          <t>-0.924 SOL</t>
        </is>
      </c>
      <c r="H110" s="21" t="inlineStr">
        <is>
          <t>-46.10%</t>
        </is>
      </c>
      <c r="I110" s="16" t="inlineStr">
        <is>
          <t>N/A</t>
        </is>
      </c>
      <c r="J110" s="16" t="n">
        <v>1</v>
      </c>
      <c r="K110" s="16" t="n">
        <v>1</v>
      </c>
      <c r="L110" s="16" t="inlineStr">
        <is>
          <t>08.08.2024 21:40:40</t>
        </is>
      </c>
      <c r="M110" s="16" t="inlineStr">
        <is>
          <t>2 days</t>
        </is>
      </c>
      <c r="N110" s="16" t="inlineStr">
        <is>
          <t xml:space="preserve">         17M             9M             7M</t>
        </is>
      </c>
      <c r="O110" s="16" t="inlineStr">
        <is>
          <t>GYKmdfcUmZVrqfcH1g579BGjuzSRijj3LBuwv79rpump</t>
        </is>
      </c>
      <c r="P110" s="16">
        <f>HYPERLINK("https://dexscreener.com/solana/GYKmdfcUmZVrqfcH1g579BGjuzSRijj3LBuwv79rpump", "View")</f>
        <v/>
      </c>
    </row>
    <row r="111">
      <c r="A111" s="19" t="inlineStr">
        <is>
          <t>SNOOZY</t>
        </is>
      </c>
      <c r="B111" s="20" t="n">
        <v>5588192</v>
      </c>
      <c r="C111" s="20" t="n">
        <v>5588192</v>
      </c>
      <c r="D111" s="20" t="inlineStr">
        <is>
          <t>0.025010</t>
        </is>
      </c>
      <c r="E111" s="20" t="inlineStr">
        <is>
          <t>0.247 SOL</t>
        </is>
      </c>
      <c r="F111" s="20" t="inlineStr">
        <is>
          <t>0.172 SOL</t>
        </is>
      </c>
      <c r="G111" s="21" t="inlineStr">
        <is>
          <t>-0.101 SOL</t>
        </is>
      </c>
      <c r="H111" s="21" t="inlineStr">
        <is>
          <t>-36.96%</t>
        </is>
      </c>
      <c r="I111" s="20" t="inlineStr">
        <is>
          <t>N/A</t>
        </is>
      </c>
      <c r="J111" s="20" t="n">
        <v>1</v>
      </c>
      <c r="K111" s="20" t="n">
        <v>1</v>
      </c>
      <c r="L111" s="20" t="inlineStr">
        <is>
          <t>08.08.2024 20:35:41</t>
        </is>
      </c>
      <c r="M111" s="18" t="inlineStr">
        <is>
          <t>36 sec</t>
        </is>
      </c>
      <c r="N111" s="20" t="inlineStr">
        <is>
          <t xml:space="preserve">          7K             5K             3K</t>
        </is>
      </c>
      <c r="O111" s="20" t="inlineStr">
        <is>
          <t>6oFr8yHBYyxTpPXRWBoRGDJjCUQjH6SLrJnyEeWCpump</t>
        </is>
      </c>
      <c r="P111" s="20">
        <f>HYPERLINK("https://dexscreener.com/solana/6oFr8yHBYyxTpPXRWBoRGDJjCUQjH6SLrJnyEeWCpump", "View")</f>
        <v/>
      </c>
    </row>
    <row r="112">
      <c r="A112" s="15" t="inlineStr">
        <is>
          <t>Spurdo</t>
        </is>
      </c>
      <c r="B112" s="16" t="n">
        <v>629424</v>
      </c>
      <c r="C112" s="16" t="n">
        <v>629424</v>
      </c>
      <c r="D112" s="16" t="inlineStr">
        <is>
          <t>0.025010</t>
        </is>
      </c>
      <c r="E112" s="16" t="inlineStr">
        <is>
          <t>0.990 SOL</t>
        </is>
      </c>
      <c r="F112" s="16" t="inlineStr">
        <is>
          <t>0.880 SOL</t>
        </is>
      </c>
      <c r="G112" s="21" t="inlineStr">
        <is>
          <t>-0.135 SOL</t>
        </is>
      </c>
      <c r="H112" s="21" t="inlineStr">
        <is>
          <t>-13.27%</t>
        </is>
      </c>
      <c r="I112" s="16" t="inlineStr">
        <is>
          <t>N/A</t>
        </is>
      </c>
      <c r="J112" s="16" t="n">
        <v>1</v>
      </c>
      <c r="K112" s="16" t="n">
        <v>1</v>
      </c>
      <c r="L112" s="16" t="inlineStr">
        <is>
          <t>08.08.2024 20:33:15</t>
        </is>
      </c>
      <c r="M112" s="18" t="inlineStr">
        <is>
          <t>24 sec</t>
        </is>
      </c>
      <c r="N112" s="16" t="inlineStr">
        <is>
          <t xml:space="preserve">        276K           246K             6K</t>
        </is>
      </c>
      <c r="O112" s="16" t="inlineStr">
        <is>
          <t>Cjbs9EvQFzgf7Gkz7YAZkSo6MZRcfEFgeEoSNg4Spump</t>
        </is>
      </c>
      <c r="P112" s="16">
        <f>HYPERLINK("https://dexscreener.com/solana/Cjbs9EvQFzgf7Gkz7YAZkSo6MZRcfEFgeEoSNg4Spump", "View")</f>
        <v/>
      </c>
    </row>
    <row r="113">
      <c r="A113" s="19" t="inlineStr">
        <is>
          <t>Schnoz</t>
        </is>
      </c>
      <c r="B113" s="20" t="n">
        <v>699647</v>
      </c>
      <c r="C113" s="20" t="n">
        <v>0</v>
      </c>
      <c r="D113" s="20" t="inlineStr">
        <is>
          <t>0.015000</t>
        </is>
      </c>
      <c r="E113" s="20" t="inlineStr">
        <is>
          <t>0.990 SOL</t>
        </is>
      </c>
      <c r="F113" s="20" t="inlineStr">
        <is>
          <t>0.000 SOL</t>
        </is>
      </c>
      <c r="G113" s="17" t="inlineStr">
        <is>
          <t>-1.005 SOL</t>
        </is>
      </c>
      <c r="H113" s="17" t="inlineStr">
        <is>
          <t>0.00%</t>
        </is>
      </c>
      <c r="I113" s="20" t="inlineStr">
        <is>
          <t>699,647</t>
        </is>
      </c>
      <c r="J113" s="20" t="n">
        <v>1</v>
      </c>
      <c r="K113" s="20" t="n">
        <v>0</v>
      </c>
      <c r="L113" s="20" t="inlineStr">
        <is>
          <t>08.08.2024 19:16:30</t>
        </is>
      </c>
      <c r="M113" s="18" t="inlineStr">
        <is>
          <t>0 sec</t>
        </is>
      </c>
      <c r="N113" s="20" t="inlineStr">
        <is>
          <t xml:space="preserve">        247K           247K             4K</t>
        </is>
      </c>
      <c r="O113" s="20" t="inlineStr">
        <is>
          <t>G45xYUofWFT6iNcsxCj4pyTmTcoGWXXho394UKQSpump</t>
        </is>
      </c>
      <c r="P113" s="20">
        <f>HYPERLINK("https://dexscreener.com/solana/G45xYUofWFT6iNcsxCj4pyTmTcoGWXXho394UKQSpump", "View")</f>
        <v/>
      </c>
    </row>
    <row r="114">
      <c r="A114" s="15" t="inlineStr">
        <is>
          <t>NSFW</t>
        </is>
      </c>
      <c r="B114" s="16" t="n">
        <v>634590</v>
      </c>
      <c r="C114" s="16" t="n">
        <v>475943</v>
      </c>
      <c r="D114" s="16" t="inlineStr">
        <is>
          <t>0.035010</t>
        </is>
      </c>
      <c r="E114" s="16" t="inlineStr">
        <is>
          <t>0.495 SOL</t>
        </is>
      </c>
      <c r="F114" s="16" t="inlineStr">
        <is>
          <t>1.181 SOL</t>
        </is>
      </c>
      <c r="G114" s="23" t="inlineStr">
        <is>
          <t>0.651 SOL</t>
        </is>
      </c>
      <c r="H114" s="23" t="inlineStr">
        <is>
          <t>122.75%</t>
        </is>
      </c>
      <c r="I114" s="16" t="inlineStr">
        <is>
          <t>N/A</t>
        </is>
      </c>
      <c r="J114" s="16" t="n">
        <v>1</v>
      </c>
      <c r="K114" s="16" t="n">
        <v>2</v>
      </c>
      <c r="L114" s="16" t="inlineStr">
        <is>
          <t>08.08.2024 16:26:32</t>
        </is>
      </c>
      <c r="M114" s="16" t="inlineStr">
        <is>
          <t>5 hours</t>
        </is>
      </c>
      <c r="N114" s="16" t="inlineStr">
        <is>
          <t xml:space="preserve">        137K           432K             5K</t>
        </is>
      </c>
      <c r="O114" s="16" t="inlineStr">
        <is>
          <t>EsqvmZZECtq3VEqtk4ghngXrNciHv1ejLQyF4gFZpump</t>
        </is>
      </c>
      <c r="P114" s="16">
        <f>HYPERLINK("https://dexscreener.com/solana/EsqvmZZECtq3VEqtk4ghngXrNciHv1ejLQyF4gFZpump", "View")</f>
        <v/>
      </c>
    </row>
    <row r="115">
      <c r="A115" s="19" t="inlineStr">
        <is>
          <t>neo</t>
        </is>
      </c>
      <c r="B115" s="20" t="n">
        <v>669706</v>
      </c>
      <c r="C115" s="20" t="n">
        <v>669706</v>
      </c>
      <c r="D115" s="20" t="inlineStr">
        <is>
          <t>0.025010</t>
        </is>
      </c>
      <c r="E115" s="20" t="inlineStr">
        <is>
          <t>0.990 SOL</t>
        </is>
      </c>
      <c r="F115" s="20" t="inlineStr">
        <is>
          <t>0.483 SOL</t>
        </is>
      </c>
      <c r="G115" s="24" t="inlineStr">
        <is>
          <t>-0.532 SOL</t>
        </is>
      </c>
      <c r="H115" s="24" t="inlineStr">
        <is>
          <t>-52.44%</t>
        </is>
      </c>
      <c r="I115" s="20" t="inlineStr">
        <is>
          <t>N/A</t>
        </is>
      </c>
      <c r="J115" s="20" t="n">
        <v>1</v>
      </c>
      <c r="K115" s="20" t="n">
        <v>1</v>
      </c>
      <c r="L115" s="20" t="inlineStr">
        <is>
          <t>07.08.2024 16:49:37</t>
        </is>
      </c>
      <c r="M115" s="20" t="inlineStr">
        <is>
          <t>10 min</t>
        </is>
      </c>
      <c r="N115" s="20" t="inlineStr">
        <is>
          <t xml:space="preserve">        260K           126K            10K</t>
        </is>
      </c>
      <c r="O115" s="20" t="inlineStr">
        <is>
          <t>BwDjtyW1gAcbvqVdGQpEeHnT2NSNgpCf4gJwSVqcpump</t>
        </is>
      </c>
      <c r="P115" s="20">
        <f>HYPERLINK("https://dexscreener.com/solana/BwDjtyW1gAcbvqVdGQpEeHnT2NSNgpCf4gJwSVqcpump", "View")</f>
        <v/>
      </c>
    </row>
    <row r="116">
      <c r="A116" s="15" t="inlineStr">
        <is>
          <t>APE</t>
        </is>
      </c>
      <c r="B116" s="16" t="n">
        <v>241298</v>
      </c>
      <c r="C116" s="16" t="n">
        <v>241298</v>
      </c>
      <c r="D116" s="16" t="inlineStr">
        <is>
          <t>0.025010</t>
        </is>
      </c>
      <c r="E116" s="16" t="inlineStr">
        <is>
          <t>0.990 SOL</t>
        </is>
      </c>
      <c r="F116" s="16" t="inlineStr">
        <is>
          <t>0.845 SOL</t>
        </is>
      </c>
      <c r="G116" s="21" t="inlineStr">
        <is>
          <t>-0.170 SOL</t>
        </is>
      </c>
      <c r="H116" s="21" t="inlineStr">
        <is>
          <t>-16.75%</t>
        </is>
      </c>
      <c r="I116" s="16" t="inlineStr">
        <is>
          <t>N/A</t>
        </is>
      </c>
      <c r="J116" s="16" t="n">
        <v>1</v>
      </c>
      <c r="K116" s="16" t="n">
        <v>1</v>
      </c>
      <c r="L116" s="16" t="inlineStr">
        <is>
          <t>07.08.2024 16:49:00</t>
        </is>
      </c>
      <c r="M116" s="18" t="inlineStr">
        <is>
          <t>58 sec</t>
        </is>
      </c>
      <c r="N116" s="16" t="inlineStr">
        <is>
          <t xml:space="preserve">        695K           593K             7K</t>
        </is>
      </c>
      <c r="O116" s="16" t="inlineStr">
        <is>
          <t>2YoHne7nbU2t9Cbkvj2Du3Gw87XayzTJ8cG8pkrbpump</t>
        </is>
      </c>
      <c r="P116" s="16">
        <f>HYPERLINK("https://dexscreener.com/solana/2YoHne7nbU2t9Cbkvj2Du3Gw87XayzTJ8cG8pkrbpump", "View")</f>
        <v/>
      </c>
    </row>
    <row r="117">
      <c r="A117" s="19" t="inlineStr">
        <is>
          <t>borf</t>
        </is>
      </c>
      <c r="B117" s="20" t="n">
        <v>859876</v>
      </c>
      <c r="C117" s="20" t="n">
        <v>0</v>
      </c>
      <c r="D117" s="20" t="inlineStr">
        <is>
          <t>0.015000</t>
        </is>
      </c>
      <c r="E117" s="20" t="inlineStr">
        <is>
          <t>0.990 SOL</t>
        </is>
      </c>
      <c r="F117" s="20" t="inlineStr">
        <is>
          <t>0.000 SOL</t>
        </is>
      </c>
      <c r="G117" s="17" t="inlineStr">
        <is>
          <t>-1.005 SOL</t>
        </is>
      </c>
      <c r="H117" s="17" t="inlineStr">
        <is>
          <t>0.00%</t>
        </is>
      </c>
      <c r="I117" s="20" t="inlineStr">
        <is>
          <t>859,876</t>
        </is>
      </c>
      <c r="J117" s="20" t="n">
        <v>1</v>
      </c>
      <c r="K117" s="20" t="n">
        <v>0</v>
      </c>
      <c r="L117" s="20" t="inlineStr">
        <is>
          <t>07.08.2024 16:48:52</t>
        </is>
      </c>
      <c r="M117" s="18" t="inlineStr">
        <is>
          <t>0 sec</t>
        </is>
      </c>
      <c r="N117" s="20" t="inlineStr">
        <is>
          <t xml:space="preserve">        202K           202K             6K</t>
        </is>
      </c>
      <c r="O117" s="20" t="inlineStr">
        <is>
          <t>2tncTKn2E2Jzg8mFuPBFGWAjso2GLjFLPD6Ubai9pump</t>
        </is>
      </c>
      <c r="P117" s="20">
        <f>HYPERLINK("https://dexscreener.com/solana/2tncTKn2E2Jzg8mFuPBFGWAjso2GLjFLPD6Ubai9pump", "View")</f>
        <v/>
      </c>
    </row>
    <row r="118">
      <c r="A118" s="15" t="inlineStr">
        <is>
          <t>nani</t>
        </is>
      </c>
      <c r="B118" s="16" t="n">
        <v>937060</v>
      </c>
      <c r="C118" s="16" t="n">
        <v>937060</v>
      </c>
      <c r="D118" s="16" t="inlineStr">
        <is>
          <t>0.045020</t>
        </is>
      </c>
      <c r="E118" s="16" t="inlineStr">
        <is>
          <t>0.990 SOL</t>
        </is>
      </c>
      <c r="F118" s="16" t="inlineStr">
        <is>
          <t>4.568 SOL</t>
        </is>
      </c>
      <c r="G118" s="23" t="inlineStr">
        <is>
          <t>3.533 SOL</t>
        </is>
      </c>
      <c r="H118" s="23" t="inlineStr">
        <is>
          <t>341.35%</t>
        </is>
      </c>
      <c r="I118" s="16" t="inlineStr">
        <is>
          <t>N/A</t>
        </is>
      </c>
      <c r="J118" s="16" t="n">
        <v>1</v>
      </c>
      <c r="K118" s="16" t="n">
        <v>3</v>
      </c>
      <c r="L118" s="16" t="inlineStr">
        <is>
          <t>07.08.2024 16:46:35</t>
        </is>
      </c>
      <c r="M118" s="16" t="inlineStr">
        <is>
          <t>6 hours</t>
        </is>
      </c>
      <c r="N118" s="16" t="inlineStr">
        <is>
          <t xml:space="preserve">        178K           647K            13K</t>
        </is>
      </c>
      <c r="O118" s="16" t="inlineStr">
        <is>
          <t>C9FTn7hQddPTmZQxvygBk2LVGwWriBvRGU4x2UEkpump</t>
        </is>
      </c>
      <c r="P118" s="16">
        <f>HYPERLINK("https://dexscreener.com/solana/C9FTn7hQddPTmZQxvygBk2LVGwWriBvRGU4x2UEkpump", "View")</f>
        <v/>
      </c>
    </row>
    <row r="119">
      <c r="A119" s="19" t="inlineStr">
        <is>
          <t>vroom</t>
        </is>
      </c>
      <c r="B119" s="20" t="n">
        <v>811360</v>
      </c>
      <c r="C119" s="20" t="n">
        <v>811360</v>
      </c>
      <c r="D119" s="20" t="inlineStr">
        <is>
          <t>0.050020</t>
        </is>
      </c>
      <c r="E119" s="20" t="inlineStr">
        <is>
          <t>2.970 SOL</t>
        </is>
      </c>
      <c r="F119" s="20" t="inlineStr">
        <is>
          <t>2.691 SOL</t>
        </is>
      </c>
      <c r="G119" s="21" t="inlineStr">
        <is>
          <t>-0.329 SOL</t>
        </is>
      </c>
      <c r="H119" s="21" t="inlineStr">
        <is>
          <t>-10.89%</t>
        </is>
      </c>
      <c r="I119" s="20" t="inlineStr">
        <is>
          <t>N/A</t>
        </is>
      </c>
      <c r="J119" s="20" t="n">
        <v>2</v>
      </c>
      <c r="K119" s="20" t="n">
        <v>2</v>
      </c>
      <c r="L119" s="20" t="inlineStr">
        <is>
          <t>06.08.2024 23:04:31</t>
        </is>
      </c>
      <c r="M119" s="20" t="inlineStr">
        <is>
          <t>9 min</t>
        </is>
      </c>
      <c r="N119" s="20" t="inlineStr">
        <is>
          <t xml:space="preserve">        620K           485K             5K</t>
        </is>
      </c>
      <c r="O119" s="20" t="inlineStr">
        <is>
          <t>VroomRXP6aqLVF4JBPip4Aphi8KjfCynTVc6YThHUtE</t>
        </is>
      </c>
      <c r="P119" s="20">
        <f>HYPERLINK("https://dexscreener.com/solana/VroomRXP6aqLVF4JBPip4Aphi8KjfCynTVc6YThHUtE", "View")</f>
        <v/>
      </c>
    </row>
    <row r="120">
      <c r="A120" s="15" t="inlineStr">
        <is>
          <t>LEVI</t>
        </is>
      </c>
      <c r="B120" s="16" t="n">
        <v>495777</v>
      </c>
      <c r="C120" s="16" t="n">
        <v>495777</v>
      </c>
      <c r="D120" s="16" t="inlineStr">
        <is>
          <t>0.025010</t>
        </is>
      </c>
      <c r="E120" s="16" t="inlineStr">
        <is>
          <t>1.980 SOL</t>
        </is>
      </c>
      <c r="F120" s="16" t="inlineStr">
        <is>
          <t>0.492 SOL</t>
        </is>
      </c>
      <c r="G120" s="24" t="inlineStr">
        <is>
          <t>-1.513 SOL</t>
        </is>
      </c>
      <c r="H120" s="24" t="inlineStr">
        <is>
          <t>-75.47%</t>
        </is>
      </c>
      <c r="I120" s="16" t="inlineStr">
        <is>
          <t>N/A</t>
        </is>
      </c>
      <c r="J120" s="16" t="n">
        <v>1</v>
      </c>
      <c r="K120" s="16" t="n">
        <v>1</v>
      </c>
      <c r="L120" s="16" t="inlineStr">
        <is>
          <t>06.08.2024 22:38:09</t>
        </is>
      </c>
      <c r="M120" s="16" t="inlineStr">
        <is>
          <t>4 days</t>
        </is>
      </c>
      <c r="N120" s="16" t="inlineStr">
        <is>
          <t xml:space="preserve">        700K           174K            12K</t>
        </is>
      </c>
      <c r="O120" s="16" t="inlineStr">
        <is>
          <t>2jqbKVopqHEvUoWqLTwSNEFe88MRQAhUuvBV13Jfpump</t>
        </is>
      </c>
      <c r="P120" s="16">
        <f>HYPERLINK("https://dexscreener.com/solana/2jqbKVopqHEvUoWqLTwSNEFe88MRQAhUuvBV13Jfpump", "View")</f>
        <v/>
      </c>
    </row>
    <row r="121">
      <c r="A121" s="19" t="inlineStr">
        <is>
          <t>thumb</t>
        </is>
      </c>
      <c r="B121" s="20" t="n">
        <v>17456</v>
      </c>
      <c r="C121" s="20" t="n">
        <v>17456</v>
      </c>
      <c r="D121" s="20" t="inlineStr">
        <is>
          <t>0.025010</t>
        </is>
      </c>
      <c r="E121" s="20" t="inlineStr">
        <is>
          <t>1.980 SOL</t>
        </is>
      </c>
      <c r="F121" s="20" t="inlineStr">
        <is>
          <t>1.241 SOL</t>
        </is>
      </c>
      <c r="G121" s="21" t="inlineStr">
        <is>
          <t>-0.764 SOL</t>
        </is>
      </c>
      <c r="H121" s="21" t="inlineStr">
        <is>
          <t>-38.10%</t>
        </is>
      </c>
      <c r="I121" s="20" t="inlineStr">
        <is>
          <t>N/A</t>
        </is>
      </c>
      <c r="J121" s="20" t="n">
        <v>1</v>
      </c>
      <c r="K121" s="20" t="n">
        <v>1</v>
      </c>
      <c r="L121" s="20" t="inlineStr">
        <is>
          <t>06.08.2024 18:05:21</t>
        </is>
      </c>
      <c r="M121" s="20" t="inlineStr">
        <is>
          <t>44 min</t>
        </is>
      </c>
      <c r="N121" s="20" t="inlineStr">
        <is>
          <t xml:space="preserve">          4M             3M           791K</t>
        </is>
      </c>
      <c r="O121" s="20" t="inlineStr">
        <is>
          <t>BdNKUUo8vnvdhwi1Ejn4PXNfeeQF2374hCK3m91ppump</t>
        </is>
      </c>
      <c r="P121" s="20">
        <f>HYPERLINK("https://dexscreener.com/solana/BdNKUUo8vnvdhwi1Ejn4PXNfeeQF2374hCK3m91ppump", "View")</f>
        <v/>
      </c>
    </row>
    <row r="122">
      <c r="A122" s="15" t="inlineStr">
        <is>
          <t>nothing</t>
        </is>
      </c>
      <c r="B122" s="16" t="n">
        <v>5156562</v>
      </c>
      <c r="C122" s="16" t="n">
        <v>5156562</v>
      </c>
      <c r="D122" s="16" t="inlineStr">
        <is>
          <t>0.055020</t>
        </is>
      </c>
      <c r="E122" s="16" t="inlineStr">
        <is>
          <t>1.027 SOL</t>
        </is>
      </c>
      <c r="F122" s="16" t="inlineStr">
        <is>
          <t>8.967 SOL</t>
        </is>
      </c>
      <c r="G122" s="23" t="inlineStr">
        <is>
          <t>7.885 SOL</t>
        </is>
      </c>
      <c r="H122" s="23" t="inlineStr">
        <is>
          <t>728.71%</t>
        </is>
      </c>
      <c r="I122" s="16" t="inlineStr">
        <is>
          <t>N/A</t>
        </is>
      </c>
      <c r="J122" s="16" t="n">
        <v>1</v>
      </c>
      <c r="K122" s="16" t="n">
        <v>4</v>
      </c>
      <c r="L122" s="16" t="inlineStr">
        <is>
          <t>06.08.2024 14:37:20</t>
        </is>
      </c>
      <c r="M122" s="16" t="inlineStr">
        <is>
          <t>3 hours</t>
        </is>
      </c>
      <c r="N122" s="16" t="inlineStr">
        <is>
          <t xml:space="preserve">         35K           149K             6K</t>
        </is>
      </c>
      <c r="O122" s="16" t="inlineStr">
        <is>
          <t>GPjhv2AFgcz9ovDDDq1EujuGHUJH9kjhrPzsjPJLpump</t>
        </is>
      </c>
      <c r="P122" s="16">
        <f>HYPERLINK("https://photon-sol.tinyastro.io/en/lp/GPjhv2AFgcz9ovDDDq1EujuGHUJH9kjhrPzsjPJLpump?handle=676050794bc1b1657a56b", "View")</f>
        <v/>
      </c>
    </row>
    <row r="123">
      <c r="A123" s="19" t="inlineStr">
        <is>
          <t>lurpee</t>
        </is>
      </c>
      <c r="B123" s="20" t="n">
        <v>1597584</v>
      </c>
      <c r="C123" s="20" t="n">
        <v>1597584</v>
      </c>
      <c r="D123" s="20" t="inlineStr">
        <is>
          <t>0.025010</t>
        </is>
      </c>
      <c r="E123" s="20" t="inlineStr">
        <is>
          <t>0.527 SOL</t>
        </is>
      </c>
      <c r="F123" s="20" t="inlineStr">
        <is>
          <t>0.475 SOL</t>
        </is>
      </c>
      <c r="G123" s="21" t="inlineStr">
        <is>
          <t>-0.077 SOL</t>
        </is>
      </c>
      <c r="H123" s="21" t="inlineStr">
        <is>
          <t>-14.02%</t>
        </is>
      </c>
      <c r="I123" s="20" t="inlineStr">
        <is>
          <t>N/A</t>
        </is>
      </c>
      <c r="J123" s="20" t="n">
        <v>1</v>
      </c>
      <c r="K123" s="20" t="n">
        <v>1</v>
      </c>
      <c r="L123" s="20" t="inlineStr">
        <is>
          <t>04.08.2024 09:52:20</t>
        </is>
      </c>
      <c r="M123" s="18" t="inlineStr">
        <is>
          <t>38 sec</t>
        </is>
      </c>
      <c r="N123" s="20" t="inlineStr">
        <is>
          <t xml:space="preserve">        N/A           N/A           N/A</t>
        </is>
      </c>
      <c r="O123" s="20" t="inlineStr">
        <is>
          <t>2UPZFHS8b6Vt5hEhSqTfDHuXjiCNWCCeDuGKkpBPpump</t>
        </is>
      </c>
      <c r="P123" s="20">
        <f>HYPERLINK("https://photon-sol.tinyastro.io/en/lp/2UPZFHS8b6Vt5hEhSqTfDHuXjiCNWCCeDuGKkpBPpump?handle=676050794bc1b1657a56b", "View")</f>
        <v/>
      </c>
    </row>
    <row r="124">
      <c r="A124" s="15" t="inlineStr">
        <is>
          <t>Chitan</t>
        </is>
      </c>
      <c r="B124" s="16" t="n">
        <v>90432</v>
      </c>
      <c r="C124" s="16" t="n">
        <v>90432</v>
      </c>
      <c r="D124" s="16" t="inlineStr">
        <is>
          <t>0.025010</t>
        </is>
      </c>
      <c r="E124" s="16" t="inlineStr">
        <is>
          <t>4.950 SOL</t>
        </is>
      </c>
      <c r="F124" s="16" t="inlineStr">
        <is>
          <t>4.139 SOL</t>
        </is>
      </c>
      <c r="G124" s="21" t="inlineStr">
        <is>
          <t>-0.836 SOL</t>
        </is>
      </c>
      <c r="H124" s="21" t="inlineStr">
        <is>
          <t>-16.81%</t>
        </is>
      </c>
      <c r="I124" s="16" t="inlineStr">
        <is>
          <t>N/A</t>
        </is>
      </c>
      <c r="J124" s="16" t="n">
        <v>1</v>
      </c>
      <c r="K124" s="16" t="n">
        <v>1</v>
      </c>
      <c r="L124" s="16" t="inlineStr">
        <is>
          <t>03.08.2024 11:52:13</t>
        </is>
      </c>
      <c r="M124" s="16" t="inlineStr">
        <is>
          <t>6 min</t>
        </is>
      </c>
      <c r="N124" s="16" t="inlineStr">
        <is>
          <t xml:space="preserve">          9M             8M             1M</t>
        </is>
      </c>
      <c r="O124" s="16" t="inlineStr">
        <is>
          <t>J95PxHUEytzTGbf9DpLpyPHXnUTWN4FbRk2Jnc5nYKa3</t>
        </is>
      </c>
      <c r="P124" s="16">
        <f>HYPERLINK("https://dexscreener.com/solana/J95PxHUEytzTGbf9DpLpyPHXnUTWN4FbRk2Jnc5nYKa3", "View")</f>
        <v/>
      </c>
    </row>
    <row r="125">
      <c r="A125" s="19" t="inlineStr">
        <is>
          <t>onigiri</t>
        </is>
      </c>
      <c r="B125" s="20" t="n">
        <v>542653</v>
      </c>
      <c r="C125" s="20" t="n">
        <v>542653</v>
      </c>
      <c r="D125" s="20" t="inlineStr">
        <is>
          <t>0.025010</t>
        </is>
      </c>
      <c r="E125" s="20" t="inlineStr">
        <is>
          <t>4.950 SOL</t>
        </is>
      </c>
      <c r="F125" s="20" t="inlineStr">
        <is>
          <t>3.551 SOL</t>
        </is>
      </c>
      <c r="G125" s="21" t="inlineStr">
        <is>
          <t>-1.424 SOL</t>
        </is>
      </c>
      <c r="H125" s="21" t="inlineStr">
        <is>
          <t>-28.62%</t>
        </is>
      </c>
      <c r="I125" s="20" t="inlineStr">
        <is>
          <t>N/A</t>
        </is>
      </c>
      <c r="J125" s="20" t="n">
        <v>1</v>
      </c>
      <c r="K125" s="20" t="n">
        <v>1</v>
      </c>
      <c r="L125" s="20" t="inlineStr">
        <is>
          <t>01.08.2024 22:29:38</t>
        </is>
      </c>
      <c r="M125" s="20" t="inlineStr">
        <is>
          <t>6 min</t>
        </is>
      </c>
      <c r="N125" s="20" t="inlineStr">
        <is>
          <t xml:space="preserve">          2M             1M            30K</t>
        </is>
      </c>
      <c r="O125" s="20" t="inlineStr">
        <is>
          <t>9ibewRtF2yGBNumg3K3uL2GahsUeQ1zsBjb76Eypump</t>
        </is>
      </c>
      <c r="P125" s="20">
        <f>HYPERLINK("https://dexscreener.com/solana/9ibewRtF2yGBNumg3K3uL2GahsUeQ1zsBjb76Eypump", "View")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HYPERLINK("https://gmgn.ai/sol/address/7ApjVzSa4eWsH7hi5aCwPjbo1k2cw9unV2vy4VQZuL7K", "GMGN")</f>
        <v/>
      </c>
    </row>
    <row r="2">
      <c r="A2" s="3" t="inlineStr">
        <is>
          <t>7ApjVzSa4eWsH7hi5aCwPjbo1k2cw9unV2vy4VQZuL7K</t>
        </is>
      </c>
      <c r="B2" s="3" t="inlineStr">
        <is>
          <t>9.44 SOL</t>
        </is>
      </c>
      <c r="C2" s="3" t="inlineStr">
        <is>
          <t>78%</t>
        </is>
      </c>
      <c r="D2" s="3" t="inlineStr">
        <is>
          <t>125%</t>
        </is>
      </c>
      <c r="E2" s="3" t="inlineStr">
        <is>
          <t>9.27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1</v>
      </c>
      <c r="N2" s="3">
        <f>HYPERLINK("https://solscan.io/account/7ApjVzSa4eWsH7hi5aCwPjbo1k2cw9unV2vy4VQZuL7K", "Solscan")</f>
        <v/>
      </c>
    </row>
    <row r="3">
      <c r="A3" s="6" t="inlineStr">
        <is>
          <t>Median ROI</t>
        </is>
      </c>
      <c r="B3" s="4" t="inlineStr">
        <is>
          <t>51.11%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HYPERLINK("https://birdeye.so/profile/7ApjVzSa4eWsH7hi5aCwPjbo1k2cw9unV2vy4VQZuL7K", "Birdeye")</f>
        <v/>
      </c>
    </row>
    <row r="4">
      <c r="A4" s="6" t="inlineStr">
        <is>
          <t>Rockets percent</t>
        </is>
      </c>
      <c r="B4" s="3" t="inlineStr">
        <is>
          <t>22%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1</v>
      </c>
      <c r="D10" s="6" t="n">
        <v>3</v>
      </c>
      <c r="E10" s="6" t="n">
        <v>2</v>
      </c>
      <c r="F10" s="6" t="n">
        <v>1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11.1%</t>
        </is>
      </c>
      <c r="C11" s="6" t="inlineStr">
        <is>
          <t>11.1%</t>
        </is>
      </c>
      <c r="D11" s="6" t="inlineStr">
        <is>
          <t>33.3%</t>
        </is>
      </c>
      <c r="E11" s="6" t="inlineStr">
        <is>
          <t>22.2%</t>
        </is>
      </c>
      <c r="F11" s="6" t="inlineStr">
        <is>
          <t>11.1%</t>
        </is>
      </c>
      <c r="G11" s="6" t="inlineStr">
        <is>
          <t>11.1%</t>
        </is>
      </c>
      <c r="H11" s="3" t="n"/>
      <c r="I11" s="3" t="inlineStr">
        <is>
          <t>5k-30k</t>
        </is>
      </c>
      <c r="J11" s="3" t="inlineStr">
        <is>
          <t>8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6.6 SOL</t>
        </is>
      </c>
      <c r="C12" s="6" t="inlineStr">
        <is>
          <t>1.3 SOL</t>
        </is>
      </c>
      <c r="D12" s="6" t="inlineStr">
        <is>
          <t>1.7 SOL</t>
        </is>
      </c>
      <c r="E12" s="6" t="inlineStr">
        <is>
          <t>0.0 SOL</t>
        </is>
      </c>
      <c r="F12" s="6" t="inlineStr">
        <is>
          <t>-0.2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12.0K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Glory</t>
        </is>
      </c>
      <c r="B20" s="16" t="n">
        <v>8984506</v>
      </c>
      <c r="C20" s="16" t="n">
        <v>8984506</v>
      </c>
      <c r="D20" s="16" t="inlineStr">
        <is>
          <t>0.020010</t>
        </is>
      </c>
      <c r="E20" s="16" t="inlineStr">
        <is>
          <t>0.666 SOL</t>
        </is>
      </c>
      <c r="F20" s="16" t="inlineStr">
        <is>
          <t>0.480 SOL</t>
        </is>
      </c>
      <c r="G20" s="21" t="inlineStr">
        <is>
          <t>-0.206 SOL</t>
        </is>
      </c>
      <c r="H20" s="21" t="inlineStr">
        <is>
          <t>-30.01%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17:34:58</t>
        </is>
      </c>
      <c r="M20" s="16" t="inlineStr">
        <is>
          <t>3 min</t>
        </is>
      </c>
      <c r="N20" s="16" t="inlineStr">
        <is>
          <t xml:space="preserve">         12K            12K             6K</t>
        </is>
      </c>
      <c r="O20" s="16" t="inlineStr">
        <is>
          <t>DZqXyNkK52FpPHGN73EmvvLoSZNXskpNvtL1GMjLpump</t>
        </is>
      </c>
      <c r="P20" s="16">
        <f>HYPERLINK("https://photon-sol.tinyastro.io/en/lp/DZqXyNkK52FpPHGN73EmvvLoSZNXskpNvtL1GMjLpump?handle=676050794bc1b1657a56b", "View")</f>
        <v/>
      </c>
    </row>
    <row r="21">
      <c r="A21" s="19" t="inlineStr">
        <is>
          <t>Liberty</t>
        </is>
      </c>
      <c r="B21" s="20" t="n">
        <v>8959841</v>
      </c>
      <c r="C21" s="20" t="n">
        <v>8959841</v>
      </c>
      <c r="D21" s="20" t="inlineStr">
        <is>
          <t>0.200100</t>
        </is>
      </c>
      <c r="E21" s="20" t="inlineStr">
        <is>
          <t>0.805 SOL</t>
        </is>
      </c>
      <c r="F21" s="20" t="inlineStr">
        <is>
          <t>1.519 SOL</t>
        </is>
      </c>
      <c r="G21" s="23" t="inlineStr">
        <is>
          <t>0.514 SOL</t>
        </is>
      </c>
      <c r="H21" s="23" t="inlineStr">
        <is>
          <t>51.11%</t>
        </is>
      </c>
      <c r="I21" s="20" t="inlineStr">
        <is>
          <t>N/A</t>
        </is>
      </c>
      <c r="J21" s="20" t="n">
        <v>1</v>
      </c>
      <c r="K21" s="20" t="n">
        <v>19</v>
      </c>
      <c r="L21" s="20" t="inlineStr">
        <is>
          <t>30.10.2024 13:20:51</t>
        </is>
      </c>
      <c r="M21" s="20" t="inlineStr">
        <is>
          <t>4 min</t>
        </is>
      </c>
      <c r="N21" s="20" t="inlineStr">
        <is>
          <t xml:space="preserve">         16K            16K             5K</t>
        </is>
      </c>
      <c r="O21" s="20" t="inlineStr">
        <is>
          <t>CqBmg5ZUoaPg5Yx5uAKYzpyRcXme2UpVmZ8U5iotpump</t>
        </is>
      </c>
      <c r="P21" s="20">
        <f>HYPERLINK("https://photon-sol.tinyastro.io/en/lp/CqBmg5ZUoaPg5Yx5uAKYzpyRcXme2UpVmZ8U5iotpump?handle=676050794bc1b1657a56b", "View")</f>
        <v/>
      </c>
    </row>
    <row r="22">
      <c r="A22" s="15" t="inlineStr">
        <is>
          <t>Torin</t>
        </is>
      </c>
      <c r="B22" s="16" t="n">
        <v>10163367</v>
      </c>
      <c r="C22" s="16" t="n">
        <v>10163367</v>
      </c>
      <c r="D22" s="16" t="inlineStr">
        <is>
          <t>0.130060</t>
        </is>
      </c>
      <c r="E22" s="16" t="inlineStr">
        <is>
          <t>0.433 SOL</t>
        </is>
      </c>
      <c r="F22" s="16" t="inlineStr">
        <is>
          <t>1.827 SOL</t>
        </is>
      </c>
      <c r="G22" s="23" t="inlineStr">
        <is>
          <t>1.264 SOL</t>
        </is>
      </c>
      <c r="H22" s="23" t="inlineStr">
        <is>
          <t>224.57%</t>
        </is>
      </c>
      <c r="I22" s="16" t="inlineStr">
        <is>
          <t>N/A</t>
        </is>
      </c>
      <c r="J22" s="16" t="n">
        <v>1</v>
      </c>
      <c r="K22" s="16" t="n">
        <v>12</v>
      </c>
      <c r="L22" s="16" t="inlineStr">
        <is>
          <t>30.10.2024 06:27:41</t>
        </is>
      </c>
      <c r="M22" s="16" t="inlineStr">
        <is>
          <t>6 min</t>
        </is>
      </c>
      <c r="N22" s="16" t="inlineStr">
        <is>
          <t xml:space="preserve">          7K            16K             3K</t>
        </is>
      </c>
      <c r="O22" s="16" t="inlineStr">
        <is>
          <t>HxdzGHd2jLF12UHjgFKCb6zMzgfqGnwRvwKweXmXpump</t>
        </is>
      </c>
      <c r="P22" s="16">
        <f>HYPERLINK("https://photon-sol.tinyastro.io/en/lp/HxdzGHd2jLF12UHjgFKCb6zMzgfqGnwRvwKweXmXpump?handle=676050794bc1b1657a56b", "View")</f>
        <v/>
      </c>
    </row>
    <row r="23">
      <c r="A23" s="19" t="inlineStr">
        <is>
          <t>Torin</t>
        </is>
      </c>
      <c r="B23" s="20" t="n">
        <v>8831328</v>
      </c>
      <c r="C23" s="20" t="n">
        <v>8831328</v>
      </c>
      <c r="D23" s="20" t="inlineStr">
        <is>
          <t>0.640320</t>
        </is>
      </c>
      <c r="E23" s="20" t="inlineStr">
        <is>
          <t>0.377 SOL</t>
        </is>
      </c>
      <c r="F23" s="20" t="inlineStr">
        <is>
          <t>7.657 SOL</t>
        </is>
      </c>
      <c r="G23" s="23" t="inlineStr">
        <is>
          <t>6.640 SOL</t>
        </is>
      </c>
      <c r="H23" s="23" t="inlineStr">
        <is>
          <t>652.74%</t>
        </is>
      </c>
      <c r="I23" s="20" t="inlineStr">
        <is>
          <t>N/A</t>
        </is>
      </c>
      <c r="J23" s="20" t="n">
        <v>1</v>
      </c>
      <c r="K23" s="20" t="n">
        <v>63</v>
      </c>
      <c r="L23" s="20" t="inlineStr">
        <is>
          <t>30.10.2024 06:17:46</t>
        </is>
      </c>
      <c r="M23" s="20" t="inlineStr">
        <is>
          <t>7 min</t>
        </is>
      </c>
      <c r="N23" s="20" t="inlineStr">
        <is>
          <t xml:space="preserve">          7K           102K             7K</t>
        </is>
      </c>
      <c r="O23" s="20" t="inlineStr">
        <is>
          <t>ALKTKLRTyF3P83KMCAvGEtY4CsoMzvh1k38uixCgpump</t>
        </is>
      </c>
      <c r="P23" s="20">
        <f>HYPERLINK("https://photon-sol.tinyastro.io/en/lp/ALKTKLRTyF3P83KMCAvGEtY4CsoMzvh1k38uixCgpump?handle=676050794bc1b1657a56b", "View")</f>
        <v/>
      </c>
    </row>
    <row r="24">
      <c r="A24" s="15" t="inlineStr">
        <is>
          <t>Butters</t>
        </is>
      </c>
      <c r="B24" s="16" t="n">
        <v>7929767</v>
      </c>
      <c r="C24" s="16" t="n">
        <v>7929767</v>
      </c>
      <c r="D24" s="16" t="inlineStr">
        <is>
          <t>0.020010</t>
        </is>
      </c>
      <c r="E24" s="16" t="inlineStr">
        <is>
          <t>0.630 SOL</t>
        </is>
      </c>
      <c r="F24" s="16" t="inlineStr">
        <is>
          <t>1.006 SOL</t>
        </is>
      </c>
      <c r="G24" s="23" t="inlineStr">
        <is>
          <t>0.356 SOL</t>
        </is>
      </c>
      <c r="H24" s="23" t="inlineStr">
        <is>
          <t>54.68%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18:24:57</t>
        </is>
      </c>
      <c r="M24" s="16" t="inlineStr">
        <is>
          <t>7 min</t>
        </is>
      </c>
      <c r="N24" s="16" t="inlineStr">
        <is>
          <t xml:space="preserve">         14K            23K             4K</t>
        </is>
      </c>
      <c r="O24" s="16" t="inlineStr">
        <is>
          <t>BFc3G2JaqZA3eCJzWiSMhGZp7aXwonXETtr2Nudppump</t>
        </is>
      </c>
      <c r="P24" s="16">
        <f>HYPERLINK("https://photon-sol.tinyastro.io/en/lp/BFc3G2JaqZA3eCJzWiSMhGZp7aXwonXETtr2Nudppump?handle=676050794bc1b1657a56b", "View")</f>
        <v/>
      </c>
    </row>
    <row r="25">
      <c r="A25" s="19" t="inlineStr">
        <is>
          <t>Nina</t>
        </is>
      </c>
      <c r="B25" s="20" t="n">
        <v>11778199</v>
      </c>
      <c r="C25" s="20" t="n">
        <v>11778199</v>
      </c>
      <c r="D25" s="20" t="inlineStr">
        <is>
          <t>0.020010</t>
        </is>
      </c>
      <c r="E25" s="20" t="inlineStr">
        <is>
          <t>0.862 SOL</t>
        </is>
      </c>
      <c r="F25" s="20" t="inlineStr">
        <is>
          <t>0.910 SOL</t>
        </is>
      </c>
      <c r="G25" s="22" t="inlineStr">
        <is>
          <t>0.028 SOL</t>
        </is>
      </c>
      <c r="H25" s="22" t="inlineStr">
        <is>
          <t>3.17%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29.10.2024 15:46:54</t>
        </is>
      </c>
      <c r="M25" s="20" t="inlineStr">
        <is>
          <t>4 min</t>
        </is>
      </c>
      <c r="N25" s="20" t="inlineStr">
        <is>
          <t xml:space="preserve">         12K            14K             5K</t>
        </is>
      </c>
      <c r="O25" s="20" t="inlineStr">
        <is>
          <t>CDkwBE7pPovZLJC2KxM7jvWXkyygR1Y1u2R7f6hmpump</t>
        </is>
      </c>
      <c r="P25" s="20">
        <f>HYPERLINK("https://photon-sol.tinyastro.io/en/lp/CDkwBE7pPovZLJC2KxM7jvWXkyygR1Y1u2R7f6hmpump?handle=676050794bc1b1657a56b", "View")</f>
        <v/>
      </c>
    </row>
    <row r="26">
      <c r="A26" s="15" t="inlineStr">
        <is>
          <t>MOLANG</t>
        </is>
      </c>
      <c r="B26" s="16" t="n">
        <v>6064798</v>
      </c>
      <c r="C26" s="16" t="n">
        <v>6064798</v>
      </c>
      <c r="D26" s="16" t="inlineStr">
        <is>
          <t>0.320030</t>
        </is>
      </c>
      <c r="E26" s="16" t="inlineStr">
        <is>
          <t>1.078 SOL</t>
        </is>
      </c>
      <c r="F26" s="16" t="inlineStr">
        <is>
          <t>1.404 SOL</t>
        </is>
      </c>
      <c r="G26" s="22" t="inlineStr">
        <is>
          <t>0.006 SOL</t>
        </is>
      </c>
      <c r="H26" s="22" t="inlineStr">
        <is>
          <t>0.46%</t>
        </is>
      </c>
      <c r="I26" s="16" t="inlineStr">
        <is>
          <t>N/A</t>
        </is>
      </c>
      <c r="J26" s="16" t="n">
        <v>3</v>
      </c>
      <c r="K26" s="16" t="n">
        <v>2</v>
      </c>
      <c r="L26" s="16" t="inlineStr">
        <is>
          <t>29.10.2024 14:48:15</t>
        </is>
      </c>
      <c r="M26" s="16" t="inlineStr">
        <is>
          <t>11 min</t>
        </is>
      </c>
      <c r="N26" s="16" t="inlineStr">
        <is>
          <t xml:space="preserve">         21K            32K             4K</t>
        </is>
      </c>
      <c r="O26" s="16" t="inlineStr">
        <is>
          <t>BPFXTGBjoARa89gbSvbp7Dy6cQwgGc7efW1jE8nTpump</t>
        </is>
      </c>
      <c r="P26" s="16">
        <f>HYPERLINK("https://photon-sol.tinyastro.io/en/lp/BPFXTGBjoARa89gbSvbp7Dy6cQwgGc7efW1jE8nTpump?handle=676050794bc1b1657a56b", "View")</f>
        <v/>
      </c>
    </row>
    <row r="27">
      <c r="A27" s="19" t="inlineStr">
        <is>
          <t>Trina</t>
        </is>
      </c>
      <c r="B27" s="20" t="n">
        <v>11384893</v>
      </c>
      <c r="C27" s="20" t="n">
        <v>11384893</v>
      </c>
      <c r="D27" s="20" t="inlineStr">
        <is>
          <t>0.410160</t>
        </is>
      </c>
      <c r="E27" s="20" t="inlineStr">
        <is>
          <t>0.593 SOL</t>
        </is>
      </c>
      <c r="F27" s="20" t="inlineStr">
        <is>
          <t>1.796 SOL</t>
        </is>
      </c>
      <c r="G27" s="23" t="inlineStr">
        <is>
          <t>0.793 SOL</t>
        </is>
      </c>
      <c r="H27" s="23" t="inlineStr">
        <is>
          <t>79.09%</t>
        </is>
      </c>
      <c r="I27" s="20" t="inlineStr">
        <is>
          <t>N/A</t>
        </is>
      </c>
      <c r="J27" s="20" t="n">
        <v>1</v>
      </c>
      <c r="K27" s="20" t="n">
        <v>31</v>
      </c>
      <c r="L27" s="20" t="inlineStr">
        <is>
          <t>29.10.2024 13:33:33</t>
        </is>
      </c>
      <c r="M27" s="20" t="inlineStr">
        <is>
          <t>9 min</t>
        </is>
      </c>
      <c r="N27" s="20" t="inlineStr">
        <is>
          <t xml:space="preserve">          9K            14K             4K</t>
        </is>
      </c>
      <c r="O27" s="20" t="inlineStr">
        <is>
          <t>DirQ7FDi1C5SZCy8ai1GTSvnm9o8MDf9s4C4cExzpump</t>
        </is>
      </c>
      <c r="P27" s="20">
        <f>HYPERLINK("https://photon-sol.tinyastro.io/en/lp/DirQ7FDi1C5SZCy8ai1GTSvnm9o8MDf9s4C4cExzpump?handle=676050794bc1b1657a56b", "View")</f>
        <v/>
      </c>
    </row>
    <row r="28">
      <c r="A28" s="15" t="inlineStr">
        <is>
          <t>Trina</t>
        </is>
      </c>
      <c r="B28" s="16" t="n">
        <v>585788</v>
      </c>
      <c r="C28" s="16" t="n">
        <v>585788</v>
      </c>
      <c r="D28" s="16" t="inlineStr">
        <is>
          <t>0.110010</t>
        </is>
      </c>
      <c r="E28" s="16" t="inlineStr">
        <is>
          <t>0.131 SOL</t>
        </is>
      </c>
      <c r="F28" s="16" t="inlineStr">
        <is>
          <t>0.114 SOL</t>
        </is>
      </c>
      <c r="G28" s="24" t="inlineStr">
        <is>
          <t>-0.127 SOL</t>
        </is>
      </c>
      <c r="H28" s="24" t="inlineStr">
        <is>
          <t>-52.86%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29.10.2024 13:22:14</t>
        </is>
      </c>
      <c r="M28" s="16" t="inlineStr">
        <is>
          <t>8 min</t>
        </is>
      </c>
      <c r="N28" s="16" t="inlineStr">
        <is>
          <t xml:space="preserve">         39K            33K             5K</t>
        </is>
      </c>
      <c r="O28" s="16" t="inlineStr">
        <is>
          <t>CsT44i2W2MWp23WQ2EqjorxZVVzuN4niw1cj1Qr5pump</t>
        </is>
      </c>
      <c r="P28" s="16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HYPERLINK("https://gmgn.ai/sol/address/77AeyLRLcrFb195Qve1bUxFHWYVVvGRQDLmNpSnrpfJP", "GMGN")</f>
        <v/>
      </c>
    </row>
    <row r="2">
      <c r="A2" s="3" t="inlineStr">
        <is>
          <t>77AeyLRLcrFb195Qve1bUxFHWYVVvGRQDLmNpSnrpfJP</t>
        </is>
      </c>
      <c r="B2" s="3" t="inlineStr">
        <is>
          <t>9.88 SOL</t>
        </is>
      </c>
      <c r="C2" s="3" t="inlineStr">
        <is>
          <t>78%</t>
        </is>
      </c>
      <c r="D2" s="3" t="inlineStr">
        <is>
          <t>150%</t>
        </is>
      </c>
      <c r="E2" s="3" t="inlineStr">
        <is>
          <t>9.73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0</v>
      </c>
      <c r="N2" s="3">
        <f>HYPERLINK("https://solscan.io/account/77AeyLRLcrFb195Qve1bUxFHWYVVvGRQDLmNpSnrpfJP", "Solscan")</f>
        <v/>
      </c>
    </row>
    <row r="3">
      <c r="A3" s="6" t="inlineStr">
        <is>
          <t>Median ROI</t>
        </is>
      </c>
      <c r="B3" s="4" t="inlineStr">
        <is>
          <t>34.83%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HYPERLINK("https://birdeye.so/profile/77AeyLRLcrFb195Qve1bUxFHWYVVvGRQDLmNpSnrpfJP", "Birdeye")</f>
        <v/>
      </c>
    </row>
    <row r="4">
      <c r="A4" s="6" t="inlineStr">
        <is>
          <t>Rockets percent</t>
        </is>
      </c>
      <c r="B4" s="4" t="inlineStr">
        <is>
          <t>33%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2</v>
      </c>
      <c r="D10" s="6" t="n">
        <v>1</v>
      </c>
      <c r="E10" s="6" t="n">
        <v>3</v>
      </c>
      <c r="F10" s="6" t="n">
        <v>1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11.1%</t>
        </is>
      </c>
      <c r="C11" s="6" t="inlineStr">
        <is>
          <t>22.2%</t>
        </is>
      </c>
      <c r="D11" s="6" t="inlineStr">
        <is>
          <t>11.1%</t>
        </is>
      </c>
      <c r="E11" s="6" t="inlineStr">
        <is>
          <t>33.3%</t>
        </is>
      </c>
      <c r="F11" s="6" t="inlineStr">
        <is>
          <t>11.1%</t>
        </is>
      </c>
      <c r="G11" s="6" t="inlineStr">
        <is>
          <t>11.1%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6.7 SOL</t>
        </is>
      </c>
      <c r="C12" s="6" t="inlineStr">
        <is>
          <t>2.1 SOL</t>
        </is>
      </c>
      <c r="D12" s="6" t="inlineStr">
        <is>
          <t>1.1 SOL</t>
        </is>
      </c>
      <c r="E12" s="6" t="inlineStr">
        <is>
          <t>0.3 SOL</t>
        </is>
      </c>
      <c r="F12" s="6" t="inlineStr">
        <is>
          <t>-0.3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11.0K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Glory</t>
        </is>
      </c>
      <c r="B20" s="16" t="n">
        <v>8984506</v>
      </c>
      <c r="C20" s="16" t="n">
        <v>8984506</v>
      </c>
      <c r="D20" s="16" t="inlineStr">
        <is>
          <t>0.020010</t>
        </is>
      </c>
      <c r="E20" s="16" t="inlineStr">
        <is>
          <t>0.467 SOL</t>
        </is>
      </c>
      <c r="F20" s="16" t="inlineStr">
        <is>
          <t>0.657 SOL</t>
        </is>
      </c>
      <c r="G20" s="22" t="inlineStr">
        <is>
          <t>0.170 SOL</t>
        </is>
      </c>
      <c r="H20" s="22" t="inlineStr">
        <is>
          <t>34.83%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17:34:53</t>
        </is>
      </c>
      <c r="M20" s="16" t="inlineStr">
        <is>
          <t>3 min</t>
        </is>
      </c>
      <c r="N20" s="16" t="inlineStr">
        <is>
          <t xml:space="preserve">          9K            12K             6K</t>
        </is>
      </c>
      <c r="O20" s="16" t="inlineStr">
        <is>
          <t>DZqXyNkK52FpPHGN73EmvvLoSZNXskpNvtL1GMjLpump</t>
        </is>
      </c>
      <c r="P20" s="16">
        <f>HYPERLINK("https://photon-sol.tinyastro.io/en/lp/DZqXyNkK52FpPHGN73EmvvLoSZNXskpNvtL1GMjLpump?handle=676050794bc1b1657a56b", "View")</f>
        <v/>
      </c>
    </row>
    <row r="21">
      <c r="A21" s="19" t="inlineStr">
        <is>
          <t>Liberty</t>
        </is>
      </c>
      <c r="B21" s="20" t="n">
        <v>8959841</v>
      </c>
      <c r="C21" s="20" t="n">
        <v>8959841</v>
      </c>
      <c r="D21" s="20" t="inlineStr">
        <is>
          <t>0.190090</t>
        </is>
      </c>
      <c r="E21" s="20" t="inlineStr">
        <is>
          <t>0.448 SOL</t>
        </is>
      </c>
      <c r="F21" s="20" t="inlineStr">
        <is>
          <t>1.509 SOL</t>
        </is>
      </c>
      <c r="G21" s="23" t="inlineStr">
        <is>
          <t>0.872 SOL</t>
        </is>
      </c>
      <c r="H21" s="23" t="inlineStr">
        <is>
          <t>136.71%</t>
        </is>
      </c>
      <c r="I21" s="20" t="inlineStr">
        <is>
          <t>N/A</t>
        </is>
      </c>
      <c r="J21" s="20" t="n">
        <v>1</v>
      </c>
      <c r="K21" s="20" t="n">
        <v>18</v>
      </c>
      <c r="L21" s="20" t="inlineStr">
        <is>
          <t>30.10.2024 13:20:50</t>
        </is>
      </c>
      <c r="M21" s="20" t="inlineStr">
        <is>
          <t>4 min</t>
        </is>
      </c>
      <c r="N21" s="20" t="inlineStr">
        <is>
          <t xml:space="preserve">          9K             9K             5K</t>
        </is>
      </c>
      <c r="O21" s="20" t="inlineStr">
        <is>
          <t>CqBmg5ZUoaPg5Yx5uAKYzpyRcXme2UpVmZ8U5iotpump</t>
        </is>
      </c>
      <c r="P21" s="20">
        <f>HYPERLINK("https://photon-sol.tinyastro.io/en/lp/CqBmg5ZUoaPg5Yx5uAKYzpyRcXme2UpVmZ8U5iotpump?handle=676050794bc1b1657a56b", "View")</f>
        <v/>
      </c>
    </row>
    <row r="22">
      <c r="A22" s="15" t="inlineStr">
        <is>
          <t>Torin</t>
        </is>
      </c>
      <c r="B22" s="16" t="n">
        <v>10163367</v>
      </c>
      <c r="C22" s="16" t="n">
        <v>10163367</v>
      </c>
      <c r="D22" s="16" t="inlineStr">
        <is>
          <t>0.130060</t>
        </is>
      </c>
      <c r="E22" s="16" t="inlineStr">
        <is>
          <t>0.508 SOL</t>
        </is>
      </c>
      <c r="F22" s="16" t="inlineStr">
        <is>
          <t>1.834 SOL</t>
        </is>
      </c>
      <c r="G22" s="23" t="inlineStr">
        <is>
          <t>1.196 SOL</t>
        </is>
      </c>
      <c r="H22" s="23" t="inlineStr">
        <is>
          <t>187.51%</t>
        </is>
      </c>
      <c r="I22" s="16" t="inlineStr">
        <is>
          <t>N/A</t>
        </is>
      </c>
      <c r="J22" s="16" t="n">
        <v>1</v>
      </c>
      <c r="K22" s="16" t="n">
        <v>12</v>
      </c>
      <c r="L22" s="16" t="inlineStr">
        <is>
          <t>30.10.2024 06:27:36</t>
        </is>
      </c>
      <c r="M22" s="16" t="inlineStr">
        <is>
          <t>6 min</t>
        </is>
      </c>
      <c r="N22" s="16" t="inlineStr">
        <is>
          <t xml:space="preserve">          9K            16K             3K</t>
        </is>
      </c>
      <c r="O22" s="16" t="inlineStr">
        <is>
          <t>HxdzGHd2jLF12UHjgFKCb6zMzgfqGnwRvwKweXmXpump</t>
        </is>
      </c>
      <c r="P22" s="16">
        <f>HYPERLINK("https://photon-sol.tinyastro.io/en/lp/HxdzGHd2jLF12UHjgFKCb6zMzgfqGnwRvwKweXmXpump?handle=676050794bc1b1657a56b", "View")</f>
        <v/>
      </c>
    </row>
    <row r="23">
      <c r="A23" s="19" t="inlineStr">
        <is>
          <t>Torin</t>
        </is>
      </c>
      <c r="B23" s="20" t="n">
        <v>8831328</v>
      </c>
      <c r="C23" s="20" t="n">
        <v>8831328</v>
      </c>
      <c r="D23" s="20" t="inlineStr">
        <is>
          <t>0.620310</t>
        </is>
      </c>
      <c r="E23" s="20" t="inlineStr">
        <is>
          <t>0.415 SOL</t>
        </is>
      </c>
      <c r="F23" s="20" t="inlineStr">
        <is>
          <t>7.700 SOL</t>
        </is>
      </c>
      <c r="G23" s="23" t="inlineStr">
        <is>
          <t>6.665 SOL</t>
        </is>
      </c>
      <c r="H23" s="23" t="inlineStr">
        <is>
          <t>643.52%</t>
        </is>
      </c>
      <c r="I23" s="20" t="inlineStr">
        <is>
          <t>N/A</t>
        </is>
      </c>
      <c r="J23" s="20" t="n">
        <v>1</v>
      </c>
      <c r="K23" s="20" t="n">
        <v>61</v>
      </c>
      <c r="L23" s="20" t="inlineStr">
        <is>
          <t>30.10.2024 06:17:46</t>
        </is>
      </c>
      <c r="M23" s="20" t="inlineStr">
        <is>
          <t>7 min</t>
        </is>
      </c>
      <c r="N23" s="20" t="inlineStr">
        <is>
          <t xml:space="preserve">          9K           100K             7K</t>
        </is>
      </c>
      <c r="O23" s="20" t="inlineStr">
        <is>
          <t>ALKTKLRTyF3P83KMCAvGEtY4CsoMzvh1k38uixCgpump</t>
        </is>
      </c>
      <c r="P23" s="20">
        <f>HYPERLINK("https://photon-sol.tinyastro.io/en/lp/ALKTKLRTyF3P83KMCAvGEtY4CsoMzvh1k38uixCgpump?handle=676050794bc1b1657a56b", "View")</f>
        <v/>
      </c>
    </row>
    <row r="24">
      <c r="A24" s="15" t="inlineStr">
        <is>
          <t>Butters</t>
        </is>
      </c>
      <c r="B24" s="16" t="n">
        <v>7929767</v>
      </c>
      <c r="C24" s="16" t="n">
        <v>7929767</v>
      </c>
      <c r="D24" s="16" t="inlineStr">
        <is>
          <t>0.020010</t>
        </is>
      </c>
      <c r="E24" s="16" t="inlineStr">
        <is>
          <t>0.532 SOL</t>
        </is>
      </c>
      <c r="F24" s="16" t="inlineStr">
        <is>
          <t>0.554 SOL</t>
        </is>
      </c>
      <c r="G24" s="22" t="inlineStr">
        <is>
          <t>0.001 SOL</t>
        </is>
      </c>
      <c r="H24" s="22" t="inlineStr">
        <is>
          <t>0.23%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18:25:22</t>
        </is>
      </c>
      <c r="M24" s="16" t="inlineStr">
        <is>
          <t>8 min</t>
        </is>
      </c>
      <c r="N24" s="16" t="inlineStr">
        <is>
          <t xml:space="preserve">         12K            12K             4K</t>
        </is>
      </c>
      <c r="O24" s="16" t="inlineStr">
        <is>
          <t>BFc3G2JaqZA3eCJzWiSMhGZp7aXwonXETtr2Nudppump</t>
        </is>
      </c>
      <c r="P24" s="16">
        <f>HYPERLINK("https://photon-sol.tinyastro.io/en/lp/BFc3G2JaqZA3eCJzWiSMhGZp7aXwonXETtr2Nudppump?handle=676050794bc1b1657a56b", "View")</f>
        <v/>
      </c>
    </row>
    <row r="25">
      <c r="A25" s="19" t="inlineStr">
        <is>
          <t>Nina</t>
        </is>
      </c>
      <c r="B25" s="20" t="n">
        <v>11778199</v>
      </c>
      <c r="C25" s="20" t="n">
        <v>11778199</v>
      </c>
      <c r="D25" s="20" t="inlineStr">
        <is>
          <t>0.020010</t>
        </is>
      </c>
      <c r="E25" s="20" t="inlineStr">
        <is>
          <t>0.957 SOL</t>
        </is>
      </c>
      <c r="F25" s="20" t="inlineStr">
        <is>
          <t>1.110 SOL</t>
        </is>
      </c>
      <c r="G25" s="22" t="inlineStr">
        <is>
          <t>0.133 SOL</t>
        </is>
      </c>
      <c r="H25" s="22" t="inlineStr">
        <is>
          <t>13.57%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29.10.2024 15:46:54</t>
        </is>
      </c>
      <c r="M25" s="20" t="inlineStr">
        <is>
          <t>4 min</t>
        </is>
      </c>
      <c r="N25" s="20" t="inlineStr">
        <is>
          <t xml:space="preserve">         14K            16K             5K</t>
        </is>
      </c>
      <c r="O25" s="20" t="inlineStr">
        <is>
          <t>CDkwBE7pPovZLJC2KxM7jvWXkyygR1Y1u2R7f6hmpump</t>
        </is>
      </c>
      <c r="P25" s="20">
        <f>HYPERLINK("https://photon-sol.tinyastro.io/en/lp/CDkwBE7pPovZLJC2KxM7jvWXkyygR1Y1u2R7f6hmpump?handle=676050794bc1b1657a56b", "View")</f>
        <v/>
      </c>
    </row>
    <row r="26">
      <c r="A26" s="15" t="inlineStr">
        <is>
          <t>MOLANG</t>
        </is>
      </c>
      <c r="B26" s="16" t="n">
        <v>1793028</v>
      </c>
      <c r="C26" s="16" t="n">
        <v>1793028</v>
      </c>
      <c r="D26" s="16" t="inlineStr">
        <is>
          <t>0.220020</t>
        </is>
      </c>
      <c r="E26" s="16" t="inlineStr">
        <is>
          <t>0.545 SOL</t>
        </is>
      </c>
      <c r="F26" s="16" t="inlineStr">
        <is>
          <t>0.480 SOL</t>
        </is>
      </c>
      <c r="G26" s="21" t="inlineStr">
        <is>
          <t>-0.286 SOL</t>
        </is>
      </c>
      <c r="H26" s="21" t="inlineStr">
        <is>
          <t>-37.35%</t>
        </is>
      </c>
      <c r="I26" s="16" t="inlineStr">
        <is>
          <t>N/A</t>
        </is>
      </c>
      <c r="J26" s="16" t="n">
        <v>2</v>
      </c>
      <c r="K26" s="16" t="n">
        <v>2</v>
      </c>
      <c r="L26" s="16" t="inlineStr">
        <is>
          <t>29.10.2024 14:48:15</t>
        </is>
      </c>
      <c r="M26" s="16" t="inlineStr">
        <is>
          <t>10 min</t>
        </is>
      </c>
      <c r="N26" s="16" t="inlineStr">
        <is>
          <t xml:space="preserve">         56K            32K             4K</t>
        </is>
      </c>
      <c r="O26" s="16" t="inlineStr">
        <is>
          <t>BPFXTGBjoARa89gbSvbp7Dy6cQwgGc7efW1jE8nTpump</t>
        </is>
      </c>
      <c r="P26" s="16">
        <f>HYPERLINK("https://photon-sol.tinyastro.io/en/lp/BPFXTGBjoARa89gbSvbp7Dy6cQwgGc7efW1jE8nTpump?handle=676050794bc1b1657a56b", "View")</f>
        <v/>
      </c>
    </row>
    <row r="27">
      <c r="A27" s="19" t="inlineStr">
        <is>
          <t>Trina</t>
        </is>
      </c>
      <c r="B27" s="20" t="n">
        <v>11384893</v>
      </c>
      <c r="C27" s="20" t="n">
        <v>11384893</v>
      </c>
      <c r="D27" s="20" t="inlineStr">
        <is>
          <t>0.470190</t>
        </is>
      </c>
      <c r="E27" s="20" t="inlineStr">
        <is>
          <t>0.695 SOL</t>
        </is>
      </c>
      <c r="F27" s="20" t="inlineStr">
        <is>
          <t>2.267 SOL</t>
        </is>
      </c>
      <c r="G27" s="23" t="inlineStr">
        <is>
          <t>1.101 SOL</t>
        </is>
      </c>
      <c r="H27" s="23" t="inlineStr">
        <is>
          <t>94.48%</t>
        </is>
      </c>
      <c r="I27" s="20" t="inlineStr">
        <is>
          <t>N/A</t>
        </is>
      </c>
      <c r="J27" s="20" t="n">
        <v>1</v>
      </c>
      <c r="K27" s="20" t="n">
        <v>37</v>
      </c>
      <c r="L27" s="20" t="inlineStr">
        <is>
          <t>29.10.2024 13:33:43</t>
        </is>
      </c>
      <c r="M27" s="20" t="inlineStr">
        <is>
          <t>10 min</t>
        </is>
      </c>
      <c r="N27" s="20" t="inlineStr">
        <is>
          <t xml:space="preserve">         11K            11K             4K</t>
        </is>
      </c>
      <c r="O27" s="20" t="inlineStr">
        <is>
          <t>DirQ7FDi1C5SZCy8ai1GTSvnm9o8MDf9s4C4cExzpump</t>
        </is>
      </c>
      <c r="P27" s="20">
        <f>HYPERLINK("https://photon-sol.tinyastro.io/en/lp/DirQ7FDi1C5SZCy8ai1GTSvnm9o8MDf9s4C4cExzpump?handle=676050794bc1b1657a56b", "View")</f>
        <v/>
      </c>
    </row>
    <row r="28">
      <c r="A28" s="15" t="inlineStr">
        <is>
          <t>Trina</t>
        </is>
      </c>
      <c r="B28" s="16" t="n">
        <v>585788</v>
      </c>
      <c r="C28" s="16" t="n">
        <v>585788</v>
      </c>
      <c r="D28" s="16" t="inlineStr">
        <is>
          <t>0.110010</t>
        </is>
      </c>
      <c r="E28" s="16" t="inlineStr">
        <is>
          <t>0.131 SOL</t>
        </is>
      </c>
      <c r="F28" s="16" t="inlineStr">
        <is>
          <t>0.119 SOL</t>
        </is>
      </c>
      <c r="G28" s="24" t="inlineStr">
        <is>
          <t>-0.122 SOL</t>
        </is>
      </c>
      <c r="H28" s="24" t="inlineStr">
        <is>
          <t>-50.61%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29.10.2024 13:22:12</t>
        </is>
      </c>
      <c r="M28" s="16" t="inlineStr">
        <is>
          <t>8 min</t>
        </is>
      </c>
      <c r="N28" s="16" t="inlineStr">
        <is>
          <t xml:space="preserve">         39K            35K             5K</t>
        </is>
      </c>
      <c r="O28" s="16" t="inlineStr">
        <is>
          <t>CsT44i2W2MWp23WQ2EqjorxZVVzuN4niw1cj1Qr5pump</t>
        </is>
      </c>
      <c r="P28" s="16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3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HYPERLINK("https://gmgn.ai/sol/address/2XRQxY5rBfTmgQLKxa4s2EVGaGvMsXJJ5jbkh9dV215N", "GMGN")</f>
        <v/>
      </c>
    </row>
    <row r="2">
      <c r="A2" s="3" t="inlineStr">
        <is>
          <t>2XRQxY5rBfTmgQLKxa4s2EVGaGvMsXJJ5jbkh9dV215N</t>
        </is>
      </c>
      <c r="B2" s="3" t="inlineStr">
        <is>
          <t>3.47 SOL</t>
        </is>
      </c>
      <c r="C2" s="3" t="inlineStr">
        <is>
          <t>15%</t>
        </is>
      </c>
      <c r="D2" s="3" t="inlineStr">
        <is>
          <t>29%</t>
        </is>
      </c>
      <c r="E2" s="3" t="inlineStr">
        <is>
          <t>3.14 SOL</t>
        </is>
      </c>
      <c r="F2" s="3" t="inlineStr">
        <is>
          <t>7 (6%)</t>
        </is>
      </c>
      <c r="G2" s="3" t="inlineStr">
        <is>
          <t>0 (0%)</t>
        </is>
      </c>
      <c r="H2" s="3" t="n">
        <v>117</v>
      </c>
      <c r="I2" s="3" t="n">
        <v>29</v>
      </c>
      <c r="J2" s="3" t="inlineStr">
        <is>
          <t>6 days</t>
        </is>
      </c>
      <c r="K2" s="3" t="inlineStr">
        <is>
          <t>20 min</t>
        </is>
      </c>
      <c r="L2" s="3" t="n">
        <v>42</v>
      </c>
      <c r="M2" s="3" t="n">
        <v>71</v>
      </c>
      <c r="N2" s="3">
        <f>HYPERLINK("https://solscan.io/account/2XRQxY5rBfTmgQLKxa4s2EVGaGvMsXJJ5jbkh9dV215N", "Solscan")</f>
        <v/>
      </c>
    </row>
    <row r="3">
      <c r="A3" s="6" t="inlineStr">
        <is>
          <t>Median ROI</t>
        </is>
      </c>
      <c r="B3" s="5" t="inlineStr">
        <is>
          <t>-100.00%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HYPERLINK("https://birdeye.so/profile/2XRQxY5rBfTmgQLKxa4s2EVGaGvMsXJJ5jbkh9dV215N", "Birdeye")</f>
        <v/>
      </c>
    </row>
    <row r="4">
      <c r="A4" s="6" t="inlineStr">
        <is>
          <t>Rockets percent</t>
        </is>
      </c>
      <c r="B4" s="3" t="inlineStr">
        <is>
          <t>8%</t>
        </is>
      </c>
      <c r="C4" s="3" t="inlineStr"/>
      <c r="D4" s="3" t="inlineStr">
        <is>
          <t>18%</t>
        </is>
      </c>
      <c r="E4" s="3" t="inlineStr">
        <is>
          <t>1.9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7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4</v>
      </c>
      <c r="C10" s="6" t="n">
        <v>5</v>
      </c>
      <c r="D10" s="6" t="n">
        <v>4</v>
      </c>
      <c r="E10" s="6" t="n">
        <v>4</v>
      </c>
      <c r="F10" s="6" t="n">
        <v>12</v>
      </c>
      <c r="G10" s="6" t="n">
        <v>88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3.4%</t>
        </is>
      </c>
      <c r="C11" s="6" t="inlineStr">
        <is>
          <t>4.3%</t>
        </is>
      </c>
      <c r="D11" s="6" t="inlineStr">
        <is>
          <t>3.4%</t>
        </is>
      </c>
      <c r="E11" s="6" t="inlineStr">
        <is>
          <t>3.4%</t>
        </is>
      </c>
      <c r="F11" s="6" t="inlineStr">
        <is>
          <t>10.3%</t>
        </is>
      </c>
      <c r="G11" s="6" t="inlineStr">
        <is>
          <t>75.2%</t>
        </is>
      </c>
      <c r="H11" s="3" t="n"/>
      <c r="I11" s="3" t="inlineStr">
        <is>
          <t>5k-30k</t>
        </is>
      </c>
      <c r="J11" s="3" t="inlineStr">
        <is>
          <t>38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9.8 SOL</t>
        </is>
      </c>
      <c r="C12" s="6" t="inlineStr">
        <is>
          <t>1.0 SOL</t>
        </is>
      </c>
      <c r="D12" s="6" t="inlineStr">
        <is>
          <t>0.3 SOL</t>
        </is>
      </c>
      <c r="E12" s="6" t="inlineStr">
        <is>
          <t>0.0 SOL</t>
        </is>
      </c>
      <c r="F12" s="6" t="inlineStr">
        <is>
          <t>-0.3 SOL</t>
        </is>
      </c>
      <c r="G12" s="6" t="inlineStr">
        <is>
          <t>-7.6 SOL</t>
        </is>
      </c>
      <c r="H12" s="3" t="n"/>
      <c r="I12" s="3" t="inlineStr">
        <is>
          <t>30k-100k</t>
        </is>
      </c>
      <c r="J12" s="3" t="inlineStr">
        <is>
          <t>25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27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27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77.0K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DOLPHIN</t>
        </is>
      </c>
      <c r="B20" s="16" t="n">
        <v>44349</v>
      </c>
      <c r="C20" s="16" t="n">
        <v>0</v>
      </c>
      <c r="D20" s="16" t="inlineStr">
        <is>
          <t>0.000710</t>
        </is>
      </c>
      <c r="E20" s="16" t="inlineStr">
        <is>
          <t>0.075 SOL</t>
        </is>
      </c>
      <c r="F20" s="16" t="inlineStr">
        <is>
          <t>0.000 SOL</t>
        </is>
      </c>
      <c r="G20" s="17" t="inlineStr">
        <is>
          <t>-0.076 SOL</t>
        </is>
      </c>
      <c r="H20" s="17" t="inlineStr">
        <is>
          <t>0.00%</t>
        </is>
      </c>
      <c r="I20" s="16" t="inlineStr">
        <is>
          <t>44,349</t>
        </is>
      </c>
      <c r="J20" s="16" t="n">
        <v>1</v>
      </c>
      <c r="K20" s="16" t="n">
        <v>0</v>
      </c>
      <c r="L20" s="16" t="inlineStr">
        <is>
          <t>30.10.2024 16:46:31</t>
        </is>
      </c>
      <c r="M20" s="18" t="inlineStr">
        <is>
          <t>0 sec</t>
        </is>
      </c>
      <c r="N20" s="16" t="inlineStr">
        <is>
          <t xml:space="preserve">        297K           297K             8K</t>
        </is>
      </c>
      <c r="O20" s="16" t="inlineStr">
        <is>
          <t>8zuLGDdCMELwGjD9b3gtyqfCKwj5hbNUnCCw66eBpump</t>
        </is>
      </c>
      <c r="P20" s="16">
        <f>HYPERLINK("https://dexscreener.com/solana/8zuLGDdCMELwGjD9b3gtyqfCKwj5hbNUnCCw66eBpump", "View")</f>
        <v/>
      </c>
    </row>
    <row r="21">
      <c r="A21" s="19" t="inlineStr">
        <is>
          <t>NUTBUTT</t>
        </is>
      </c>
      <c r="B21" s="20" t="n">
        <v>37823</v>
      </c>
      <c r="C21" s="20" t="n">
        <v>19384</v>
      </c>
      <c r="D21" s="20" t="inlineStr">
        <is>
          <t>0.002120</t>
        </is>
      </c>
      <c r="E21" s="20" t="inlineStr">
        <is>
          <t>0.075 SOL</t>
        </is>
      </c>
      <c r="F21" s="20" t="inlineStr">
        <is>
          <t>0.091 SOL</t>
        </is>
      </c>
      <c r="G21" s="22" t="inlineStr">
        <is>
          <t>0.013 SOL</t>
        </is>
      </c>
      <c r="H21" s="22" t="inlineStr">
        <is>
          <t>17.47%</t>
        </is>
      </c>
      <c r="I21" s="20" t="inlineStr">
        <is>
          <t>N/A</t>
        </is>
      </c>
      <c r="J21" s="20" t="n">
        <v>1</v>
      </c>
      <c r="K21" s="20" t="n">
        <v>2</v>
      </c>
      <c r="L21" s="20" t="inlineStr">
        <is>
          <t>30.10.2024 16:37:13</t>
        </is>
      </c>
      <c r="M21" s="20" t="inlineStr">
        <is>
          <t>13 hours</t>
        </is>
      </c>
      <c r="N21" s="20" t="inlineStr">
        <is>
          <t xml:space="preserve">        348K           348K           657K</t>
        </is>
      </c>
      <c r="O21" s="20" t="inlineStr">
        <is>
          <t>CFBYjzT357obRmihT9F5uyCY3kqgksRvXKM3RJN1pump</t>
        </is>
      </c>
      <c r="P21" s="20">
        <f>HYPERLINK("https://dexscreener.com/solana/CFBYjzT357obRmihT9F5uyCY3kqgksRvXKM3RJN1pump", "View")</f>
        <v/>
      </c>
    </row>
    <row r="22">
      <c r="A22" s="15" t="inlineStr">
        <is>
          <t>LIANA</t>
        </is>
      </c>
      <c r="B22" s="16" t="n">
        <v>154655</v>
      </c>
      <c r="C22" s="16" t="n">
        <v>0</v>
      </c>
      <c r="D22" s="16" t="inlineStr">
        <is>
          <t>0.000710</t>
        </is>
      </c>
      <c r="E22" s="16" t="inlineStr">
        <is>
          <t>0.075 SOL</t>
        </is>
      </c>
      <c r="F22" s="16" t="inlineStr">
        <is>
          <t>0.000 SOL</t>
        </is>
      </c>
      <c r="G22" s="17" t="inlineStr">
        <is>
          <t>-0.076 SOL</t>
        </is>
      </c>
      <c r="H22" s="17" t="inlineStr">
        <is>
          <t>0.00%</t>
        </is>
      </c>
      <c r="I22" s="16" t="inlineStr">
        <is>
          <t>154,655</t>
        </is>
      </c>
      <c r="J22" s="16" t="n">
        <v>1</v>
      </c>
      <c r="K22" s="16" t="n">
        <v>0</v>
      </c>
      <c r="L22" s="16" t="inlineStr">
        <is>
          <t>30.10.2024 16:36:22</t>
        </is>
      </c>
      <c r="M22" s="18" t="inlineStr">
        <is>
          <t>0 sec</t>
        </is>
      </c>
      <c r="N22" s="16" t="inlineStr">
        <is>
          <t xml:space="preserve">         84K            84K             5K</t>
        </is>
      </c>
      <c r="O22" s="16" t="inlineStr">
        <is>
          <t>Gqm9CNRm3ZL6qVnbcjS9f4qvsPtW28gxanAuMbo4pump</t>
        </is>
      </c>
      <c r="P22" s="16">
        <f>HYPERLINK("https://dexscreener.com/solana/Gqm9CNRm3ZL6qVnbcjS9f4qvsPtW28gxanAuMbo4pump", "View")</f>
        <v/>
      </c>
    </row>
    <row r="23">
      <c r="A23" s="19" t="inlineStr">
        <is>
          <t>MOMO</t>
        </is>
      </c>
      <c r="B23" s="20" t="n">
        <v>56371</v>
      </c>
      <c r="C23" s="20" t="n">
        <v>0</v>
      </c>
      <c r="D23" s="20" t="inlineStr">
        <is>
          <t>0.001410</t>
        </is>
      </c>
      <c r="E23" s="20" t="inlineStr">
        <is>
          <t>0.125 SOL</t>
        </is>
      </c>
      <c r="F23" s="20" t="inlineStr">
        <is>
          <t>0.000 SOL</t>
        </is>
      </c>
      <c r="G23" s="17" t="inlineStr">
        <is>
          <t>-0.126 SOL</t>
        </is>
      </c>
      <c r="H23" s="17" t="inlineStr">
        <is>
          <t>0.00%</t>
        </is>
      </c>
      <c r="I23" s="20" t="inlineStr">
        <is>
          <t>56,371</t>
        </is>
      </c>
      <c r="J23" s="20" t="n">
        <v>2</v>
      </c>
      <c r="K23" s="20" t="n">
        <v>0</v>
      </c>
      <c r="L23" s="20" t="inlineStr">
        <is>
          <t>30.10.2024 16:33:53</t>
        </is>
      </c>
      <c r="M23" s="18" t="inlineStr">
        <is>
          <t>0 sec</t>
        </is>
      </c>
      <c r="N23" s="20" t="inlineStr">
        <is>
          <t xml:space="preserve">        379K           407K             9K</t>
        </is>
      </c>
      <c r="O23" s="20" t="inlineStr">
        <is>
          <t>4FieKJu1twj631v1NbDdpocqWS72Up36N3Lf3C1dpump</t>
        </is>
      </c>
      <c r="P23" s="20">
        <f>HYPERLINK("https://dexscreener.com/solana/4FieKJu1twj631v1NbDdpocqWS72Up36N3Lf3C1dpump", "View")</f>
        <v/>
      </c>
    </row>
    <row r="24">
      <c r="A24" s="15" t="inlineStr">
        <is>
          <t>tutu</t>
        </is>
      </c>
      <c r="B24" s="16" t="n">
        <v>363075</v>
      </c>
      <c r="C24" s="16" t="n">
        <v>29238</v>
      </c>
      <c r="D24" s="16" t="inlineStr">
        <is>
          <t>0.002820</t>
        </is>
      </c>
      <c r="E24" s="16" t="inlineStr">
        <is>
          <t>0.105 SOL</t>
        </is>
      </c>
      <c r="F24" s="16" t="inlineStr">
        <is>
          <t>0.022 SOL</t>
        </is>
      </c>
      <c r="G24" s="24" t="inlineStr">
        <is>
          <t>-0.085 SOL</t>
        </is>
      </c>
      <c r="H24" s="24" t="inlineStr">
        <is>
          <t>-79.31%</t>
        </is>
      </c>
      <c r="I24" s="16" t="inlineStr">
        <is>
          <t>N/A</t>
        </is>
      </c>
      <c r="J24" s="16" t="n">
        <v>3</v>
      </c>
      <c r="K24" s="16" t="n">
        <v>1</v>
      </c>
      <c r="L24" s="16" t="inlineStr">
        <is>
          <t>30.10.2024 15:02:37</t>
        </is>
      </c>
      <c r="M24" s="16" t="inlineStr">
        <is>
          <t>1 hours</t>
        </is>
      </c>
      <c r="N24" s="16" t="inlineStr">
        <is>
          <t xml:space="preserve">         54K            51K             6K</t>
        </is>
      </c>
      <c r="O24" s="16" t="inlineStr">
        <is>
          <t>3M85pJDvorLLtdq9zNcB2r5N36JvBvPpSFrB7pEnpump</t>
        </is>
      </c>
      <c r="P24" s="16">
        <f>HYPERLINK("https://photon-sol.tinyastro.io/en/lp/3M85pJDvorLLtdq9zNcB2r5N36JvBvPpSFrB7pEnpump?handle=676050794bc1b1657a56b", "View")</f>
        <v/>
      </c>
    </row>
    <row r="25">
      <c r="A25" s="19" t="inlineStr">
        <is>
          <t>JEETISM</t>
        </is>
      </c>
      <c r="B25" s="20" t="n">
        <v>128967</v>
      </c>
      <c r="C25" s="20" t="n">
        <v>64484</v>
      </c>
      <c r="D25" s="20" t="inlineStr">
        <is>
          <t>0.001410</t>
        </is>
      </c>
      <c r="E25" s="20" t="inlineStr">
        <is>
          <t>0.026 SOL</t>
        </is>
      </c>
      <c r="F25" s="20" t="inlineStr">
        <is>
          <t>0.005 SOL</t>
        </is>
      </c>
      <c r="G25" s="24" t="inlineStr">
        <is>
          <t>-0.023 SOL</t>
        </is>
      </c>
      <c r="H25" s="24" t="inlineStr">
        <is>
          <t>-81.26%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30.10.2024 12:51:38</t>
        </is>
      </c>
      <c r="M25" s="20" t="inlineStr">
        <is>
          <t>30 min</t>
        </is>
      </c>
      <c r="N25" s="20" t="inlineStr">
        <is>
          <t xml:space="preserve">         37K            37K             4K</t>
        </is>
      </c>
      <c r="O25" s="20" t="inlineStr">
        <is>
          <t>7gTqhPZNGfEJZ6yvE7WjkX76wmDhzKDjGeP9Rv74pump</t>
        </is>
      </c>
      <c r="P25" s="20">
        <f>HYPERLINK("https://photon-sol.tinyastro.io/en/lp/7gTqhPZNGfEJZ6yvE7WjkX76wmDhzKDjGeP9Rv74pump?handle=676050794bc1b1657a56b", "View")</f>
        <v/>
      </c>
    </row>
    <row r="26">
      <c r="A26" s="15" t="inlineStr">
        <is>
          <t>OMBRA</t>
        </is>
      </c>
      <c r="B26" s="16" t="n">
        <v>142863</v>
      </c>
      <c r="C26" s="16" t="n">
        <v>0</v>
      </c>
      <c r="D26" s="16" t="inlineStr">
        <is>
          <t>0.001410</t>
        </is>
      </c>
      <c r="E26" s="16" t="inlineStr">
        <is>
          <t>0.125 SOL</t>
        </is>
      </c>
      <c r="F26" s="16" t="inlineStr">
        <is>
          <t>0.000 SOL</t>
        </is>
      </c>
      <c r="G26" s="17" t="inlineStr">
        <is>
          <t>-0.126 SOL</t>
        </is>
      </c>
      <c r="H26" s="17" t="inlineStr">
        <is>
          <t>0.00%</t>
        </is>
      </c>
      <c r="I26" s="16" t="inlineStr">
        <is>
          <t>142,863</t>
        </is>
      </c>
      <c r="J26" s="16" t="n">
        <v>2</v>
      </c>
      <c r="K26" s="16" t="n">
        <v>0</v>
      </c>
      <c r="L26" s="16" t="inlineStr">
        <is>
          <t>30.10.2024 12:34:10</t>
        </is>
      </c>
      <c r="M26" s="18" t="inlineStr">
        <is>
          <t>1 sec</t>
        </is>
      </c>
      <c r="N26" s="16" t="inlineStr">
        <is>
          <t xml:space="preserve">        153K           155K            19K</t>
        </is>
      </c>
      <c r="O26" s="16" t="inlineStr">
        <is>
          <t>ABGuyFsRx6coPxDqXnFwUmFNG3hsg5i24XSsHV1Apump</t>
        </is>
      </c>
      <c r="P26" s="16">
        <f>HYPERLINK("https://dexscreener.com/solana/ABGuyFsRx6coPxDqXnFwUmFNG3hsg5i24XSsHV1Apump", "View")</f>
        <v/>
      </c>
    </row>
    <row r="27">
      <c r="A27" s="19" t="inlineStr">
        <is>
          <t>MOKSHA</t>
        </is>
      </c>
      <c r="B27" s="20" t="n">
        <v>30928</v>
      </c>
      <c r="C27" s="20" t="n">
        <v>30928</v>
      </c>
      <c r="D27" s="20" t="inlineStr">
        <is>
          <t>0.003930</t>
        </is>
      </c>
      <c r="E27" s="20" t="inlineStr">
        <is>
          <t>0.050 SOL</t>
        </is>
      </c>
      <c r="F27" s="20" t="inlineStr">
        <is>
          <t>0.139 SOL</t>
        </is>
      </c>
      <c r="G27" s="23" t="inlineStr">
        <is>
          <t>0.085 SOL</t>
        </is>
      </c>
      <c r="H27" s="23" t="inlineStr">
        <is>
          <t>158.09%</t>
        </is>
      </c>
      <c r="I27" s="20" t="inlineStr">
        <is>
          <t>N/A</t>
        </is>
      </c>
      <c r="J27" s="20" t="n">
        <v>1</v>
      </c>
      <c r="K27" s="20" t="n">
        <v>5</v>
      </c>
      <c r="L27" s="20" t="inlineStr">
        <is>
          <t>30.10.2024 12:02:32</t>
        </is>
      </c>
      <c r="M27" s="20" t="inlineStr">
        <is>
          <t>4 hours</t>
        </is>
      </c>
      <c r="N27" s="20" t="inlineStr">
        <is>
          <t xml:space="preserve">        285K           516K           233K</t>
        </is>
      </c>
      <c r="O27" s="20" t="inlineStr">
        <is>
          <t>D5S1nXXaMnJui8rCnMbP1GZQnL9TxzbF92hXvgkVpump</t>
        </is>
      </c>
      <c r="P27" s="20">
        <f>HYPERLINK("https://dexscreener.com/solana/D5S1nXXaMnJui8rCnMbP1GZQnL9TxzbF92hXvgkVpump", "View")</f>
        <v/>
      </c>
    </row>
    <row r="28">
      <c r="A28" s="15" t="inlineStr">
        <is>
          <t>dogat</t>
        </is>
      </c>
      <c r="B28" s="16" t="n">
        <v>62713</v>
      </c>
      <c r="C28" s="16" t="n">
        <v>32782</v>
      </c>
      <c r="D28" s="16" t="inlineStr">
        <is>
          <t>0.002630</t>
        </is>
      </c>
      <c r="E28" s="16" t="inlineStr">
        <is>
          <t>0.150 SOL</t>
        </is>
      </c>
      <c r="F28" s="16" t="inlineStr">
        <is>
          <t>0.399 SOL</t>
        </is>
      </c>
      <c r="G28" s="23" t="inlineStr">
        <is>
          <t>0.246 SOL</t>
        </is>
      </c>
      <c r="H28" s="23" t="inlineStr">
        <is>
          <t>161.31%</t>
        </is>
      </c>
      <c r="I28" s="16" t="inlineStr">
        <is>
          <t>N/A</t>
        </is>
      </c>
      <c r="J28" s="16" t="n">
        <v>1</v>
      </c>
      <c r="K28" s="16" t="n">
        <v>4</v>
      </c>
      <c r="L28" s="16" t="inlineStr">
        <is>
          <t>30.10.2024 11:08:16</t>
        </is>
      </c>
      <c r="M28" s="16" t="inlineStr">
        <is>
          <t>6 hours</t>
        </is>
      </c>
      <c r="N28" s="16" t="inlineStr">
        <is>
          <t xml:space="preserve">        420K           420K           353K</t>
        </is>
      </c>
      <c r="O28" s="16" t="inlineStr">
        <is>
          <t>5pQSTDfeUppb6tV415RWygL8n3ctyakBTV7QzBn5pump</t>
        </is>
      </c>
      <c r="P28" s="16">
        <f>HYPERLINK("https://dexscreener.com/solana/5pQSTDfeUppb6tV415RWygL8n3ctyakBTV7QzBn5pump", "View")</f>
        <v/>
      </c>
    </row>
    <row r="29">
      <c r="A29" s="19" t="inlineStr">
        <is>
          <t>RISE</t>
        </is>
      </c>
      <c r="B29" s="20" t="n">
        <v>84462</v>
      </c>
      <c r="C29" s="20" t="n">
        <v>0</v>
      </c>
      <c r="D29" s="20" t="inlineStr">
        <is>
          <t>0.000710</t>
        </is>
      </c>
      <c r="E29" s="20" t="inlineStr">
        <is>
          <t>0.150 SOL</t>
        </is>
      </c>
      <c r="F29" s="20" t="inlineStr">
        <is>
          <t>0.000 SOL</t>
        </is>
      </c>
      <c r="G29" s="17" t="inlineStr">
        <is>
          <t>-0.151 SOL</t>
        </is>
      </c>
      <c r="H29" s="17" t="inlineStr">
        <is>
          <t>0.00%</t>
        </is>
      </c>
      <c r="I29" s="20" t="inlineStr">
        <is>
          <t>84,462</t>
        </is>
      </c>
      <c r="J29" s="20" t="n">
        <v>1</v>
      </c>
      <c r="K29" s="20" t="n">
        <v>0</v>
      </c>
      <c r="L29" s="20" t="inlineStr">
        <is>
          <t>30.10.2024 10:43:12</t>
        </is>
      </c>
      <c r="M29" s="18" t="inlineStr">
        <is>
          <t>0 sec</t>
        </is>
      </c>
      <c r="N29" s="20" t="inlineStr">
        <is>
          <t xml:space="preserve">        313K           313K            12K</t>
        </is>
      </c>
      <c r="O29" s="20" t="inlineStr">
        <is>
          <t>5ZrVb3GpZ6c9ukqLYgLxFdg8zgy7ttY4mZy6ngx9pump</t>
        </is>
      </c>
      <c r="P29" s="20">
        <f>HYPERLINK("https://dexscreener.com/solana/5ZrVb3GpZ6c9ukqLYgLxFdg8zgy7ttY4mZy6ngx9pump", "View")</f>
        <v/>
      </c>
    </row>
    <row r="30">
      <c r="A30" s="15" t="inlineStr">
        <is>
          <t>69.420%</t>
        </is>
      </c>
      <c r="B30" s="16" t="n">
        <v>163736</v>
      </c>
      <c r="C30" s="16" t="n">
        <v>163736</v>
      </c>
      <c r="D30" s="16" t="inlineStr">
        <is>
          <t>0.003530</t>
        </is>
      </c>
      <c r="E30" s="16" t="inlineStr">
        <is>
          <t>0.033 SOL</t>
        </is>
      </c>
      <c r="F30" s="16" t="inlineStr">
        <is>
          <t>0.031 SOL</t>
        </is>
      </c>
      <c r="G30" s="21" t="inlineStr">
        <is>
          <t>-0.006 SOL</t>
        </is>
      </c>
      <c r="H30" s="21" t="inlineStr">
        <is>
          <t>-15.99%</t>
        </is>
      </c>
      <c r="I30" s="16" t="inlineStr">
        <is>
          <t>N/A</t>
        </is>
      </c>
      <c r="J30" s="16" t="n">
        <v>1</v>
      </c>
      <c r="K30" s="16" t="n">
        <v>4</v>
      </c>
      <c r="L30" s="16" t="inlineStr">
        <is>
          <t>30.10.2024 10:16:49</t>
        </is>
      </c>
      <c r="M30" s="16" t="inlineStr">
        <is>
          <t>50 min</t>
        </is>
      </c>
      <c r="N30" s="16" t="inlineStr">
        <is>
          <t xml:space="preserve">         35K            33K            35K</t>
        </is>
      </c>
      <c r="O30" s="16" t="inlineStr">
        <is>
          <t>Djv9h45qTD1Bf9KrePGDecHB9ynreMHssDTQkLrupump</t>
        </is>
      </c>
      <c r="P30" s="16">
        <f>HYPERLINK("https://photon-sol.tinyastro.io/en/lp/Djv9h45qTD1Bf9KrePGDecHB9ynreMHssDTQkLrupump?handle=676050794bc1b1657a56b", "View")</f>
        <v/>
      </c>
    </row>
    <row r="31">
      <c r="A31" s="19" t="inlineStr">
        <is>
          <t>EA</t>
        </is>
      </c>
      <c r="B31" s="20" t="n">
        <v>389244</v>
      </c>
      <c r="C31" s="20" t="n">
        <v>389244</v>
      </c>
      <c r="D31" s="20" t="inlineStr">
        <is>
          <t>0.001410</t>
        </is>
      </c>
      <c r="E31" s="20" t="inlineStr">
        <is>
          <t>0.033 SOL</t>
        </is>
      </c>
      <c r="F31" s="20" t="inlineStr">
        <is>
          <t>0.013 SOL</t>
        </is>
      </c>
      <c r="G31" s="24" t="inlineStr">
        <is>
          <t>-0.022 SOL</t>
        </is>
      </c>
      <c r="H31" s="24" t="inlineStr">
        <is>
          <t>-63.08%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30.10.2024 10:16:10</t>
        </is>
      </c>
      <c r="M31" s="20" t="inlineStr">
        <is>
          <t>44 min</t>
        </is>
      </c>
      <c r="N31" s="20" t="inlineStr">
        <is>
          <t xml:space="preserve">         14K            14K             5K</t>
        </is>
      </c>
      <c r="O31" s="20" t="inlineStr">
        <is>
          <t>Ffaxk9jV1xA7abZ36dyGanAk6gNbGMszTZ5JFMXhpump</t>
        </is>
      </c>
      <c r="P31" s="20">
        <f>HYPERLINK("https://photon-sol.tinyastro.io/en/lp/Ffaxk9jV1xA7abZ36dyGanAk6gNbGMszTZ5JFMXhpump?handle=676050794bc1b1657a56b", "View")</f>
        <v/>
      </c>
    </row>
    <row r="32">
      <c r="A32" s="15" t="inlineStr">
        <is>
          <t>Catdets</t>
        </is>
      </c>
      <c r="B32" s="16" t="n">
        <v>981846</v>
      </c>
      <c r="C32" s="16" t="n">
        <v>0</v>
      </c>
      <c r="D32" s="16" t="inlineStr">
        <is>
          <t>0.000710</t>
        </is>
      </c>
      <c r="E32" s="16" t="inlineStr">
        <is>
          <t>0.040 SOL</t>
        </is>
      </c>
      <c r="F32" s="16" t="inlineStr">
        <is>
          <t>0.000 SOL</t>
        </is>
      </c>
      <c r="G32" s="17" t="inlineStr">
        <is>
          <t>-0.040 SOL</t>
        </is>
      </c>
      <c r="H32" s="17" t="inlineStr">
        <is>
          <t>0.00%</t>
        </is>
      </c>
      <c r="I32" s="16" t="inlineStr">
        <is>
          <t>981,846</t>
        </is>
      </c>
      <c r="J32" s="16" t="n">
        <v>1</v>
      </c>
      <c r="K32" s="16" t="n">
        <v>0</v>
      </c>
      <c r="L32" s="16" t="inlineStr">
        <is>
          <t>30.10.2024 08:27:22</t>
        </is>
      </c>
      <c r="M32" s="18" t="inlineStr">
        <is>
          <t>0 sec</t>
        </is>
      </c>
      <c r="N32" s="16" t="inlineStr">
        <is>
          <t xml:space="preserve">          7K             7K             5K</t>
        </is>
      </c>
      <c r="O32" s="16" t="inlineStr">
        <is>
          <t>6cf3ZvWPhaVo6Reoz5YqYwJ9anuBkWvqgnksHLf6pump</t>
        </is>
      </c>
      <c r="P32" s="16">
        <f>HYPERLINK("https://photon-sol.tinyastro.io/en/lp/6cf3ZvWPhaVo6Reoz5YqYwJ9anuBkWvqgnksHLf6pump?handle=676050794bc1b1657a56b", "View")</f>
        <v/>
      </c>
    </row>
    <row r="33">
      <c r="A33" s="19" t="inlineStr">
        <is>
          <t>WYR</t>
        </is>
      </c>
      <c r="B33" s="20" t="n">
        <v>299273</v>
      </c>
      <c r="C33" s="20" t="n">
        <v>149636</v>
      </c>
      <c r="D33" s="20" t="inlineStr">
        <is>
          <t>0.001410</t>
        </is>
      </c>
      <c r="E33" s="20" t="inlineStr">
        <is>
          <t>0.075 SOL</t>
        </is>
      </c>
      <c r="F33" s="20" t="inlineStr">
        <is>
          <t>0.034 SOL</t>
        </is>
      </c>
      <c r="G33" s="24" t="inlineStr">
        <is>
          <t>-0.043 SOL</t>
        </is>
      </c>
      <c r="H33" s="24" t="inlineStr">
        <is>
          <t>-55.69%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30.10.2024 08:15:06</t>
        </is>
      </c>
      <c r="M33" s="20" t="inlineStr">
        <is>
          <t>30 min</t>
        </is>
      </c>
      <c r="N33" s="20" t="inlineStr">
        <is>
          <t xml:space="preserve">         44K            44K             5K</t>
        </is>
      </c>
      <c r="O33" s="20" t="inlineStr">
        <is>
          <t>2CtwtX2A3jXgxG8WFJThQiNZpHzvqiCVwNU4za9fWH23</t>
        </is>
      </c>
      <c r="P33" s="20">
        <f>HYPERLINK("https://dexscreener.com/solana/2CtwtX2A3jXgxG8WFJThQiNZpHzvqiCVwNU4za9fWH23", "View")</f>
        <v/>
      </c>
    </row>
    <row r="34">
      <c r="A34" s="15" t="inlineStr">
        <is>
          <t>WYR</t>
        </is>
      </c>
      <c r="B34" s="16" t="n">
        <v>273365</v>
      </c>
      <c r="C34" s="16" t="n">
        <v>0</v>
      </c>
      <c r="D34" s="16" t="inlineStr">
        <is>
          <t>0.001410</t>
        </is>
      </c>
      <c r="E34" s="16" t="inlineStr">
        <is>
          <t>0.125 SOL</t>
        </is>
      </c>
      <c r="F34" s="16" t="inlineStr">
        <is>
          <t>0.000 SOL</t>
        </is>
      </c>
      <c r="G34" s="17" t="inlineStr">
        <is>
          <t>-0.126 SOL</t>
        </is>
      </c>
      <c r="H34" s="17" t="inlineStr">
        <is>
          <t>0.00%</t>
        </is>
      </c>
      <c r="I34" s="16" t="inlineStr">
        <is>
          <t>273,365</t>
        </is>
      </c>
      <c r="J34" s="16" t="n">
        <v>2</v>
      </c>
      <c r="K34" s="16" t="n">
        <v>0</v>
      </c>
      <c r="L34" s="16" t="inlineStr">
        <is>
          <t>30.10.2024 08:10:08</t>
        </is>
      </c>
      <c r="M34" s="18" t="inlineStr">
        <is>
          <t>0 sec</t>
        </is>
      </c>
      <c r="N34" s="16" t="inlineStr">
        <is>
          <t xml:space="preserve">         77K            86K            11K</t>
        </is>
      </c>
      <c r="O34" s="16" t="inlineStr">
        <is>
          <t>7595tbPqDXijgZ3q2raR9aS311agcokwAJ21aczVpump</t>
        </is>
      </c>
      <c r="P34" s="16">
        <f>HYPERLINK("https://dexscreener.com/solana/7595tbPqDXijgZ3q2raR9aS311agcokwAJ21aczVpump", "View")</f>
        <v/>
      </c>
    </row>
    <row r="35">
      <c r="A35" s="19" t="inlineStr">
        <is>
          <t>TEE</t>
        </is>
      </c>
      <c r="B35" s="20" t="n">
        <v>78010</v>
      </c>
      <c r="C35" s="20" t="n">
        <v>0</v>
      </c>
      <c r="D35" s="20" t="inlineStr">
        <is>
          <t>0.004940</t>
        </is>
      </c>
      <c r="E35" s="20" t="inlineStr">
        <is>
          <t>0.240 SOL</t>
        </is>
      </c>
      <c r="F35" s="20" t="inlineStr">
        <is>
          <t>0.000 SOL</t>
        </is>
      </c>
      <c r="G35" s="17" t="inlineStr">
        <is>
          <t>-0.245 SOL</t>
        </is>
      </c>
      <c r="H35" s="17" t="inlineStr">
        <is>
          <t>0.00%</t>
        </is>
      </c>
      <c r="I35" s="20" t="inlineStr">
        <is>
          <t>78,010</t>
        </is>
      </c>
      <c r="J35" s="20" t="n">
        <v>7</v>
      </c>
      <c r="K35" s="20" t="n">
        <v>0</v>
      </c>
      <c r="L35" s="20" t="inlineStr">
        <is>
          <t>30.10.2024 07:42:47</t>
        </is>
      </c>
      <c r="M35" s="20" t="inlineStr">
        <is>
          <t>1 hours</t>
        </is>
      </c>
      <c r="N35" s="20" t="inlineStr">
        <is>
          <t xml:space="preserve">        364K           559K            53K</t>
        </is>
      </c>
      <c r="O35" s="20" t="inlineStr">
        <is>
          <t>4sAPg3M6bEHrNinqfvfdSTAzCvmaG5Ao799bAt3Bpump</t>
        </is>
      </c>
      <c r="P35" s="20">
        <f>HYPERLINK("https://dexscreener.com/solana/4sAPg3M6bEHrNinqfvfdSTAzCvmaG5Ao799bAt3Bpump", "View")</f>
        <v/>
      </c>
    </row>
    <row r="36">
      <c r="A36" s="15" t="inlineStr">
        <is>
          <t>ALPHACIRCL</t>
        </is>
      </c>
      <c r="B36" s="16" t="n">
        <v>237023</v>
      </c>
      <c r="C36" s="16" t="n">
        <v>0</v>
      </c>
      <c r="D36" s="16" t="inlineStr">
        <is>
          <t>0.000710</t>
        </is>
      </c>
      <c r="E36" s="16" t="inlineStr">
        <is>
          <t>0.050 SOL</t>
        </is>
      </c>
      <c r="F36" s="16" t="inlineStr">
        <is>
          <t>0.000 SOL</t>
        </is>
      </c>
      <c r="G36" s="17" t="inlineStr">
        <is>
          <t>-0.050 SOL</t>
        </is>
      </c>
      <c r="H36" s="17" t="inlineStr">
        <is>
          <t>0.00%</t>
        </is>
      </c>
      <c r="I36" s="16" t="inlineStr">
        <is>
          <t>237,023</t>
        </is>
      </c>
      <c r="J36" s="16" t="n">
        <v>1</v>
      </c>
      <c r="K36" s="16" t="n">
        <v>0</v>
      </c>
      <c r="L36" s="16" t="inlineStr">
        <is>
          <t>30.10.2024 07:08:32</t>
        </is>
      </c>
      <c r="M36" s="18" t="inlineStr">
        <is>
          <t>0 sec</t>
        </is>
      </c>
      <c r="N36" s="16" t="inlineStr">
        <is>
          <t xml:space="preserve">         35K            35K            58K</t>
        </is>
      </c>
      <c r="O36" s="16" t="inlineStr">
        <is>
          <t>32GkYeFscJRLH1ZYxzg52kQxcTQxRK49cn87vGtHpump</t>
        </is>
      </c>
      <c r="P36" s="16">
        <f>HYPERLINK("https://photon-sol.tinyastro.io/en/lp/32GkYeFscJRLH1ZYxzg52kQxcTQxRK49cn87vGtHpump?handle=676050794bc1b1657a56b", "View")</f>
        <v/>
      </c>
    </row>
    <row r="37">
      <c r="A37" s="19" t="inlineStr">
        <is>
          <t>Orina</t>
        </is>
      </c>
      <c r="B37" s="20" t="n">
        <v>130515</v>
      </c>
      <c r="C37" s="20" t="n">
        <v>0</v>
      </c>
      <c r="D37" s="20" t="inlineStr">
        <is>
          <t>0.000710</t>
        </is>
      </c>
      <c r="E37" s="20" t="inlineStr">
        <is>
          <t>0.150 SOL</t>
        </is>
      </c>
      <c r="F37" s="20" t="inlineStr">
        <is>
          <t>0.000 SOL</t>
        </is>
      </c>
      <c r="G37" s="17" t="inlineStr">
        <is>
          <t>-0.151 SOL</t>
        </is>
      </c>
      <c r="H37" s="17" t="inlineStr">
        <is>
          <t>0.00%</t>
        </is>
      </c>
      <c r="I37" s="20" t="inlineStr">
        <is>
          <t>130,515</t>
        </is>
      </c>
      <c r="J37" s="20" t="n">
        <v>1</v>
      </c>
      <c r="K37" s="20" t="n">
        <v>0</v>
      </c>
      <c r="L37" s="20" t="inlineStr">
        <is>
          <t>30.10.2024 03:58:03</t>
        </is>
      </c>
      <c r="M37" s="18" t="inlineStr">
        <is>
          <t>0 sec</t>
        </is>
      </c>
      <c r="N37" s="20" t="inlineStr">
        <is>
          <t xml:space="preserve">        202K           202K             5K</t>
        </is>
      </c>
      <c r="O37" s="20" t="inlineStr">
        <is>
          <t>HnYqXefRFM2U5aUpSWEdxRG6DsPFM6gGZUUWFXgSpump</t>
        </is>
      </c>
      <c r="P37" s="20">
        <f>HYPERLINK("https://dexscreener.com/solana/HnYqXefRFM2U5aUpSWEdxRG6DsPFM6gGZUUWFXgSpump", "View")</f>
        <v/>
      </c>
    </row>
    <row r="38">
      <c r="A38" s="15" t="inlineStr">
        <is>
          <t>DOGEMASCOT</t>
        </is>
      </c>
      <c r="B38" s="16" t="n">
        <v>95933</v>
      </c>
      <c r="C38" s="16" t="n">
        <v>0</v>
      </c>
      <c r="D38" s="16" t="inlineStr">
        <is>
          <t>0.000710</t>
        </is>
      </c>
      <c r="E38" s="16" t="inlineStr">
        <is>
          <t>0.150 SOL</t>
        </is>
      </c>
      <c r="F38" s="16" t="inlineStr">
        <is>
          <t>0.000 SOL</t>
        </is>
      </c>
      <c r="G38" s="17" t="inlineStr">
        <is>
          <t>-0.151 SOL</t>
        </is>
      </c>
      <c r="H38" s="17" t="inlineStr">
        <is>
          <t>0.00%</t>
        </is>
      </c>
      <c r="I38" s="16" t="inlineStr">
        <is>
          <t>95,933</t>
        </is>
      </c>
      <c r="J38" s="16" t="n">
        <v>1</v>
      </c>
      <c r="K38" s="16" t="n">
        <v>0</v>
      </c>
      <c r="L38" s="16" t="inlineStr">
        <is>
          <t>30.10.2024 03:27:33</t>
        </is>
      </c>
      <c r="M38" s="18" t="inlineStr">
        <is>
          <t>0 sec</t>
        </is>
      </c>
      <c r="N38" s="16" t="inlineStr">
        <is>
          <t xml:space="preserve">        274K           274K            13K</t>
        </is>
      </c>
      <c r="O38" s="16" t="inlineStr">
        <is>
          <t>5ooyX53Dpoo6RMenMVS7TGb6JdgAqJjxJV1TFhpxpump</t>
        </is>
      </c>
      <c r="P38" s="16">
        <f>HYPERLINK("https://dexscreener.com/solana/5ooyX53Dpoo6RMenMVS7TGb6JdgAqJjxJV1TFhpxpump", "View")</f>
        <v/>
      </c>
    </row>
    <row r="39">
      <c r="A39" s="19" t="inlineStr">
        <is>
          <t>mofa</t>
        </is>
      </c>
      <c r="B39" s="20" t="n">
        <v>243312</v>
      </c>
      <c r="C39" s="20" t="n">
        <v>0</v>
      </c>
      <c r="D39" s="20" t="inlineStr">
        <is>
          <t>0.000710</t>
        </is>
      </c>
      <c r="E39" s="20" t="inlineStr">
        <is>
          <t>0.075 SOL</t>
        </is>
      </c>
      <c r="F39" s="20" t="inlineStr">
        <is>
          <t>0.000 SOL</t>
        </is>
      </c>
      <c r="G39" s="17" t="inlineStr">
        <is>
          <t>-0.076 SOL</t>
        </is>
      </c>
      <c r="H39" s="17" t="inlineStr">
        <is>
          <t>0.00%</t>
        </is>
      </c>
      <c r="I39" s="20" t="inlineStr">
        <is>
          <t>243,312</t>
        </is>
      </c>
      <c r="J39" s="20" t="n">
        <v>1</v>
      </c>
      <c r="K39" s="20" t="n">
        <v>0</v>
      </c>
      <c r="L39" s="20" t="inlineStr">
        <is>
          <t>30.10.2024 03:11:00</t>
        </is>
      </c>
      <c r="M39" s="18" t="inlineStr">
        <is>
          <t>0 sec</t>
        </is>
      </c>
      <c r="N39" s="20" t="inlineStr">
        <is>
          <t xml:space="preserve">         54K            54K            18K</t>
        </is>
      </c>
      <c r="O39" s="20" t="inlineStr">
        <is>
          <t>2aVCSF8R74m5Nh18nXUSx1YDNS3Zxj2kQCa3mrdgpump</t>
        </is>
      </c>
      <c r="P39" s="20">
        <f>HYPERLINK("https://dexscreener.com/solana/2aVCSF8R74m5Nh18nXUSx1YDNS3Zxj2kQCa3mrdgpump", "View")</f>
        <v/>
      </c>
    </row>
    <row r="40">
      <c r="A40" s="15" t="inlineStr">
        <is>
          <t>MK</t>
        </is>
      </c>
      <c r="B40" s="16" t="n">
        <v>79934</v>
      </c>
      <c r="C40" s="16" t="n">
        <v>0</v>
      </c>
      <c r="D40" s="16" t="inlineStr">
        <is>
          <t>0.000710</t>
        </is>
      </c>
      <c r="E40" s="16" t="inlineStr">
        <is>
          <t>0.150 SOL</t>
        </is>
      </c>
      <c r="F40" s="16" t="inlineStr">
        <is>
          <t>0.000 SOL</t>
        </is>
      </c>
      <c r="G40" s="17" t="inlineStr">
        <is>
          <t>-0.151 SOL</t>
        </is>
      </c>
      <c r="H40" s="17" t="inlineStr">
        <is>
          <t>0.00%</t>
        </is>
      </c>
      <c r="I40" s="16" t="inlineStr">
        <is>
          <t>79,934</t>
        </is>
      </c>
      <c r="J40" s="16" t="n">
        <v>1</v>
      </c>
      <c r="K40" s="16" t="n">
        <v>0</v>
      </c>
      <c r="L40" s="16" t="inlineStr">
        <is>
          <t>30.10.2024 00:06:25</t>
        </is>
      </c>
      <c r="M40" s="18" t="inlineStr">
        <is>
          <t>0 sec</t>
        </is>
      </c>
      <c r="N40" s="16" t="inlineStr">
        <is>
          <t xml:space="preserve">        330K           330K             8K</t>
        </is>
      </c>
      <c r="O40" s="16" t="inlineStr">
        <is>
          <t>36FN7NGmULKqSy4PoSRUBFQ7XBVxNMmWLhXohKmypump</t>
        </is>
      </c>
      <c r="P40" s="16">
        <f>HYPERLINK("https://dexscreener.com/solana/36FN7NGmULKqSy4PoSRUBFQ7XBVxNMmWLhXohKmypump", "View")</f>
        <v/>
      </c>
    </row>
    <row r="41">
      <c r="A41" s="19" t="inlineStr">
        <is>
          <t>Delrey</t>
        </is>
      </c>
      <c r="B41" s="20" t="n">
        <v>370352</v>
      </c>
      <c r="C41" s="20" t="n">
        <v>0</v>
      </c>
      <c r="D41" s="20" t="inlineStr">
        <is>
          <t>0.000710</t>
        </is>
      </c>
      <c r="E41" s="20" t="inlineStr">
        <is>
          <t>0.038 SOL</t>
        </is>
      </c>
      <c r="F41" s="20" t="inlineStr">
        <is>
          <t>0.000 SOL</t>
        </is>
      </c>
      <c r="G41" s="17" t="inlineStr">
        <is>
          <t>-0.039 SOL</t>
        </is>
      </c>
      <c r="H41" s="17" t="inlineStr">
        <is>
          <t>0.00%</t>
        </is>
      </c>
      <c r="I41" s="20" t="inlineStr">
        <is>
          <t>370,352</t>
        </is>
      </c>
      <c r="J41" s="20" t="n">
        <v>1</v>
      </c>
      <c r="K41" s="20" t="n">
        <v>0</v>
      </c>
      <c r="L41" s="20" t="inlineStr">
        <is>
          <t>29.10.2024 21:00:56</t>
        </is>
      </c>
      <c r="M41" s="18" t="inlineStr">
        <is>
          <t>0 sec</t>
        </is>
      </c>
      <c r="N41" s="20" t="inlineStr">
        <is>
          <t xml:space="preserve">         18K            18K             5K</t>
        </is>
      </c>
      <c r="O41" s="20" t="inlineStr">
        <is>
          <t>7CikmYdm5NDb4edDuJh2cpjiihBbbNiALobekcpUpump</t>
        </is>
      </c>
      <c r="P41" s="20">
        <f>HYPERLINK("https://photon-sol.tinyastro.io/en/lp/7CikmYdm5NDb4edDuJh2cpjiihBbbNiALobekcpUpump?handle=676050794bc1b1657a56b", "View")</f>
        <v/>
      </c>
    </row>
    <row r="42">
      <c r="A42" s="15" t="inlineStr">
        <is>
          <t>฿itcoin</t>
        </is>
      </c>
      <c r="B42" s="16" t="n">
        <v>179680</v>
      </c>
      <c r="C42" s="16" t="n">
        <v>179680</v>
      </c>
      <c r="D42" s="16" t="inlineStr">
        <is>
          <t>0.001410</t>
        </is>
      </c>
      <c r="E42" s="16" t="inlineStr">
        <is>
          <t>0.034 SOL</t>
        </is>
      </c>
      <c r="F42" s="16" t="inlineStr">
        <is>
          <t>0.009 SOL</t>
        </is>
      </c>
      <c r="G42" s="24" t="inlineStr">
        <is>
          <t>-0.026 SOL</t>
        </is>
      </c>
      <c r="H42" s="24" t="inlineStr">
        <is>
          <t>-74.22%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29.10.2024 19:58:12</t>
        </is>
      </c>
      <c r="M42" s="16" t="inlineStr">
        <is>
          <t>3 min</t>
        </is>
      </c>
      <c r="N42" s="16" t="inlineStr">
        <is>
          <t xml:space="preserve">         33K             9K             5K</t>
        </is>
      </c>
      <c r="O42" s="16" t="inlineStr">
        <is>
          <t>HpDFmLyMnxafwZZEPiJ65JZYvPxgCN5txusaAEvnpump</t>
        </is>
      </c>
      <c r="P42" s="16">
        <f>HYPERLINK("https://photon-sol.tinyastro.io/en/lp/HpDFmLyMnxafwZZEPiJ65JZYvPxgCN5txusaAEvnpump?handle=676050794bc1b1657a56b", "View")</f>
        <v/>
      </c>
    </row>
    <row r="43">
      <c r="A43" s="19" t="inlineStr">
        <is>
          <t>Bitcoin</t>
        </is>
      </c>
      <c r="B43" s="20" t="n">
        <v>292038</v>
      </c>
      <c r="C43" s="20" t="n">
        <v>0</v>
      </c>
      <c r="D43" s="20" t="inlineStr">
        <is>
          <t>0.000710</t>
        </is>
      </c>
      <c r="E43" s="20" t="inlineStr">
        <is>
          <t>0.019 SOL</t>
        </is>
      </c>
      <c r="F43" s="20" t="inlineStr">
        <is>
          <t>0.000 SOL</t>
        </is>
      </c>
      <c r="G43" s="17" t="inlineStr">
        <is>
          <t>-0.020 SOL</t>
        </is>
      </c>
      <c r="H43" s="17" t="inlineStr">
        <is>
          <t>0.00%</t>
        </is>
      </c>
      <c r="I43" s="20" t="inlineStr">
        <is>
          <t>292,038</t>
        </is>
      </c>
      <c r="J43" s="20" t="n">
        <v>1</v>
      </c>
      <c r="K43" s="20" t="n">
        <v>0</v>
      </c>
      <c r="L43" s="20" t="inlineStr">
        <is>
          <t>29.10.2024 19:58:01</t>
        </is>
      </c>
      <c r="M43" s="18" t="inlineStr">
        <is>
          <t>0 sec</t>
        </is>
      </c>
      <c r="N43" s="20" t="inlineStr">
        <is>
          <t xml:space="preserve">         12K            12K             5K</t>
        </is>
      </c>
      <c r="O43" s="20" t="inlineStr">
        <is>
          <t>7SVT3X6CdbDS7VLZLndBGcoSJcss9gNhSnfHFfzapump</t>
        </is>
      </c>
      <c r="P43" s="20">
        <f>HYPERLINK("https://photon-sol.tinyastro.io/en/lp/7SVT3X6CdbDS7VLZLndBGcoSJcss9gNhSnfHFfzapump?handle=676050794bc1b1657a56b", "View")</f>
        <v/>
      </c>
    </row>
    <row r="44">
      <c r="A44" s="15" t="inlineStr">
        <is>
          <t>KANO</t>
        </is>
      </c>
      <c r="B44" s="16" t="n">
        <v>921990</v>
      </c>
      <c r="C44" s="16" t="n">
        <v>460995</v>
      </c>
      <c r="D44" s="16" t="inlineStr">
        <is>
          <t>0.001410</t>
        </is>
      </c>
      <c r="E44" s="16" t="inlineStr">
        <is>
          <t>0.141 SOL</t>
        </is>
      </c>
      <c r="F44" s="16" t="inlineStr">
        <is>
          <t>0.013 SOL</t>
        </is>
      </c>
      <c r="G44" s="24" t="inlineStr">
        <is>
          <t>-0.129 SOL</t>
        </is>
      </c>
      <c r="H44" s="24" t="inlineStr">
        <is>
          <t>-90.69%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29.10.2024 17:54:09</t>
        </is>
      </c>
      <c r="M44" s="16" t="inlineStr">
        <is>
          <t>20 min</t>
        </is>
      </c>
      <c r="N44" s="16" t="inlineStr">
        <is>
          <t xml:space="preserve">         26K            26K             5K</t>
        </is>
      </c>
      <c r="O44" s="16" t="inlineStr">
        <is>
          <t>7LoZyi93eNYz7WYWs3N7gxzPf3mLRj68wy82Tfu2pump</t>
        </is>
      </c>
      <c r="P44" s="16">
        <f>HYPERLINK("https://photon-sol.tinyastro.io/en/lp/7LoZyi93eNYz7WYWs3N7gxzPf3mLRj68wy82Tfu2pump?handle=676050794bc1b1657a56b", "View")</f>
        <v/>
      </c>
    </row>
    <row r="45">
      <c r="A45" s="19" t="inlineStr">
        <is>
          <t>Qcats</t>
        </is>
      </c>
      <c r="B45" s="20" t="n">
        <v>1030731</v>
      </c>
      <c r="C45" s="20" t="n">
        <v>515365</v>
      </c>
      <c r="D45" s="20" t="inlineStr">
        <is>
          <t>0.001410</t>
        </is>
      </c>
      <c r="E45" s="20" t="inlineStr">
        <is>
          <t>0.133 SOL</t>
        </is>
      </c>
      <c r="F45" s="20" t="inlineStr">
        <is>
          <t>0.024 SOL</t>
        </is>
      </c>
      <c r="G45" s="24" t="inlineStr">
        <is>
          <t>-0.111 SOL</t>
        </is>
      </c>
      <c r="H45" s="24" t="inlineStr">
        <is>
          <t>-82.43%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29.10.2024 17:53:56</t>
        </is>
      </c>
      <c r="M45" s="20" t="inlineStr">
        <is>
          <t>7 min</t>
        </is>
      </c>
      <c r="N45" s="20" t="inlineStr">
        <is>
          <t xml:space="preserve">         23K            23K             5K</t>
        </is>
      </c>
      <c r="O45" s="20" t="inlineStr">
        <is>
          <t>95kXx8ZyrRQfNHaHfDD6KyfR7gisCMSnmVrZU2QbPSaq</t>
        </is>
      </c>
      <c r="P45" s="20">
        <f>HYPERLINK("https://photon-sol.tinyastro.io/en/lp/95kXx8ZyrRQfNHaHfDD6KyfR7gisCMSnmVrZU2QbPSaq?handle=676050794bc1b1657a56b", "View")</f>
        <v/>
      </c>
    </row>
    <row r="46">
      <c r="A46" s="15" t="inlineStr">
        <is>
          <t>holy shit</t>
        </is>
      </c>
      <c r="B46" s="16" t="n">
        <v>41150</v>
      </c>
      <c r="C46" s="16" t="n">
        <v>0</v>
      </c>
      <c r="D46" s="16" t="inlineStr">
        <is>
          <t>0.000710</t>
        </is>
      </c>
      <c r="E46" s="16" t="inlineStr">
        <is>
          <t>0.100 SOL</t>
        </is>
      </c>
      <c r="F46" s="16" t="inlineStr">
        <is>
          <t>0.000 SOL</t>
        </is>
      </c>
      <c r="G46" s="17" t="inlineStr">
        <is>
          <t>-0.101 SOL</t>
        </is>
      </c>
      <c r="H46" s="17" t="inlineStr">
        <is>
          <t>0.00%</t>
        </is>
      </c>
      <c r="I46" s="16" t="inlineStr">
        <is>
          <t>41,150</t>
        </is>
      </c>
      <c r="J46" s="16" t="n">
        <v>1</v>
      </c>
      <c r="K46" s="16" t="n">
        <v>0</v>
      </c>
      <c r="L46" s="16" t="inlineStr">
        <is>
          <t>29.10.2024 17:09:59</t>
        </is>
      </c>
      <c r="M46" s="18" t="inlineStr">
        <is>
          <t>0 sec</t>
        </is>
      </c>
      <c r="N46" s="16" t="inlineStr">
        <is>
          <t xml:space="preserve">        426K           426K             8K</t>
        </is>
      </c>
      <c r="O46" s="16" t="inlineStr">
        <is>
          <t>6iB7vcB6bcB5BGVf2gFXTvH2DfUeCiaT4FE9VYBQpump</t>
        </is>
      </c>
      <c r="P46" s="16">
        <f>HYPERLINK("https://dexscreener.com/solana/6iB7vcB6bcB5BGVf2gFXTvH2DfUeCiaT4FE9VYBQpump", "View")</f>
        <v/>
      </c>
    </row>
    <row r="47">
      <c r="A47" s="19" t="inlineStr">
        <is>
          <t>HC</t>
        </is>
      </c>
      <c r="B47" s="20" t="n">
        <v>36979</v>
      </c>
      <c r="C47" s="20" t="n">
        <v>0</v>
      </c>
      <c r="D47" s="20" t="inlineStr">
        <is>
          <t>0.000710</t>
        </is>
      </c>
      <c r="E47" s="20" t="inlineStr">
        <is>
          <t>0.100 SOL</t>
        </is>
      </c>
      <c r="F47" s="20" t="inlineStr">
        <is>
          <t>0.000 SOL</t>
        </is>
      </c>
      <c r="G47" s="17" t="inlineStr">
        <is>
          <t>-0.101 SOL</t>
        </is>
      </c>
      <c r="H47" s="17" t="inlineStr">
        <is>
          <t>0.00%</t>
        </is>
      </c>
      <c r="I47" s="20" t="inlineStr">
        <is>
          <t>36,979</t>
        </is>
      </c>
      <c r="J47" s="20" t="n">
        <v>1</v>
      </c>
      <c r="K47" s="20" t="n">
        <v>0</v>
      </c>
      <c r="L47" s="20" t="inlineStr">
        <is>
          <t>29.10.2024 16:57:17</t>
        </is>
      </c>
      <c r="M47" s="18" t="inlineStr">
        <is>
          <t>0 sec</t>
        </is>
      </c>
      <c r="N47" s="20" t="inlineStr">
        <is>
          <t xml:space="preserve">        474K           474K             8K</t>
        </is>
      </c>
      <c r="O47" s="20" t="inlineStr">
        <is>
          <t>6YHvVQ5B7tBbwmG4tU4ESbRKQKeiVBoE3q6u6sCWpump</t>
        </is>
      </c>
      <c r="P47" s="20">
        <f>HYPERLINK("https://dexscreener.com/solana/6YHvVQ5B7tBbwmG4tU4ESbRKQKeiVBoE3q6u6sCWpump", "View")</f>
        <v/>
      </c>
    </row>
    <row r="48">
      <c r="A48" s="15" t="inlineStr">
        <is>
          <t>Hanno</t>
        </is>
      </c>
      <c r="B48" s="16" t="n">
        <v>535748</v>
      </c>
      <c r="C48" s="16" t="n">
        <v>0</v>
      </c>
      <c r="D48" s="16" t="inlineStr">
        <is>
          <t>0.000710</t>
        </is>
      </c>
      <c r="E48" s="16" t="inlineStr">
        <is>
          <t>0.035 SOL</t>
        </is>
      </c>
      <c r="F48" s="16" t="inlineStr">
        <is>
          <t>0.000 SOL</t>
        </is>
      </c>
      <c r="G48" s="17" t="inlineStr">
        <is>
          <t>-0.035 SOL</t>
        </is>
      </c>
      <c r="H48" s="17" t="inlineStr">
        <is>
          <t>0.00%</t>
        </is>
      </c>
      <c r="I48" s="16" t="inlineStr">
        <is>
          <t>535,748</t>
        </is>
      </c>
      <c r="J48" s="16" t="n">
        <v>1</v>
      </c>
      <c r="K48" s="16" t="n">
        <v>0</v>
      </c>
      <c r="L48" s="16" t="inlineStr">
        <is>
          <t>29.10.2024 16:45:39</t>
        </is>
      </c>
      <c r="M48" s="18" t="inlineStr">
        <is>
          <t>0 sec</t>
        </is>
      </c>
      <c r="N48" s="16" t="inlineStr">
        <is>
          <t xml:space="preserve">         11K            11K             4K</t>
        </is>
      </c>
      <c r="O48" s="16" t="inlineStr">
        <is>
          <t>HzPd7yoaFNYZKCXepstCr7u8QuMhXF1aBS7NjxNppump</t>
        </is>
      </c>
      <c r="P48" s="16">
        <f>HYPERLINK("https://dexscreener.com/solana/HzPd7yoaFNYZKCXepstCr7u8QuMhXF1aBS7NjxNppump", "View")</f>
        <v/>
      </c>
    </row>
    <row r="49">
      <c r="A49" s="19" t="inlineStr">
        <is>
          <t>ddog</t>
        </is>
      </c>
      <c r="B49" s="20" t="n">
        <v>39188</v>
      </c>
      <c r="C49" s="20" t="n">
        <v>0</v>
      </c>
      <c r="D49" s="20" t="inlineStr">
        <is>
          <t>0.000710</t>
        </is>
      </c>
      <c r="E49" s="20" t="inlineStr">
        <is>
          <t>0.100 SOL</t>
        </is>
      </c>
      <c r="F49" s="20" t="inlineStr">
        <is>
          <t>0.000 SOL</t>
        </is>
      </c>
      <c r="G49" s="17" t="inlineStr">
        <is>
          <t>-0.101 SOL</t>
        </is>
      </c>
      <c r="H49" s="17" t="inlineStr">
        <is>
          <t>0.00%</t>
        </is>
      </c>
      <c r="I49" s="20" t="inlineStr">
        <is>
          <t>39,188</t>
        </is>
      </c>
      <c r="J49" s="20" t="n">
        <v>1</v>
      </c>
      <c r="K49" s="20" t="n">
        <v>0</v>
      </c>
      <c r="L49" s="20" t="inlineStr">
        <is>
          <t>29.10.2024 16:39:57</t>
        </is>
      </c>
      <c r="M49" s="18" t="inlineStr">
        <is>
          <t>0 sec</t>
        </is>
      </c>
      <c r="N49" s="20" t="inlineStr">
        <is>
          <t xml:space="preserve">        448K           448K             8K</t>
        </is>
      </c>
      <c r="O49" s="20" t="inlineStr">
        <is>
          <t>EJdD2Tx4MWzbhjMRAHpTPt7xHTr9wKyDqQtnXH2wpump</t>
        </is>
      </c>
      <c r="P49" s="20">
        <f>HYPERLINK("https://dexscreener.com/solana/EJdD2Tx4MWzbhjMRAHpTPt7xHTr9wKyDqQtnXH2wpump", "View")</f>
        <v/>
      </c>
    </row>
    <row r="50">
      <c r="A50" s="15" t="inlineStr">
        <is>
          <t>FRIDGE</t>
        </is>
      </c>
      <c r="B50" s="16" t="n">
        <v>956718</v>
      </c>
      <c r="C50" s="16" t="n">
        <v>934760</v>
      </c>
      <c r="D50" s="16" t="inlineStr">
        <is>
          <t>0.008570</t>
        </is>
      </c>
      <c r="E50" s="16" t="inlineStr">
        <is>
          <t>0.133 SOL</t>
        </is>
      </c>
      <c r="F50" s="16" t="inlineStr">
        <is>
          <t>1.928 SOL</t>
        </is>
      </c>
      <c r="G50" s="23" t="inlineStr">
        <is>
          <t>1.787 SOL</t>
        </is>
      </c>
      <c r="H50" s="23" t="inlineStr">
        <is>
          <t>1263.76%</t>
        </is>
      </c>
      <c r="I50" s="16" t="inlineStr">
        <is>
          <t>N/A</t>
        </is>
      </c>
      <c r="J50" s="16" t="n">
        <v>2</v>
      </c>
      <c r="K50" s="16" t="n">
        <v>11</v>
      </c>
      <c r="L50" s="16" t="inlineStr">
        <is>
          <t>29.10.2024 16:16:50</t>
        </is>
      </c>
      <c r="M50" s="16" t="inlineStr">
        <is>
          <t>11 hours</t>
        </is>
      </c>
      <c r="N50" s="16" t="inlineStr">
        <is>
          <t xml:space="preserve">          4M            19K             2M</t>
        </is>
      </c>
      <c r="O50" s="16" t="inlineStr">
        <is>
          <t>EswvJvhPy8A8rWPdLJ5ATYW6cY5x483oS4QWWroZpump</t>
        </is>
      </c>
      <c r="P50" s="16">
        <f>HYPERLINK("https://photon-sol.tinyastro.io/en/lp/EswvJvhPy8A8rWPdLJ5ATYW6cY5x483oS4QWWroZpump?handle=676050794bc1b1657a56b", "View")</f>
        <v/>
      </c>
    </row>
    <row r="51">
      <c r="A51" s="19" t="inlineStr">
        <is>
          <t>ARIES</t>
        </is>
      </c>
      <c r="B51" s="20" t="n">
        <v>578928</v>
      </c>
      <c r="C51" s="20" t="n">
        <v>0</v>
      </c>
      <c r="D51" s="20" t="inlineStr">
        <is>
          <t>0.000710</t>
        </is>
      </c>
      <c r="E51" s="20" t="inlineStr">
        <is>
          <t>0.030 SOL</t>
        </is>
      </c>
      <c r="F51" s="20" t="inlineStr">
        <is>
          <t>0.000 SOL</t>
        </is>
      </c>
      <c r="G51" s="17" t="inlineStr">
        <is>
          <t>-0.030 SOL</t>
        </is>
      </c>
      <c r="H51" s="17" t="inlineStr">
        <is>
          <t>0.00%</t>
        </is>
      </c>
      <c r="I51" s="20" t="inlineStr">
        <is>
          <t>578,928</t>
        </is>
      </c>
      <c r="J51" s="20" t="n">
        <v>1</v>
      </c>
      <c r="K51" s="20" t="n">
        <v>0</v>
      </c>
      <c r="L51" s="20" t="inlineStr">
        <is>
          <t>29.10.2024 16:08:17</t>
        </is>
      </c>
      <c r="M51" s="18" t="inlineStr">
        <is>
          <t>0 sec</t>
        </is>
      </c>
      <c r="N51" s="20" t="inlineStr">
        <is>
          <t xml:space="preserve">          9K             9K             4K</t>
        </is>
      </c>
      <c r="O51" s="20" t="inlineStr">
        <is>
          <t>DyjxrHGPiZYeanHJpSQS8gENSPfZgaqh1MdR4AoFpump</t>
        </is>
      </c>
      <c r="P51" s="20">
        <f>HYPERLINK("https://dexscreener.com/solana/DyjxrHGPiZYeanHJpSQS8gENSPfZgaqh1MdR4AoFpump", "View")</f>
        <v/>
      </c>
    </row>
    <row r="52">
      <c r="A52" s="15" t="inlineStr">
        <is>
          <t>Frida</t>
        </is>
      </c>
      <c r="B52" s="16" t="n">
        <v>789664</v>
      </c>
      <c r="C52" s="16" t="n">
        <v>0</v>
      </c>
      <c r="D52" s="16" t="inlineStr">
        <is>
          <t>0.000710</t>
        </is>
      </c>
      <c r="E52" s="16" t="inlineStr">
        <is>
          <t>0.099 SOL</t>
        </is>
      </c>
      <c r="F52" s="16" t="inlineStr">
        <is>
          <t>0.000 SOL</t>
        </is>
      </c>
      <c r="G52" s="17" t="inlineStr">
        <is>
          <t>-0.100 SOL</t>
        </is>
      </c>
      <c r="H52" s="17" t="inlineStr">
        <is>
          <t>0.00%</t>
        </is>
      </c>
      <c r="I52" s="16" t="inlineStr">
        <is>
          <t>789,664</t>
        </is>
      </c>
      <c r="J52" s="16" t="n">
        <v>1</v>
      </c>
      <c r="K52" s="16" t="n">
        <v>0</v>
      </c>
      <c r="L52" s="16" t="inlineStr">
        <is>
          <t>29.10.2024 16:03:34</t>
        </is>
      </c>
      <c r="M52" s="18" t="inlineStr">
        <is>
          <t>0 sec</t>
        </is>
      </c>
      <c r="N52" s="16" t="inlineStr">
        <is>
          <t xml:space="preserve">         23K            23K             4K</t>
        </is>
      </c>
      <c r="O52" s="16" t="inlineStr">
        <is>
          <t>F8guQLPX3QfWwMTZ8SveQ7TAEYccyCDsayUh5ZoGpump</t>
        </is>
      </c>
      <c r="P52" s="16">
        <f>HYPERLINK("https://dexscreener.com/solana/F8guQLPX3QfWwMTZ8SveQ7TAEYccyCDsayUh5ZoGpump", "View")</f>
        <v/>
      </c>
    </row>
    <row r="53">
      <c r="A53" s="19" t="inlineStr">
        <is>
          <t>BILL</t>
        </is>
      </c>
      <c r="B53" s="20" t="n">
        <v>74417</v>
      </c>
      <c r="C53" s="20" t="n">
        <v>0</v>
      </c>
      <c r="D53" s="20" t="inlineStr">
        <is>
          <t>0.000710</t>
        </is>
      </c>
      <c r="E53" s="20" t="inlineStr">
        <is>
          <t>0.150 SOL</t>
        </is>
      </c>
      <c r="F53" s="20" t="inlineStr">
        <is>
          <t>0.000 SOL</t>
        </is>
      </c>
      <c r="G53" s="17" t="inlineStr">
        <is>
          <t>-0.151 SOL</t>
        </is>
      </c>
      <c r="H53" s="17" t="inlineStr">
        <is>
          <t>0.00%</t>
        </is>
      </c>
      <c r="I53" s="20" t="inlineStr">
        <is>
          <t>74,417</t>
        </is>
      </c>
      <c r="J53" s="20" t="n">
        <v>1</v>
      </c>
      <c r="K53" s="20" t="n">
        <v>0</v>
      </c>
      <c r="L53" s="20" t="inlineStr">
        <is>
          <t>29.10.2024 15:47:14</t>
        </is>
      </c>
      <c r="M53" s="18" t="inlineStr">
        <is>
          <t>0 sec</t>
        </is>
      </c>
      <c r="N53" s="20" t="inlineStr">
        <is>
          <t xml:space="preserve">        355K           355K             7K</t>
        </is>
      </c>
      <c r="O53" s="20" t="inlineStr">
        <is>
          <t>Ca8AnVoDbwv31gddMHVyNLpHWYkGRRQFoXCcfe4gpump</t>
        </is>
      </c>
      <c r="P53" s="20">
        <f>HYPERLINK("https://dexscreener.com/solana/Ca8AnVoDbwv31gddMHVyNLpHWYkGRRQFoXCcfe4gpump", "View")</f>
        <v/>
      </c>
    </row>
    <row r="54">
      <c r="A54" s="15" t="inlineStr">
        <is>
          <t>GTA</t>
        </is>
      </c>
      <c r="B54" s="16" t="n">
        <v>80165</v>
      </c>
      <c r="C54" s="16" t="n">
        <v>32066</v>
      </c>
      <c r="D54" s="16" t="inlineStr">
        <is>
          <t>0.002120</t>
        </is>
      </c>
      <c r="E54" s="16" t="inlineStr">
        <is>
          <t>0.150 SOL</t>
        </is>
      </c>
      <c r="F54" s="16" t="inlineStr">
        <is>
          <t>0.156 SOL</t>
        </is>
      </c>
      <c r="G54" s="22" t="inlineStr">
        <is>
          <t>0.004 SOL</t>
        </is>
      </c>
      <c r="H54" s="22" t="inlineStr">
        <is>
          <t>2.66%</t>
        </is>
      </c>
      <c r="I54" s="16" t="inlineStr">
        <is>
          <t>N/A</t>
        </is>
      </c>
      <c r="J54" s="16" t="n">
        <v>1</v>
      </c>
      <c r="K54" s="16" t="n">
        <v>2</v>
      </c>
      <c r="L54" s="16" t="inlineStr">
        <is>
          <t>29.10.2024 15:05:29</t>
        </is>
      </c>
      <c r="M54" s="16" t="inlineStr">
        <is>
          <t>34 min</t>
        </is>
      </c>
      <c r="N54" s="16" t="inlineStr">
        <is>
          <t xml:space="preserve">        328K           697K           276K</t>
        </is>
      </c>
      <c r="O54" s="16" t="inlineStr">
        <is>
          <t>9HjsPutyGGPpxnRn4ibH1hTfPvitAY5EPvtAwGFkpump</t>
        </is>
      </c>
      <c r="P54" s="16">
        <f>HYPERLINK("https://dexscreener.com/solana/9HjsPutyGGPpxnRn4ibH1hTfPvitAY5EPvtAwGFkpump", "View")</f>
        <v/>
      </c>
    </row>
    <row r="55">
      <c r="A55" s="19" t="inlineStr">
        <is>
          <t>Rippus</t>
        </is>
      </c>
      <c r="B55" s="20" t="n">
        <v>46005</v>
      </c>
      <c r="C55" s="20" t="n">
        <v>0</v>
      </c>
      <c r="D55" s="20" t="inlineStr">
        <is>
          <t>0.000710</t>
        </is>
      </c>
      <c r="E55" s="20" t="inlineStr">
        <is>
          <t>0.100 SOL</t>
        </is>
      </c>
      <c r="F55" s="20" t="inlineStr">
        <is>
          <t>0.000 SOL</t>
        </is>
      </c>
      <c r="G55" s="17" t="inlineStr">
        <is>
          <t>-0.101 SOL</t>
        </is>
      </c>
      <c r="H55" s="17" t="inlineStr">
        <is>
          <t>0.00%</t>
        </is>
      </c>
      <c r="I55" s="20" t="inlineStr">
        <is>
          <t>46,005</t>
        </is>
      </c>
      <c r="J55" s="20" t="n">
        <v>1</v>
      </c>
      <c r="K55" s="20" t="n">
        <v>0</v>
      </c>
      <c r="L55" s="20" t="inlineStr">
        <is>
          <t>29.10.2024 15:01:57</t>
        </is>
      </c>
      <c r="M55" s="18" t="inlineStr">
        <is>
          <t>0 sec</t>
        </is>
      </c>
      <c r="N55" s="20" t="inlineStr">
        <is>
          <t xml:space="preserve">        381K           381K            13K</t>
        </is>
      </c>
      <c r="O55" s="20" t="inlineStr">
        <is>
          <t>9AFJZo69ATfqf6qms3kd2hyDg7wKt1MHhr6dg8Tspump</t>
        </is>
      </c>
      <c r="P55" s="20">
        <f>HYPERLINK("https://dexscreener.com/solana/9AFJZo69ATfqf6qms3kd2hyDg7wKt1MHhr6dg8Tspump", "View")</f>
        <v/>
      </c>
    </row>
    <row r="56">
      <c r="A56" s="15" t="inlineStr">
        <is>
          <t>gs</t>
        </is>
      </c>
      <c r="B56" s="16" t="n">
        <v>206194</v>
      </c>
      <c r="C56" s="16" t="n">
        <v>0</v>
      </c>
      <c r="D56" s="16" t="inlineStr">
        <is>
          <t>0.000710</t>
        </is>
      </c>
      <c r="E56" s="16" t="inlineStr">
        <is>
          <t>0.100 SOL</t>
        </is>
      </c>
      <c r="F56" s="16" t="inlineStr">
        <is>
          <t>0.000 SOL</t>
        </is>
      </c>
      <c r="G56" s="17" t="inlineStr">
        <is>
          <t>-0.101 SOL</t>
        </is>
      </c>
      <c r="H56" s="17" t="inlineStr">
        <is>
          <t>0.00%</t>
        </is>
      </c>
      <c r="I56" s="16" t="inlineStr">
        <is>
          <t>206,194</t>
        </is>
      </c>
      <c r="J56" s="16" t="n">
        <v>1</v>
      </c>
      <c r="K56" s="16" t="n">
        <v>0</v>
      </c>
      <c r="L56" s="16" t="inlineStr">
        <is>
          <t>29.10.2024 14:57:12</t>
        </is>
      </c>
      <c r="M56" s="18" t="inlineStr">
        <is>
          <t>0 sec</t>
        </is>
      </c>
      <c r="N56" s="16" t="inlineStr">
        <is>
          <t xml:space="preserve">         84K            84K             4K</t>
        </is>
      </c>
      <c r="O56" s="16" t="inlineStr">
        <is>
          <t>CBAZNZrZtiBB3GToBqCZ9sRiXZV1z81F6ncH9Exqpump</t>
        </is>
      </c>
      <c r="P56" s="16">
        <f>HYPERLINK("https://dexscreener.com/solana/CBAZNZrZtiBB3GToBqCZ9sRiXZV1z81F6ncH9Exqpump", "View")</f>
        <v/>
      </c>
    </row>
    <row r="57">
      <c r="A57" s="19" t="inlineStr">
        <is>
          <t>pixy</t>
        </is>
      </c>
      <c r="B57" s="20" t="n">
        <v>65957</v>
      </c>
      <c r="C57" s="20" t="n">
        <v>65957</v>
      </c>
      <c r="D57" s="20" t="inlineStr">
        <is>
          <t>0.001410</t>
        </is>
      </c>
      <c r="E57" s="20" t="inlineStr">
        <is>
          <t>0.100 SOL</t>
        </is>
      </c>
      <c r="F57" s="20" t="inlineStr">
        <is>
          <t>0.006 SOL</t>
        </is>
      </c>
      <c r="G57" s="24" t="inlineStr">
        <is>
          <t>-0.096 SOL</t>
        </is>
      </c>
      <c r="H57" s="24" t="inlineStr">
        <is>
          <t>-94.55%</t>
        </is>
      </c>
      <c r="I57" s="20" t="inlineStr">
        <is>
          <t>N/A</t>
        </is>
      </c>
      <c r="J57" s="20" t="n">
        <v>1</v>
      </c>
      <c r="K57" s="20" t="n">
        <v>1</v>
      </c>
      <c r="L57" s="20" t="inlineStr">
        <is>
          <t>29.10.2024 14:08:36</t>
        </is>
      </c>
      <c r="M57" s="20" t="inlineStr">
        <is>
          <t>1 hours</t>
        </is>
      </c>
      <c r="N57" s="20" t="inlineStr">
        <is>
          <t xml:space="preserve">        267K           267K             7K</t>
        </is>
      </c>
      <c r="O57" s="20" t="inlineStr">
        <is>
          <t>EegQmCFNWdhZsh75XUdW2TaM8S13LAGf6JzNgHpxpump</t>
        </is>
      </c>
      <c r="P57" s="20">
        <f>HYPERLINK("https://dexscreener.com/solana/EegQmCFNWdhZsh75XUdW2TaM8S13LAGf6JzNgHpxpump", "View")</f>
        <v/>
      </c>
    </row>
    <row r="58">
      <c r="A58" s="15" t="inlineStr">
        <is>
          <t>TOS</t>
        </is>
      </c>
      <c r="B58" s="16" t="n">
        <v>136276</v>
      </c>
      <c r="C58" s="16" t="n">
        <v>0</v>
      </c>
      <c r="D58" s="16" t="inlineStr">
        <is>
          <t>0.000710</t>
        </is>
      </c>
      <c r="E58" s="16" t="inlineStr">
        <is>
          <t>0.100 SOL</t>
        </is>
      </c>
      <c r="F58" s="16" t="inlineStr">
        <is>
          <t>0.000 SOL</t>
        </is>
      </c>
      <c r="G58" s="17" t="inlineStr">
        <is>
          <t>-0.101 SOL</t>
        </is>
      </c>
      <c r="H58" s="17" t="inlineStr">
        <is>
          <t>0.00%</t>
        </is>
      </c>
      <c r="I58" s="16" t="inlineStr">
        <is>
          <t>136,276</t>
        </is>
      </c>
      <c r="J58" s="16" t="n">
        <v>1</v>
      </c>
      <c r="K58" s="16" t="n">
        <v>0</v>
      </c>
      <c r="L58" s="16" t="inlineStr">
        <is>
          <t>29.10.2024 12:18:57</t>
        </is>
      </c>
      <c r="M58" s="18" t="inlineStr">
        <is>
          <t>0 sec</t>
        </is>
      </c>
      <c r="N58" s="16" t="inlineStr">
        <is>
          <t xml:space="preserve">        128K           128K            17K</t>
        </is>
      </c>
      <c r="O58" s="16" t="inlineStr">
        <is>
          <t>HcSHefAEHNtxbDASQEeMrjjF26FFjMFV7pqfifBXpump</t>
        </is>
      </c>
      <c r="P58" s="16">
        <f>HYPERLINK("https://dexscreener.com/solana/HcSHefAEHNtxbDASQEeMrjjF26FFjMFV7pqfifBXpump", "View")</f>
        <v/>
      </c>
    </row>
    <row r="59">
      <c r="A59" s="19" t="inlineStr">
        <is>
          <t>RURIK</t>
        </is>
      </c>
      <c r="B59" s="20" t="n">
        <v>89898</v>
      </c>
      <c r="C59" s="20" t="n">
        <v>0</v>
      </c>
      <c r="D59" s="20" t="inlineStr">
        <is>
          <t>0.000710</t>
        </is>
      </c>
      <c r="E59" s="20" t="inlineStr">
        <is>
          <t>0.100 SOL</t>
        </is>
      </c>
      <c r="F59" s="20" t="inlineStr">
        <is>
          <t>0.000 SOL</t>
        </is>
      </c>
      <c r="G59" s="17" t="inlineStr">
        <is>
          <t>-0.101 SOL</t>
        </is>
      </c>
      <c r="H59" s="17" t="inlineStr">
        <is>
          <t>0.00%</t>
        </is>
      </c>
      <c r="I59" s="20" t="inlineStr">
        <is>
          <t>89,898</t>
        </is>
      </c>
      <c r="J59" s="20" t="n">
        <v>1</v>
      </c>
      <c r="K59" s="20" t="n">
        <v>0</v>
      </c>
      <c r="L59" s="20" t="inlineStr">
        <is>
          <t>29.10.2024 09:51:36</t>
        </is>
      </c>
      <c r="M59" s="18" t="inlineStr">
        <is>
          <t>0 sec</t>
        </is>
      </c>
      <c r="N59" s="20" t="inlineStr">
        <is>
          <t xml:space="preserve">        195K           195K             6K</t>
        </is>
      </c>
      <c r="O59" s="20" t="inlineStr">
        <is>
          <t>HEYEkK75ZTh5CBbozwWbxJBsjUVygtzuetCxXUjmpump</t>
        </is>
      </c>
      <c r="P59" s="20">
        <f>HYPERLINK("https://dexscreener.com/solana/HEYEkK75ZTh5CBbozwWbxJBsjUVygtzuetCxXUjmpump", "View")</f>
        <v/>
      </c>
    </row>
    <row r="60">
      <c r="A60" s="15" t="inlineStr">
        <is>
          <t>ANDY</t>
        </is>
      </c>
      <c r="B60" s="16" t="n">
        <v>308867</v>
      </c>
      <c r="C60" s="16" t="n">
        <v>193042</v>
      </c>
      <c r="D60" s="16" t="inlineStr">
        <is>
          <t>0.002120</t>
        </is>
      </c>
      <c r="E60" s="16" t="inlineStr">
        <is>
          <t>0.050 SOL</t>
        </is>
      </c>
      <c r="F60" s="16" t="inlineStr">
        <is>
          <t>0.033 SOL</t>
        </is>
      </c>
      <c r="G60" s="21" t="inlineStr">
        <is>
          <t>-0.019 SOL</t>
        </is>
      </c>
      <c r="H60" s="21" t="inlineStr">
        <is>
          <t>-36.46%</t>
        </is>
      </c>
      <c r="I60" s="16" t="inlineStr">
        <is>
          <t>N/A</t>
        </is>
      </c>
      <c r="J60" s="16" t="n">
        <v>1</v>
      </c>
      <c r="K60" s="16" t="n">
        <v>2</v>
      </c>
      <c r="L60" s="16" t="inlineStr">
        <is>
          <t>29.10.2024 09:38:39</t>
        </is>
      </c>
      <c r="M60" s="16" t="inlineStr">
        <is>
          <t>5 min</t>
        </is>
      </c>
      <c r="N60" s="16" t="inlineStr">
        <is>
          <t xml:space="preserve">         28K            26K             8K</t>
        </is>
      </c>
      <c r="O60" s="16" t="inlineStr">
        <is>
          <t>EyDSYZM8RYQUc7ux41dNmR7BRk7tMzYnWmYeiKzCpump</t>
        </is>
      </c>
      <c r="P60" s="16">
        <f>HYPERLINK("https://dexscreener.com/solana/EyDSYZM8RYQUc7ux41dNmR7BRk7tMzYnWmYeiKzCpump", "View")</f>
        <v/>
      </c>
    </row>
    <row r="61">
      <c r="A61" s="19" t="inlineStr">
        <is>
          <t>ANDY</t>
        </is>
      </c>
      <c r="B61" s="20" t="n">
        <v>119759</v>
      </c>
      <c r="C61" s="20" t="n">
        <v>29940</v>
      </c>
      <c r="D61" s="20" t="inlineStr">
        <is>
          <t>0.001410</t>
        </is>
      </c>
      <c r="E61" s="20" t="inlineStr">
        <is>
          <t>0.075 SOL</t>
        </is>
      </c>
      <c r="F61" s="20" t="inlineStr">
        <is>
          <t>0.019 SOL</t>
        </is>
      </c>
      <c r="G61" s="24" t="inlineStr">
        <is>
          <t>-0.057 SOL</t>
        </is>
      </c>
      <c r="H61" s="24" t="inlineStr">
        <is>
          <t>-75.18%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29.10.2024 09:35:17</t>
        </is>
      </c>
      <c r="M61" s="18" t="inlineStr">
        <is>
          <t>37 sec</t>
        </is>
      </c>
      <c r="N61" s="20" t="inlineStr">
        <is>
          <t xml:space="preserve">        111K           111K            17K</t>
        </is>
      </c>
      <c r="O61" s="20" t="inlineStr">
        <is>
          <t>YmmJAazPFQzoodwCfwphWQ2449gqncDTqvC5TtJpump</t>
        </is>
      </c>
      <c r="P61" s="20">
        <f>HYPERLINK("https://dexscreener.com/solana/YmmJAazPFQzoodwCfwphWQ2449gqncDTqvC5TtJpump", "View")</f>
        <v/>
      </c>
    </row>
    <row r="62">
      <c r="A62" s="15" t="inlineStr">
        <is>
          <t>FREEANDY</t>
        </is>
      </c>
      <c r="B62" s="16" t="n">
        <v>183982</v>
      </c>
      <c r="C62" s="16" t="n">
        <v>137986</v>
      </c>
      <c r="D62" s="16" t="inlineStr">
        <is>
          <t>0.001410</t>
        </is>
      </c>
      <c r="E62" s="16" t="inlineStr">
        <is>
          <t>0.075 SOL</t>
        </is>
      </c>
      <c r="F62" s="16" t="inlineStr">
        <is>
          <t>0.023 SOL</t>
        </is>
      </c>
      <c r="G62" s="24" t="inlineStr">
        <is>
          <t>-0.053 SOL</t>
        </is>
      </c>
      <c r="H62" s="24" t="inlineStr">
        <is>
          <t>-69.86%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29.10.2024 07:40:35</t>
        </is>
      </c>
      <c r="M62" s="16" t="inlineStr">
        <is>
          <t>2 min</t>
        </is>
      </c>
      <c r="N62" s="16" t="inlineStr">
        <is>
          <t xml:space="preserve">         72K            72K             6K</t>
        </is>
      </c>
      <c r="O62" s="16" t="inlineStr">
        <is>
          <t>7Gry9KMXfcaRv67GdNjTgqWSD6VhNDYdcaLm6pr7pump</t>
        </is>
      </c>
      <c r="P62" s="16">
        <f>HYPERLINK("https://dexscreener.com/solana/7Gry9KMXfcaRv67GdNjTgqWSD6VhNDYdcaLm6pr7pump", "View")</f>
        <v/>
      </c>
    </row>
    <row r="63">
      <c r="A63" s="19" t="inlineStr">
        <is>
          <t>SL</t>
        </is>
      </c>
      <c r="B63" s="20" t="n">
        <v>33872</v>
      </c>
      <c r="C63" s="20" t="n">
        <v>23661</v>
      </c>
      <c r="D63" s="20" t="inlineStr">
        <is>
          <t>0.002930</t>
        </is>
      </c>
      <c r="E63" s="20" t="inlineStr">
        <is>
          <t>0.075 SOL</t>
        </is>
      </c>
      <c r="F63" s="20" t="inlineStr">
        <is>
          <t>0.308 SOL</t>
        </is>
      </c>
      <c r="G63" s="23" t="inlineStr">
        <is>
          <t>0.230 SOL</t>
        </is>
      </c>
      <c r="H63" s="23" t="inlineStr">
        <is>
          <t>295.28%</t>
        </is>
      </c>
      <c r="I63" s="20" t="inlineStr">
        <is>
          <t>N/A</t>
        </is>
      </c>
      <c r="J63" s="20" t="n">
        <v>1</v>
      </c>
      <c r="K63" s="20" t="n">
        <v>4</v>
      </c>
      <c r="L63" s="20" t="inlineStr">
        <is>
          <t>29.10.2024 07:04:08</t>
        </is>
      </c>
      <c r="M63" s="20" t="inlineStr">
        <is>
          <t>1 days</t>
        </is>
      </c>
      <c r="N63" s="20" t="inlineStr">
        <is>
          <t xml:space="preserve">        388K             2M             1M</t>
        </is>
      </c>
      <c r="O63" s="20" t="inlineStr">
        <is>
          <t>7wUwkXo8Qjt3cYM8BaHHHeyfDY7ZSn7qvod92pNupump</t>
        </is>
      </c>
      <c r="P63" s="20">
        <f>HYPERLINK("https://dexscreener.com/solana/7wUwkXo8Qjt3cYM8BaHHHeyfDY7ZSn7qvod92pNupump", "View")</f>
        <v/>
      </c>
    </row>
    <row r="64">
      <c r="A64" s="15" t="inlineStr">
        <is>
          <t>miluce</t>
        </is>
      </c>
      <c r="B64" s="16" t="n">
        <v>697734</v>
      </c>
      <c r="C64" s="16" t="n">
        <v>348867</v>
      </c>
      <c r="D64" s="16" t="inlineStr">
        <is>
          <t>0.001410</t>
        </is>
      </c>
      <c r="E64" s="16" t="inlineStr">
        <is>
          <t>0.085 SOL</t>
        </is>
      </c>
      <c r="F64" s="16" t="inlineStr">
        <is>
          <t>0.238 SOL</t>
        </is>
      </c>
      <c r="G64" s="23" t="inlineStr">
        <is>
          <t>0.151 SOL</t>
        </is>
      </c>
      <c r="H64" s="23" t="inlineStr">
        <is>
          <t>173.98%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29.10.2024 06:48:55</t>
        </is>
      </c>
      <c r="M64" s="16" t="inlineStr">
        <is>
          <t>3 min</t>
        </is>
      </c>
      <c r="N64" s="16" t="inlineStr">
        <is>
          <t xml:space="preserve">         20K            20K            14K</t>
        </is>
      </c>
      <c r="O64" s="16" t="inlineStr">
        <is>
          <t>GYCvL5ikdJbTq6b2DDq8DffYwFNbs4hWySMUiqfHpump</t>
        </is>
      </c>
      <c r="P64" s="16">
        <f>HYPERLINK("https://photon-sol.tinyastro.io/en/lp/GYCvL5ikdJbTq6b2DDq8DffYwFNbs4hWySMUiqfHpump?handle=676050794bc1b1657a56b", "View")</f>
        <v/>
      </c>
    </row>
    <row r="65">
      <c r="A65" s="19" t="inlineStr">
        <is>
          <t>Miggy</t>
        </is>
      </c>
      <c r="B65" s="20" t="n">
        <v>103236</v>
      </c>
      <c r="C65" s="20" t="n">
        <v>0</v>
      </c>
      <c r="D65" s="20" t="inlineStr">
        <is>
          <t>0.000710</t>
        </is>
      </c>
      <c r="E65" s="20" t="inlineStr">
        <is>
          <t>0.100 SOL</t>
        </is>
      </c>
      <c r="F65" s="20" t="inlineStr">
        <is>
          <t>0.000 SOL</t>
        </is>
      </c>
      <c r="G65" s="17" t="inlineStr">
        <is>
          <t>-0.101 SOL</t>
        </is>
      </c>
      <c r="H65" s="17" t="inlineStr">
        <is>
          <t>0.00%</t>
        </is>
      </c>
      <c r="I65" s="20" t="inlineStr">
        <is>
          <t>103,236</t>
        </is>
      </c>
      <c r="J65" s="20" t="n">
        <v>1</v>
      </c>
      <c r="K65" s="20" t="n">
        <v>0</v>
      </c>
      <c r="L65" s="20" t="inlineStr">
        <is>
          <t>29.10.2024 05:42:36</t>
        </is>
      </c>
      <c r="M65" s="18" t="inlineStr">
        <is>
          <t>0 sec</t>
        </is>
      </c>
      <c r="N65" s="20" t="inlineStr">
        <is>
          <t xml:space="preserve">        170K           170K             4K</t>
        </is>
      </c>
      <c r="O65" s="20" t="inlineStr">
        <is>
          <t>58ofVUi8HEDL22i6BMgv4Xycirs7uHgLVqfRiXS7pump</t>
        </is>
      </c>
      <c r="P65" s="20">
        <f>HYPERLINK("https://dexscreener.com/solana/58ofVUi8HEDL22i6BMgv4Xycirs7uHgLVqfRiXS7pump", "View")</f>
        <v/>
      </c>
    </row>
    <row r="66">
      <c r="A66" s="15" t="inlineStr">
        <is>
          <t>WOAT</t>
        </is>
      </c>
      <c r="B66" s="16" t="n">
        <v>50139</v>
      </c>
      <c r="C66" s="16" t="n">
        <v>50139</v>
      </c>
      <c r="D66" s="16" t="inlineStr">
        <is>
          <t>0.001410</t>
        </is>
      </c>
      <c r="E66" s="16" t="inlineStr">
        <is>
          <t>0.075 SOL</t>
        </is>
      </c>
      <c r="F66" s="16" t="inlineStr">
        <is>
          <t>0.075 SOL</t>
        </is>
      </c>
      <c r="G66" s="21" t="inlineStr">
        <is>
          <t>-0.002 SOL</t>
        </is>
      </c>
      <c r="H66" s="21" t="inlineStr">
        <is>
          <t>-2.30%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29.10.2024 05:29:45</t>
        </is>
      </c>
      <c r="M66" s="18" t="inlineStr">
        <is>
          <t>26 sec</t>
        </is>
      </c>
      <c r="N66" s="16" t="inlineStr">
        <is>
          <t xml:space="preserve">        263K           262K            11K</t>
        </is>
      </c>
      <c r="O66" s="16" t="inlineStr">
        <is>
          <t>6qocE7eQhug7pE7CggAvdNJJMtkHjKaVYRSND7Bwpump</t>
        </is>
      </c>
      <c r="P66" s="16">
        <f>HYPERLINK("https://dexscreener.com/solana/6qocE7eQhug7pE7CggAvdNJJMtkHjKaVYRSND7Bwpump", "View")</f>
        <v/>
      </c>
    </row>
    <row r="67">
      <c r="A67" s="19" t="inlineStr">
        <is>
          <t>Gemma-7b</t>
        </is>
      </c>
      <c r="B67" s="20" t="n">
        <v>103549</v>
      </c>
      <c r="C67" s="20" t="n">
        <v>0</v>
      </c>
      <c r="D67" s="20" t="inlineStr">
        <is>
          <t>0.000710</t>
        </is>
      </c>
      <c r="E67" s="20" t="inlineStr">
        <is>
          <t>0.100 SOL</t>
        </is>
      </c>
      <c r="F67" s="20" t="inlineStr">
        <is>
          <t>0.000 SOL</t>
        </is>
      </c>
      <c r="G67" s="17" t="inlineStr">
        <is>
          <t>-0.101 SOL</t>
        </is>
      </c>
      <c r="H67" s="17" t="inlineStr">
        <is>
          <t>0.00%</t>
        </is>
      </c>
      <c r="I67" s="20" t="inlineStr">
        <is>
          <t>103,549</t>
        </is>
      </c>
      <c r="J67" s="20" t="n">
        <v>1</v>
      </c>
      <c r="K67" s="20" t="n">
        <v>0</v>
      </c>
      <c r="L67" s="20" t="inlineStr">
        <is>
          <t>29.10.2024 04:51:20</t>
        </is>
      </c>
      <c r="M67" s="18" t="inlineStr">
        <is>
          <t>0 sec</t>
        </is>
      </c>
      <c r="N67" s="20" t="inlineStr">
        <is>
          <t xml:space="preserve">        170K           170K             4K</t>
        </is>
      </c>
      <c r="O67" s="20" t="inlineStr">
        <is>
          <t>AFmnF7gsWVmKCvcLM4xFgsZfz4JNLw53d3uAZYLWpump</t>
        </is>
      </c>
      <c r="P67" s="20">
        <f>HYPERLINK("https://dexscreener.com/solana/AFmnF7gsWVmKCvcLM4xFgsZfz4JNLw53d3uAZYLWpump", "View")</f>
        <v/>
      </c>
    </row>
    <row r="68">
      <c r="A68" s="15" t="inlineStr">
        <is>
          <t>▪</t>
        </is>
      </c>
      <c r="B68" s="16" t="n">
        <v>1148779</v>
      </c>
      <c r="C68" s="16" t="n">
        <v>1148779</v>
      </c>
      <c r="D68" s="16" t="inlineStr">
        <is>
          <t>0.001410</t>
        </is>
      </c>
      <c r="E68" s="16" t="inlineStr">
        <is>
          <t>0.127 SOL</t>
        </is>
      </c>
      <c r="F68" s="16" t="inlineStr">
        <is>
          <t>0.081 SOL</t>
        </is>
      </c>
      <c r="G68" s="21" t="inlineStr">
        <is>
          <t>-0.047 SOL</t>
        </is>
      </c>
      <c r="H68" s="21" t="inlineStr">
        <is>
          <t>-36.35%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29.10.2024 03:55:19</t>
        </is>
      </c>
      <c r="M68" s="16" t="inlineStr">
        <is>
          <t>2 min</t>
        </is>
      </c>
      <c r="N68" s="16" t="inlineStr">
        <is>
          <t xml:space="preserve">         19K            12K             5K</t>
        </is>
      </c>
      <c r="O68" s="16" t="inlineStr">
        <is>
          <t>AM39r2DmfbW21ECRULSobP9wx6Vzveamf4Vg4gY4pump</t>
        </is>
      </c>
      <c r="P68" s="16">
        <f>HYPERLINK("https://photon-sol.tinyastro.io/en/lp/AM39r2DmfbW21ECRULSobP9wx6Vzveamf4Vg4gY4pump?handle=676050794bc1b1657a56b", "View")</f>
        <v/>
      </c>
    </row>
    <row r="69">
      <c r="A69" s="19" t="inlineStr">
        <is>
          <t>TAW</t>
        </is>
      </c>
      <c r="B69" s="20" t="n">
        <v>352365</v>
      </c>
      <c r="C69" s="20" t="n">
        <v>213569</v>
      </c>
      <c r="D69" s="20" t="inlineStr">
        <is>
          <t>0.002120</t>
        </is>
      </c>
      <c r="E69" s="20" t="inlineStr">
        <is>
          <t>0.200 SOL</t>
        </is>
      </c>
      <c r="F69" s="20" t="inlineStr">
        <is>
          <t>0.050 SOL</t>
        </is>
      </c>
      <c r="G69" s="24" t="inlineStr">
        <is>
          <t>-0.152 SOL</t>
        </is>
      </c>
      <c r="H69" s="24" t="inlineStr">
        <is>
          <t>-75.19%</t>
        </is>
      </c>
      <c r="I69" s="20" t="inlineStr">
        <is>
          <t>N/A</t>
        </is>
      </c>
      <c r="J69" s="20" t="n">
        <v>2</v>
      </c>
      <c r="K69" s="20" t="n">
        <v>1</v>
      </c>
      <c r="L69" s="20" t="inlineStr">
        <is>
          <t>29.10.2024 03:43:56</t>
        </is>
      </c>
      <c r="M69" s="20" t="inlineStr">
        <is>
          <t>29 min</t>
        </is>
      </c>
      <c r="N69" s="20" t="inlineStr">
        <is>
          <t xml:space="preserve">         83K           126K            11K</t>
        </is>
      </c>
      <c r="O69" s="20" t="inlineStr">
        <is>
          <t>7458jTLdMTuqtfHg1eiPY3vUvDX6RgKZAntATVPDpump</t>
        </is>
      </c>
      <c r="P69" s="20">
        <f>HYPERLINK("https://dexscreener.com/solana/7458jTLdMTuqtfHg1eiPY3vUvDX6RgKZAntATVPDpump", "View")</f>
        <v/>
      </c>
    </row>
    <row r="70">
      <c r="A70" s="15" t="inlineStr">
        <is>
          <t>Xin</t>
        </is>
      </c>
      <c r="B70" s="16" t="n">
        <v>1194981</v>
      </c>
      <c r="C70" s="16" t="n">
        <v>1194981</v>
      </c>
      <c r="D70" s="16" t="inlineStr">
        <is>
          <t>0.001410</t>
        </is>
      </c>
      <c r="E70" s="16" t="inlineStr">
        <is>
          <t>0.106 SOL</t>
        </is>
      </c>
      <c r="F70" s="16" t="inlineStr">
        <is>
          <t>0.060 SOL</t>
        </is>
      </c>
      <c r="G70" s="21" t="inlineStr">
        <is>
          <t>-0.047 SOL</t>
        </is>
      </c>
      <c r="H70" s="21" t="inlineStr">
        <is>
          <t>-44.00%</t>
        </is>
      </c>
      <c r="I70" s="16" t="inlineStr">
        <is>
          <t>N/A</t>
        </is>
      </c>
      <c r="J70" s="16" t="n">
        <v>1</v>
      </c>
      <c r="K70" s="16" t="n">
        <v>1</v>
      </c>
      <c r="L70" s="16" t="inlineStr">
        <is>
          <t>29.10.2024 03:34:19</t>
        </is>
      </c>
      <c r="M70" s="18" t="inlineStr">
        <is>
          <t>21 sec</t>
        </is>
      </c>
      <c r="N70" s="16" t="inlineStr">
        <is>
          <t xml:space="preserve">         16K             9K             8K</t>
        </is>
      </c>
      <c r="O70" s="16" t="inlineStr">
        <is>
          <t>GZW5vKNpQnLxmzf4fSHZk4UDBRmHvVjLj2M3kNBs2hMm</t>
        </is>
      </c>
      <c r="P70" s="16">
        <f>HYPERLINK("https://photon-sol.tinyastro.io/en/lp/GZW5vKNpQnLxmzf4fSHZk4UDBRmHvVjLj2M3kNBs2hMm?handle=676050794bc1b1657a56b", "View")</f>
        <v/>
      </c>
    </row>
    <row r="71">
      <c r="A71" s="19" t="inlineStr">
        <is>
          <t>AIMC</t>
        </is>
      </c>
      <c r="B71" s="20" t="n">
        <v>58718</v>
      </c>
      <c r="C71" s="20" t="n">
        <v>0</v>
      </c>
      <c r="D71" s="20" t="inlineStr">
        <is>
          <t>0.000710</t>
        </is>
      </c>
      <c r="E71" s="20" t="inlineStr">
        <is>
          <t>0.100 SOL</t>
        </is>
      </c>
      <c r="F71" s="20" t="inlineStr">
        <is>
          <t>0.000 SOL</t>
        </is>
      </c>
      <c r="G71" s="17" t="inlineStr">
        <is>
          <t>-0.101 SOL</t>
        </is>
      </c>
      <c r="H71" s="17" t="inlineStr">
        <is>
          <t>0.00%</t>
        </is>
      </c>
      <c r="I71" s="20" t="inlineStr">
        <is>
          <t>58,718</t>
        </is>
      </c>
      <c r="J71" s="20" t="n">
        <v>1</v>
      </c>
      <c r="K71" s="20" t="n">
        <v>0</v>
      </c>
      <c r="L71" s="20" t="inlineStr">
        <is>
          <t>29.10.2024 03:29:56</t>
        </is>
      </c>
      <c r="M71" s="18" t="inlineStr">
        <is>
          <t>0 sec</t>
        </is>
      </c>
      <c r="N71" s="20" t="inlineStr">
        <is>
          <t xml:space="preserve">        298K           298K             5K</t>
        </is>
      </c>
      <c r="O71" s="20" t="inlineStr">
        <is>
          <t>iByRAnwB6oHjphgaixPkKqno41ida9yqKwwmrsKpump</t>
        </is>
      </c>
      <c r="P71" s="20">
        <f>HYPERLINK("https://dexscreener.com/solana/iByRAnwB6oHjphgaixPkKqno41ida9yqKwwmrsKpump", "View")</f>
        <v/>
      </c>
    </row>
    <row r="72">
      <c r="A72" s="15" t="inlineStr">
        <is>
          <t>fagatar</t>
        </is>
      </c>
      <c r="B72" s="16" t="n">
        <v>968299</v>
      </c>
      <c r="C72" s="16" t="n">
        <v>968299</v>
      </c>
      <c r="D72" s="16" t="inlineStr">
        <is>
          <t>0.001410</t>
        </is>
      </c>
      <c r="E72" s="16" t="inlineStr">
        <is>
          <t>0.118 SOL</t>
        </is>
      </c>
      <c r="F72" s="16" t="inlineStr">
        <is>
          <t>0.071 SOL</t>
        </is>
      </c>
      <c r="G72" s="21" t="inlineStr">
        <is>
          <t>-0.048 SOL</t>
        </is>
      </c>
      <c r="H72" s="21" t="inlineStr">
        <is>
          <t>-40.15%</t>
        </is>
      </c>
      <c r="I72" s="16" t="inlineStr">
        <is>
          <t>N/A</t>
        </is>
      </c>
      <c r="J72" s="16" t="n">
        <v>1</v>
      </c>
      <c r="K72" s="16" t="n">
        <v>1</v>
      </c>
      <c r="L72" s="16" t="inlineStr">
        <is>
          <t>29.10.2024 03:25:06</t>
        </is>
      </c>
      <c r="M72" s="16" t="inlineStr">
        <is>
          <t>3 min</t>
        </is>
      </c>
      <c r="N72" s="16" t="inlineStr">
        <is>
          <t xml:space="preserve">         21K            12K             5K</t>
        </is>
      </c>
      <c r="O72" s="16" t="inlineStr">
        <is>
          <t>H4uen4GmZS8GPTUkiznrUeknKsWfe5gjhzTsCRr1pump</t>
        </is>
      </c>
      <c r="P72" s="16">
        <f>HYPERLINK("https://photon-sol.tinyastro.io/en/lp/H4uen4GmZS8GPTUkiznrUeknKsWfe5gjhzTsCRr1pump?handle=676050794bc1b1657a56b", "View")</f>
        <v/>
      </c>
    </row>
    <row r="73">
      <c r="A73" s="19" t="inlineStr">
        <is>
          <t>ZAYD</t>
        </is>
      </c>
      <c r="B73" s="20" t="n">
        <v>1454117</v>
      </c>
      <c r="C73" s="20" t="n">
        <v>1454117</v>
      </c>
      <c r="D73" s="20" t="inlineStr">
        <is>
          <t>0.002120</t>
        </is>
      </c>
      <c r="E73" s="20" t="inlineStr">
        <is>
          <t>0.105 SOL</t>
        </is>
      </c>
      <c r="F73" s="20" t="inlineStr">
        <is>
          <t>0.084 SOL</t>
        </is>
      </c>
      <c r="G73" s="21" t="inlineStr">
        <is>
          <t>-0.023 SOL</t>
        </is>
      </c>
      <c r="H73" s="21" t="inlineStr">
        <is>
          <t>-21.72%</t>
        </is>
      </c>
      <c r="I73" s="20" t="inlineStr">
        <is>
          <t>N/A</t>
        </is>
      </c>
      <c r="J73" s="20" t="n">
        <v>1</v>
      </c>
      <c r="K73" s="20" t="n">
        <v>2</v>
      </c>
      <c r="L73" s="20" t="inlineStr">
        <is>
          <t>29.10.2024 01:44:04</t>
        </is>
      </c>
      <c r="M73" s="20" t="inlineStr">
        <is>
          <t>8 min</t>
        </is>
      </c>
      <c r="N73" s="20" t="inlineStr">
        <is>
          <t xml:space="preserve">         12K             7K             5K</t>
        </is>
      </c>
      <c r="O73" s="20" t="inlineStr">
        <is>
          <t>G3aCi7HrLkrHXaVeVmhXTg6uXbJpNQHtRmyUkLt2pump</t>
        </is>
      </c>
      <c r="P73" s="20">
        <f>HYPERLINK("https://photon-sol.tinyastro.io/en/lp/G3aCi7HrLkrHXaVeVmhXTg6uXbJpNQHtRmyUkLt2pump?handle=676050794bc1b1657a56b", "View")</f>
        <v/>
      </c>
    </row>
    <row r="74">
      <c r="A74" s="15" t="inlineStr">
        <is>
          <t>Solano</t>
        </is>
      </c>
      <c r="B74" s="16" t="n">
        <v>948800</v>
      </c>
      <c r="C74" s="16" t="n">
        <v>0</v>
      </c>
      <c r="D74" s="16" t="inlineStr">
        <is>
          <t>0.000710</t>
        </is>
      </c>
      <c r="E74" s="16" t="inlineStr">
        <is>
          <t>0.095 SOL</t>
        </is>
      </c>
      <c r="F74" s="16" t="inlineStr">
        <is>
          <t>0.000 SOL</t>
        </is>
      </c>
      <c r="G74" s="17" t="inlineStr">
        <is>
          <t>-0.096 SOL</t>
        </is>
      </c>
      <c r="H74" s="17" t="inlineStr">
        <is>
          <t>0.00%</t>
        </is>
      </c>
      <c r="I74" s="16" t="inlineStr">
        <is>
          <t>948,800</t>
        </is>
      </c>
      <c r="J74" s="16" t="n">
        <v>1</v>
      </c>
      <c r="K74" s="16" t="n">
        <v>0</v>
      </c>
      <c r="L74" s="16" t="inlineStr">
        <is>
          <t>28.10.2024 21:49:39</t>
        </is>
      </c>
      <c r="M74" s="18" t="inlineStr">
        <is>
          <t>0 sec</t>
        </is>
      </c>
      <c r="N74" s="16" t="inlineStr">
        <is>
          <t xml:space="preserve">         18K            18K             6K</t>
        </is>
      </c>
      <c r="O74" s="16" t="inlineStr">
        <is>
          <t>7wYTMHJnxXqJRnnzJb3594mS7LgCXT47AGLhd4hrpump</t>
        </is>
      </c>
      <c r="P74" s="16">
        <f>HYPERLINK("https://photon-sol.tinyastro.io/en/lp/7wYTMHJnxXqJRnnzJb3594mS7LgCXT47AGLhd4hrpump?handle=676050794bc1b1657a56b", "View")</f>
        <v/>
      </c>
    </row>
    <row r="75">
      <c r="A75" s="19" t="inlineStr">
        <is>
          <t>THECAT</t>
        </is>
      </c>
      <c r="B75" s="20" t="n">
        <v>23728</v>
      </c>
      <c r="C75" s="20" t="n">
        <v>23728</v>
      </c>
      <c r="D75" s="20" t="inlineStr">
        <is>
          <t>0.001820</t>
        </is>
      </c>
      <c r="E75" s="20" t="inlineStr">
        <is>
          <t>0.100 SOL</t>
        </is>
      </c>
      <c r="F75" s="20" t="inlineStr">
        <is>
          <t>0.002 SOL</t>
        </is>
      </c>
      <c r="G75" s="24" t="inlineStr">
        <is>
          <t>-0.100 SOL</t>
        </is>
      </c>
      <c r="H75" s="24" t="inlineStr">
        <is>
          <t>-98.22%</t>
        </is>
      </c>
      <c r="I75" s="20" t="inlineStr">
        <is>
          <t>N/A</t>
        </is>
      </c>
      <c r="J75" s="20" t="n">
        <v>1</v>
      </c>
      <c r="K75" s="20" t="n">
        <v>2</v>
      </c>
      <c r="L75" s="20" t="inlineStr">
        <is>
          <t>28.10.2024 18:30:04</t>
        </is>
      </c>
      <c r="M75" s="20" t="inlineStr">
        <is>
          <t>1 hours</t>
        </is>
      </c>
      <c r="N75" s="20" t="inlineStr">
        <is>
          <t xml:space="preserve">        739K           739K           178K</t>
        </is>
      </c>
      <c r="O75" s="20" t="inlineStr">
        <is>
          <t>4JE4tBaHwq9WsqGb4XVq38hGs7PXxd6EwNhUg9y17WGE</t>
        </is>
      </c>
      <c r="P75" s="20">
        <f>HYPERLINK("https://dexscreener.com/solana/4JE4tBaHwq9WsqGb4XVq38hGs7PXxd6EwNhUg9y17WGE", "View")</f>
        <v/>
      </c>
    </row>
    <row r="76">
      <c r="A76" s="15" t="inlineStr">
        <is>
          <t>Colossus</t>
        </is>
      </c>
      <c r="B76" s="16" t="n">
        <v>20301</v>
      </c>
      <c r="C76" s="16" t="n">
        <v>20301</v>
      </c>
      <c r="D76" s="16" t="inlineStr">
        <is>
          <t>0.001410</t>
        </is>
      </c>
      <c r="E76" s="16" t="inlineStr">
        <is>
          <t>0.050 SOL</t>
        </is>
      </c>
      <c r="F76" s="16" t="inlineStr">
        <is>
          <t>0.038 SOL</t>
        </is>
      </c>
      <c r="G76" s="21" t="inlineStr">
        <is>
          <t>-0.013 SOL</t>
        </is>
      </c>
      <c r="H76" s="21" t="inlineStr">
        <is>
          <t>-25.49%</t>
        </is>
      </c>
      <c r="I76" s="16" t="inlineStr">
        <is>
          <t>N/A</t>
        </is>
      </c>
      <c r="J76" s="16" t="n">
        <v>1</v>
      </c>
      <c r="K76" s="16" t="n">
        <v>1</v>
      </c>
      <c r="L76" s="16" t="inlineStr">
        <is>
          <t>28.10.2024 18:05:17</t>
        </is>
      </c>
      <c r="M76" s="16" t="inlineStr">
        <is>
          <t>1 min</t>
        </is>
      </c>
      <c r="N76" s="16" t="inlineStr">
        <is>
          <t xml:space="preserve">        432K           332K           119K</t>
        </is>
      </c>
      <c r="O76" s="16" t="inlineStr">
        <is>
          <t>8SuMAjoZeLGaaekNHP235Dv4soXsrcseFXefT3A9pump</t>
        </is>
      </c>
      <c r="P76" s="16">
        <f>HYPERLINK("https://dexscreener.com/solana/8SuMAjoZeLGaaekNHP235Dv4soXsrcseFXefT3A9pump", "View")</f>
        <v/>
      </c>
    </row>
    <row r="77">
      <c r="A77" s="19" t="inlineStr">
        <is>
          <t>HOLLY</t>
        </is>
      </c>
      <c r="B77" s="20" t="n">
        <v>1933199</v>
      </c>
      <c r="C77" s="20" t="n">
        <v>966599</v>
      </c>
      <c r="D77" s="20" t="inlineStr">
        <is>
          <t>0.001110</t>
        </is>
      </c>
      <c r="E77" s="20" t="inlineStr">
        <is>
          <t>0.080 SOL</t>
        </is>
      </c>
      <c r="F77" s="20" t="inlineStr">
        <is>
          <t>0.000 SOL</t>
        </is>
      </c>
      <c r="G77" s="24" t="inlineStr">
        <is>
          <t>-0.080 SOL</t>
        </is>
      </c>
      <c r="H77" s="24" t="inlineStr">
        <is>
          <t>-99.68%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28.10.2024 16:55:29</t>
        </is>
      </c>
      <c r="M77" s="20" t="inlineStr">
        <is>
          <t>20 hours</t>
        </is>
      </c>
      <c r="N77" s="20" t="inlineStr">
        <is>
          <t xml:space="preserve">          7K             7K             6K</t>
        </is>
      </c>
      <c r="O77" s="20" t="inlineStr">
        <is>
          <t>GDFEhJdo8xaTSpasVD7YLb7fSEe8C4pDnRqvPnxSpump</t>
        </is>
      </c>
      <c r="P77" s="20">
        <f>HYPERLINK("https://photon-sol.tinyastro.io/en/lp/GDFEhJdo8xaTSpasVD7YLb7fSEe8C4pDnRqvPnxSpump?handle=676050794bc1b1657a56b", "View")</f>
        <v/>
      </c>
    </row>
    <row r="78">
      <c r="A78" s="15" t="inlineStr">
        <is>
          <t>HOL</t>
        </is>
      </c>
      <c r="B78" s="16" t="n">
        <v>993814</v>
      </c>
      <c r="C78" s="16" t="n">
        <v>0</v>
      </c>
      <c r="D78" s="16" t="inlineStr">
        <is>
          <t>0.000710</t>
        </is>
      </c>
      <c r="E78" s="16" t="inlineStr">
        <is>
          <t>0.105 SOL</t>
        </is>
      </c>
      <c r="F78" s="16" t="inlineStr">
        <is>
          <t>0.000 SOL</t>
        </is>
      </c>
      <c r="G78" s="17" t="inlineStr">
        <is>
          <t>-0.106 SOL</t>
        </is>
      </c>
      <c r="H78" s="17" t="inlineStr">
        <is>
          <t>0.00%</t>
        </is>
      </c>
      <c r="I78" s="16" t="inlineStr">
        <is>
          <t>993,814</t>
        </is>
      </c>
      <c r="J78" s="16" t="n">
        <v>1</v>
      </c>
      <c r="K78" s="16" t="n">
        <v>0</v>
      </c>
      <c r="L78" s="16" t="inlineStr">
        <is>
          <t>28.10.2024 16:03:19</t>
        </is>
      </c>
      <c r="M78" s="18" t="inlineStr">
        <is>
          <t>0 sec</t>
        </is>
      </c>
      <c r="N78" s="16" t="inlineStr">
        <is>
          <t xml:space="preserve">         19K            19K             5K</t>
        </is>
      </c>
      <c r="O78" s="16" t="inlineStr">
        <is>
          <t>HUvjDmYNXL45eaPqi8176ihpYTAMxknr2dUWKN8spump</t>
        </is>
      </c>
      <c r="P78" s="16">
        <f>HYPERLINK("https://photon-sol.tinyastro.io/en/lp/HUvjDmYNXL45eaPqi8176ihpYTAMxknr2dUWKN8spump?handle=676050794bc1b1657a56b", "View")</f>
        <v/>
      </c>
    </row>
    <row r="79">
      <c r="A79" s="19" t="inlineStr">
        <is>
          <t>FISHAI</t>
        </is>
      </c>
      <c r="B79" s="20" t="n">
        <v>620181</v>
      </c>
      <c r="C79" s="20" t="n">
        <v>620181</v>
      </c>
      <c r="D79" s="20" t="inlineStr">
        <is>
          <t>0.001410</t>
        </is>
      </c>
      <c r="E79" s="20" t="inlineStr">
        <is>
          <t>0.062 SOL</t>
        </is>
      </c>
      <c r="F79" s="20" t="inlineStr">
        <is>
          <t>0.037 SOL</t>
        </is>
      </c>
      <c r="G79" s="21" t="inlineStr">
        <is>
          <t>-0.026 SOL</t>
        </is>
      </c>
      <c r="H79" s="21" t="inlineStr">
        <is>
          <t>-40.94%</t>
        </is>
      </c>
      <c r="I79" s="20" t="inlineStr">
        <is>
          <t>N/A</t>
        </is>
      </c>
      <c r="J79" s="20" t="n">
        <v>1</v>
      </c>
      <c r="K79" s="20" t="n">
        <v>1</v>
      </c>
      <c r="L79" s="20" t="inlineStr">
        <is>
          <t>28.10.2024 16:03:19</t>
        </is>
      </c>
      <c r="M79" s="18" t="inlineStr">
        <is>
          <t>50 sec</t>
        </is>
      </c>
      <c r="N79" s="20" t="inlineStr">
        <is>
          <t xml:space="preserve">         18K            11K             5K</t>
        </is>
      </c>
      <c r="O79" s="20" t="inlineStr">
        <is>
          <t>DCqFw7Pu4eMgWdEqNPDuvLRRaRgD2xbJ6pozMED6pump</t>
        </is>
      </c>
      <c r="P79" s="20">
        <f>HYPERLINK("https://photon-sol.tinyastro.io/en/lp/DCqFw7Pu4eMgWdEqNPDuvLRRaRgD2xbJ6pozMED6pump?handle=676050794bc1b1657a56b", "View")</f>
        <v/>
      </c>
    </row>
    <row r="80">
      <c r="A80" s="15" t="inlineStr">
        <is>
          <t>DCF</t>
        </is>
      </c>
      <c r="B80" s="16" t="n">
        <v>1219034</v>
      </c>
      <c r="C80" s="16" t="n">
        <v>1219034</v>
      </c>
      <c r="D80" s="16" t="inlineStr">
        <is>
          <t>0.002820</t>
        </is>
      </c>
      <c r="E80" s="16" t="inlineStr">
        <is>
          <t>0.101 SOL</t>
        </is>
      </c>
      <c r="F80" s="16" t="inlineStr">
        <is>
          <t>0.168 SOL</t>
        </is>
      </c>
      <c r="G80" s="23" t="inlineStr">
        <is>
          <t>0.064 SOL</t>
        </is>
      </c>
      <c r="H80" s="23" t="inlineStr">
        <is>
          <t>61.26%</t>
        </is>
      </c>
      <c r="I80" s="16" t="inlineStr">
        <is>
          <t>N/A</t>
        </is>
      </c>
      <c r="J80" s="16" t="n">
        <v>1</v>
      </c>
      <c r="K80" s="16" t="n">
        <v>3</v>
      </c>
      <c r="L80" s="16" t="inlineStr">
        <is>
          <t>28.10.2024 16:00:12</t>
        </is>
      </c>
      <c r="M80" s="16" t="inlineStr">
        <is>
          <t>2 min</t>
        </is>
      </c>
      <c r="N80" s="16" t="inlineStr">
        <is>
          <t xml:space="preserve">         14K            23K             6K</t>
        </is>
      </c>
      <c r="O80" s="16" t="inlineStr">
        <is>
          <t>5oqmSZe3mYnvda4uuzvif2KGXzx77VzRm8ez4aswpump</t>
        </is>
      </c>
      <c r="P80" s="16">
        <f>HYPERLINK("https://photon-sol.tinyastro.io/en/lp/5oqmSZe3mYnvda4uuzvif2KGXzx77VzRm8ez4aswpump?handle=676050794bc1b1657a56b", "View")</f>
        <v/>
      </c>
    </row>
    <row r="81">
      <c r="A81" s="19" t="inlineStr">
        <is>
          <t>Dolly</t>
        </is>
      </c>
      <c r="B81" s="20" t="n">
        <v>776180</v>
      </c>
      <c r="C81" s="20" t="n">
        <v>0</v>
      </c>
      <c r="D81" s="20" t="inlineStr">
        <is>
          <t>0.000710</t>
        </is>
      </c>
      <c r="E81" s="20" t="inlineStr">
        <is>
          <t>0.111 SOL</t>
        </is>
      </c>
      <c r="F81" s="20" t="inlineStr">
        <is>
          <t>0.000 SOL</t>
        </is>
      </c>
      <c r="G81" s="17" t="inlineStr">
        <is>
          <t>-0.112 SOL</t>
        </is>
      </c>
      <c r="H81" s="17" t="inlineStr">
        <is>
          <t>0.00%</t>
        </is>
      </c>
      <c r="I81" s="20" t="inlineStr">
        <is>
          <t>776,180</t>
        </is>
      </c>
      <c r="J81" s="20" t="n">
        <v>1</v>
      </c>
      <c r="K81" s="20" t="n">
        <v>0</v>
      </c>
      <c r="L81" s="20" t="inlineStr">
        <is>
          <t>28.10.2024 16:00:01</t>
        </is>
      </c>
      <c r="M81" s="18" t="inlineStr">
        <is>
          <t>0 sec</t>
        </is>
      </c>
      <c r="N81" s="20" t="inlineStr">
        <is>
          <t xml:space="preserve">         25K            25K             5K</t>
        </is>
      </c>
      <c r="O81" s="20" t="inlineStr">
        <is>
          <t>embRm6LVgkHiV4cSwHzuoYRMuW5ybk3GtimnPLrpump</t>
        </is>
      </c>
      <c r="P81" s="20">
        <f>HYPERLINK("https://photon-sol.tinyastro.io/en/lp/embRm6LVgkHiV4cSwHzuoYRMuW5ybk3GtimnPLrpump?handle=676050794bc1b1657a56b", "View")</f>
        <v/>
      </c>
    </row>
    <row r="82">
      <c r="A82" s="15" t="inlineStr">
        <is>
          <t>nGPT 𒀭</t>
        </is>
      </c>
      <c r="B82" s="16" t="n">
        <v>2011736</v>
      </c>
      <c r="C82" s="16" t="n">
        <v>0</v>
      </c>
      <c r="D82" s="16" t="inlineStr">
        <is>
          <t>0.000710</t>
        </is>
      </c>
      <c r="E82" s="16" t="inlineStr">
        <is>
          <t>0.097 SOL</t>
        </is>
      </c>
      <c r="F82" s="16" t="inlineStr">
        <is>
          <t>0.000 SOL</t>
        </is>
      </c>
      <c r="G82" s="17" t="inlineStr">
        <is>
          <t>-0.097 SOL</t>
        </is>
      </c>
      <c r="H82" s="17" t="inlineStr">
        <is>
          <t>0.00%</t>
        </is>
      </c>
      <c r="I82" s="16" t="inlineStr">
        <is>
          <t>2,011,736</t>
        </is>
      </c>
      <c r="J82" s="16" t="n">
        <v>1</v>
      </c>
      <c r="K82" s="16" t="n">
        <v>0</v>
      </c>
      <c r="L82" s="16" t="inlineStr">
        <is>
          <t>28.10.2024 15:40:27</t>
        </is>
      </c>
      <c r="M82" s="18" t="inlineStr">
        <is>
          <t>0 sec</t>
        </is>
      </c>
      <c r="N82" s="16" t="inlineStr">
        <is>
          <t xml:space="preserve">          9K             9K             5K</t>
        </is>
      </c>
      <c r="O82" s="16" t="inlineStr">
        <is>
          <t>GqTt3nV6JnhVHSuDFr6DYuLU9zWmwgDc7myeihnQpump</t>
        </is>
      </c>
      <c r="P82" s="16">
        <f>HYPERLINK("https://photon-sol.tinyastro.io/en/lp/GqTt3nV6JnhVHSuDFr6DYuLU9zWmwgDc7myeihnQpump?handle=676050794bc1b1657a56b", "View")</f>
        <v/>
      </c>
    </row>
    <row r="83">
      <c r="A83" s="19" t="inlineStr">
        <is>
          <t>NOBOX</t>
        </is>
      </c>
      <c r="B83" s="20" t="n">
        <v>497840</v>
      </c>
      <c r="C83" s="20" t="n">
        <v>124460</v>
      </c>
      <c r="D83" s="20" t="inlineStr">
        <is>
          <t>0.001410</t>
        </is>
      </c>
      <c r="E83" s="20" t="inlineStr">
        <is>
          <t>0.050 SOL</t>
        </is>
      </c>
      <c r="F83" s="20" t="inlineStr">
        <is>
          <t>0.058 SOL</t>
        </is>
      </c>
      <c r="G83" s="22" t="inlineStr">
        <is>
          <t>0.007 SOL</t>
        </is>
      </c>
      <c r="H83" s="22" t="inlineStr">
        <is>
          <t>14.34%</t>
        </is>
      </c>
      <c r="I83" s="20" t="inlineStr">
        <is>
          <t>N/A</t>
        </is>
      </c>
      <c r="J83" s="20" t="n">
        <v>1</v>
      </c>
      <c r="K83" s="20" t="n">
        <v>1</v>
      </c>
      <c r="L83" s="20" t="inlineStr">
        <is>
          <t>28.10.2024 15:38:23</t>
        </is>
      </c>
      <c r="M83" s="20" t="inlineStr">
        <is>
          <t>11 min</t>
        </is>
      </c>
      <c r="N83" s="20" t="inlineStr">
        <is>
          <t xml:space="preserve">         18K            18K             4K</t>
        </is>
      </c>
      <c r="O83" s="20" t="inlineStr">
        <is>
          <t>738jvbkArGJ5pr969bzTohhfCqqw4x6mnsxoyJY7pump</t>
        </is>
      </c>
      <c r="P83" s="20">
        <f>HYPERLINK("https://dexscreener.com/solana/738jvbkArGJ5pr969bzTohhfCqqw4x6mnsxoyJY7pump", "View")</f>
        <v/>
      </c>
    </row>
    <row r="84">
      <c r="A84" s="15" t="inlineStr">
        <is>
          <t>AI</t>
        </is>
      </c>
      <c r="B84" s="16" t="n">
        <v>2117339</v>
      </c>
      <c r="C84" s="16" t="n">
        <v>1058670</v>
      </c>
      <c r="D84" s="16" t="inlineStr">
        <is>
          <t>0.001110</t>
        </is>
      </c>
      <c r="E84" s="16" t="inlineStr">
        <is>
          <t>0.077 SOL</t>
        </is>
      </c>
      <c r="F84" s="16" t="inlineStr">
        <is>
          <t>0.000 SOL</t>
        </is>
      </c>
      <c r="G84" s="24" t="inlineStr">
        <is>
          <t>-0.077 SOL</t>
        </is>
      </c>
      <c r="H84" s="24" t="inlineStr">
        <is>
          <t>-99.58%</t>
        </is>
      </c>
      <c r="I84" s="16" t="inlineStr">
        <is>
          <t>N/A</t>
        </is>
      </c>
      <c r="J84" s="16" t="n">
        <v>1</v>
      </c>
      <c r="K84" s="16" t="n">
        <v>1</v>
      </c>
      <c r="L84" s="16" t="inlineStr">
        <is>
          <t>28.10.2024 15:27:06</t>
        </is>
      </c>
      <c r="M84" s="16" t="inlineStr">
        <is>
          <t>18 hours</t>
        </is>
      </c>
      <c r="N84" s="16" t="inlineStr">
        <is>
          <t xml:space="preserve">          7K             7K             5K</t>
        </is>
      </c>
      <c r="O84" s="16" t="inlineStr">
        <is>
          <t>4ktEhYgYhP7oYUPYwH4yQFQ8p3Vr3uQ8HMeccJdopump</t>
        </is>
      </c>
      <c r="P84" s="16">
        <f>HYPERLINK("https://photon-sol.tinyastro.io/en/lp/4ktEhYgYhP7oYUPYwH4yQFQ8p3Vr3uQ8HMeccJdopump?handle=676050794bc1b1657a56b", "View")</f>
        <v/>
      </c>
    </row>
    <row r="85">
      <c r="A85" s="19" t="inlineStr">
        <is>
          <t>xavier</t>
        </is>
      </c>
      <c r="B85" s="20" t="n">
        <v>67092</v>
      </c>
      <c r="C85" s="20" t="n">
        <v>0</v>
      </c>
      <c r="D85" s="20" t="inlineStr">
        <is>
          <t>0.000710</t>
        </is>
      </c>
      <c r="E85" s="20" t="inlineStr">
        <is>
          <t>0.075 SOL</t>
        </is>
      </c>
      <c r="F85" s="20" t="inlineStr">
        <is>
          <t>0.000 SOL</t>
        </is>
      </c>
      <c r="G85" s="17" t="inlineStr">
        <is>
          <t>-0.076 SOL</t>
        </is>
      </c>
      <c r="H85" s="17" t="inlineStr">
        <is>
          <t>0.00%</t>
        </is>
      </c>
      <c r="I85" s="20" t="inlineStr">
        <is>
          <t>67,092</t>
        </is>
      </c>
      <c r="J85" s="20" t="n">
        <v>1</v>
      </c>
      <c r="K85" s="20" t="n">
        <v>0</v>
      </c>
      <c r="L85" s="20" t="inlineStr">
        <is>
          <t>28.10.2024 15:24:23</t>
        </is>
      </c>
      <c r="M85" s="18" t="inlineStr">
        <is>
          <t>0 sec</t>
        </is>
      </c>
      <c r="N85" s="20" t="inlineStr">
        <is>
          <t xml:space="preserve">        197K           197K            39K</t>
        </is>
      </c>
      <c r="O85" s="20" t="inlineStr">
        <is>
          <t>69G8CpUVZAxbPMiEBrfCCCH445NwFxH6PzVL693Xpump</t>
        </is>
      </c>
      <c r="P85" s="20">
        <f>HYPERLINK("https://dexscreener.com/solana/69G8CpUVZAxbPMiEBrfCCCH445NwFxH6PzVL693Xpump", "View")</f>
        <v/>
      </c>
    </row>
    <row r="86">
      <c r="A86" s="15" t="inlineStr">
        <is>
          <t>TRENCH</t>
        </is>
      </c>
      <c r="B86" s="16" t="n">
        <v>1294022</v>
      </c>
      <c r="C86" s="16" t="n">
        <v>1294022</v>
      </c>
      <c r="D86" s="16" t="inlineStr">
        <is>
          <t>0.001410</t>
        </is>
      </c>
      <c r="E86" s="16" t="inlineStr">
        <is>
          <t>0.082 SOL</t>
        </is>
      </c>
      <c r="F86" s="16" t="inlineStr">
        <is>
          <t>0.583 SOL</t>
        </is>
      </c>
      <c r="G86" s="23" t="inlineStr">
        <is>
          <t>0.499 SOL</t>
        </is>
      </c>
      <c r="H86" s="23" t="inlineStr">
        <is>
          <t>597.54%</t>
        </is>
      </c>
      <c r="I86" s="16" t="inlineStr">
        <is>
          <t>N/A</t>
        </is>
      </c>
      <c r="J86" s="16" t="n">
        <v>1</v>
      </c>
      <c r="K86" s="16" t="n">
        <v>1</v>
      </c>
      <c r="L86" s="16" t="inlineStr">
        <is>
          <t>28.10.2024 15:22:02</t>
        </is>
      </c>
      <c r="M86" s="16" t="inlineStr">
        <is>
          <t>20 min</t>
        </is>
      </c>
      <c r="N86" s="16" t="inlineStr">
        <is>
          <t xml:space="preserve">         11K            11K             8K</t>
        </is>
      </c>
      <c r="O86" s="16" t="inlineStr">
        <is>
          <t>AnQCNde4nXGG4vT6XGpYJc7tyh1cjwyjC3raeRxnNN4F</t>
        </is>
      </c>
      <c r="P86" s="16">
        <f>HYPERLINK("https://photon-sol.tinyastro.io/en/lp/AnQCNde4nXGG4vT6XGpYJc7tyh1cjwyjC3raeRxnNN4F?handle=676050794bc1b1657a56b", "View")</f>
        <v/>
      </c>
    </row>
    <row r="87">
      <c r="A87" s="19" t="inlineStr">
        <is>
          <t>SirFloyd</t>
        </is>
      </c>
      <c r="B87" s="20" t="n">
        <v>629267</v>
      </c>
      <c r="C87" s="20" t="n">
        <v>471950</v>
      </c>
      <c r="D87" s="20" t="inlineStr">
        <is>
          <t>0.001410</t>
        </is>
      </c>
      <c r="E87" s="20" t="inlineStr">
        <is>
          <t>0.105 SOL</t>
        </is>
      </c>
      <c r="F87" s="20" t="inlineStr">
        <is>
          <t>0.032 SOL</t>
        </is>
      </c>
      <c r="G87" s="24" t="inlineStr">
        <is>
          <t>-0.074 SOL</t>
        </is>
      </c>
      <c r="H87" s="24" t="inlineStr">
        <is>
          <t>-69.72%</t>
        </is>
      </c>
      <c r="I87" s="20" t="inlineStr">
        <is>
          <t>N/A</t>
        </is>
      </c>
      <c r="J87" s="20" t="n">
        <v>1</v>
      </c>
      <c r="K87" s="20" t="n">
        <v>1</v>
      </c>
      <c r="L87" s="20" t="inlineStr">
        <is>
          <t>28.10.2024 15:20:17</t>
        </is>
      </c>
      <c r="M87" s="20" t="inlineStr">
        <is>
          <t>2 min</t>
        </is>
      </c>
      <c r="N87" s="20" t="inlineStr">
        <is>
          <t xml:space="preserve">         30K            30K             5K</t>
        </is>
      </c>
      <c r="O87" s="20" t="inlineStr">
        <is>
          <t>sjk6fNpHQEeWvk9sJrKEqTTLVZePbFqyeJSqB7kpump</t>
        </is>
      </c>
      <c r="P87" s="20">
        <f>HYPERLINK("https://photon-sol.tinyastro.io/en/lp/sjk6fNpHQEeWvk9sJrKEqTTLVZePbFqyeJSqB7kpump?handle=676050794bc1b1657a56b", "View")</f>
        <v/>
      </c>
    </row>
    <row r="88">
      <c r="A88" s="15" t="inlineStr">
        <is>
          <t>LUNIX</t>
        </is>
      </c>
      <c r="B88" s="16" t="n">
        <v>467678</v>
      </c>
      <c r="C88" s="16" t="n">
        <v>467678</v>
      </c>
      <c r="D88" s="16" t="inlineStr">
        <is>
          <t>0.002820</t>
        </is>
      </c>
      <c r="E88" s="16" t="inlineStr">
        <is>
          <t>0.100 SOL</t>
        </is>
      </c>
      <c r="F88" s="16" t="inlineStr">
        <is>
          <t>0.381 SOL</t>
        </is>
      </c>
      <c r="G88" s="23" t="inlineStr">
        <is>
          <t>0.278 SOL</t>
        </is>
      </c>
      <c r="H88" s="23" t="inlineStr">
        <is>
          <t>270.38%</t>
        </is>
      </c>
      <c r="I88" s="16" t="inlineStr">
        <is>
          <t>N/A</t>
        </is>
      </c>
      <c r="J88" s="16" t="n">
        <v>1</v>
      </c>
      <c r="K88" s="16" t="n">
        <v>3</v>
      </c>
      <c r="L88" s="16" t="inlineStr">
        <is>
          <t>28.10.2024 15:17:47</t>
        </is>
      </c>
      <c r="M88" s="16" t="inlineStr">
        <is>
          <t>6 min</t>
        </is>
      </c>
      <c r="N88" s="16" t="inlineStr">
        <is>
          <t xml:space="preserve">         37K            37K             4K</t>
        </is>
      </c>
      <c r="O88" s="16" t="inlineStr">
        <is>
          <t>DsDzFKro1PRxCX2CAuAKaYuc9uHRhmgtbrYLwWa3pump</t>
        </is>
      </c>
      <c r="P88" s="16">
        <f>HYPERLINK("https://photon-sol.tinyastro.io/en/lp/DsDzFKro1PRxCX2CAuAKaYuc9uHRhmgtbrYLwWa3pump?handle=676050794bc1b1657a56b", "View")</f>
        <v/>
      </c>
    </row>
    <row r="89">
      <c r="A89" s="19" t="inlineStr">
        <is>
          <t>AllAI</t>
        </is>
      </c>
      <c r="B89" s="20" t="n">
        <v>1646010</v>
      </c>
      <c r="C89" s="20" t="n">
        <v>0</v>
      </c>
      <c r="D89" s="20" t="inlineStr">
        <is>
          <t>0.000710</t>
        </is>
      </c>
      <c r="E89" s="20" t="inlineStr">
        <is>
          <t>0.107 SOL</t>
        </is>
      </c>
      <c r="F89" s="20" t="inlineStr">
        <is>
          <t>0.000 SOL</t>
        </is>
      </c>
      <c r="G89" s="17" t="inlineStr">
        <is>
          <t>-0.107 SOL</t>
        </is>
      </c>
      <c r="H89" s="17" t="inlineStr">
        <is>
          <t>0.00%</t>
        </is>
      </c>
      <c r="I89" s="20" t="inlineStr">
        <is>
          <t>1,646,010</t>
        </is>
      </c>
      <c r="J89" s="20" t="n">
        <v>1</v>
      </c>
      <c r="K89" s="20" t="n">
        <v>0</v>
      </c>
      <c r="L89" s="20" t="inlineStr">
        <is>
          <t>28.10.2024 15:15:05</t>
        </is>
      </c>
      <c r="M89" s="18" t="inlineStr">
        <is>
          <t>0 sec</t>
        </is>
      </c>
      <c r="N89" s="20" t="inlineStr">
        <is>
          <t xml:space="preserve">         11K            11K             5K</t>
        </is>
      </c>
      <c r="O89" s="20" t="inlineStr">
        <is>
          <t>GQobcP4xokNpNK9oKghwDdeACtsw4AyP3Lpq7ghjpump</t>
        </is>
      </c>
      <c r="P89" s="20">
        <f>HYPERLINK("https://photon-sol.tinyastro.io/en/lp/GQobcP4xokNpNK9oKghwDdeACtsw4AyP3Lpq7ghjpump?handle=676050794bc1b1657a56b", "View")</f>
        <v/>
      </c>
    </row>
    <row r="90">
      <c r="A90" s="15" t="inlineStr">
        <is>
          <t>ZOA</t>
        </is>
      </c>
      <c r="B90" s="16" t="n">
        <v>654144</v>
      </c>
      <c r="C90" s="16" t="n">
        <v>623866</v>
      </c>
      <c r="D90" s="16" t="inlineStr">
        <is>
          <t>0.017040</t>
        </is>
      </c>
      <c r="E90" s="16" t="inlineStr">
        <is>
          <t>0.098 SOL</t>
        </is>
      </c>
      <c r="F90" s="16" t="inlineStr">
        <is>
          <t>7.125 SOL</t>
        </is>
      </c>
      <c r="G90" s="23" t="inlineStr">
        <is>
          <t>7.010 SOL</t>
        </is>
      </c>
      <c r="H90" s="23" t="inlineStr">
        <is>
          <t>6068.15%</t>
        </is>
      </c>
      <c r="I90" s="16" t="inlineStr">
        <is>
          <t>N/A</t>
        </is>
      </c>
      <c r="J90" s="16" t="n">
        <v>1</v>
      </c>
      <c r="K90" s="16" t="n">
        <v>27</v>
      </c>
      <c r="L90" s="16" t="inlineStr">
        <is>
          <t>28.10.2024 15:13:15</t>
        </is>
      </c>
      <c r="M90" s="16" t="inlineStr">
        <is>
          <t>17 hours</t>
        </is>
      </c>
      <c r="N90" s="16" t="inlineStr">
        <is>
          <t xml:space="preserve">         26K            26K           297K</t>
        </is>
      </c>
      <c r="O90" s="16" t="inlineStr">
        <is>
          <t>AwcCFuJgUYNYHXm6tHhr7DsXDY6FKvXUt2DFjmgHpump</t>
        </is>
      </c>
      <c r="P90" s="16">
        <f>HYPERLINK("https://photon-sol.tinyastro.io/en/lp/AwcCFuJgUYNYHXm6tHhr7DsXDY6FKvXUt2DFjmgHpump?handle=676050794bc1b1657a56b", "View")</f>
        <v/>
      </c>
    </row>
    <row r="91">
      <c r="A91" s="19" t="inlineStr">
        <is>
          <t>AvatarOS</t>
        </is>
      </c>
      <c r="B91" s="20" t="n">
        <v>84694</v>
      </c>
      <c r="C91" s="20" t="n">
        <v>42347</v>
      </c>
      <c r="D91" s="20" t="inlineStr">
        <is>
          <t>0.001820</t>
        </is>
      </c>
      <c r="E91" s="20" t="inlineStr">
        <is>
          <t>0.085 SOL</t>
        </is>
      </c>
      <c r="F91" s="20" t="inlineStr">
        <is>
          <t>0.053 SOL</t>
        </is>
      </c>
      <c r="G91" s="21" t="inlineStr">
        <is>
          <t>-0.034 SOL</t>
        </is>
      </c>
      <c r="H91" s="21" t="inlineStr">
        <is>
          <t>-38.98%</t>
        </is>
      </c>
      <c r="I91" s="20" t="inlineStr">
        <is>
          <t>N/A</t>
        </is>
      </c>
      <c r="J91" s="20" t="n">
        <v>2</v>
      </c>
      <c r="K91" s="20" t="n">
        <v>1</v>
      </c>
      <c r="L91" s="20" t="inlineStr">
        <is>
          <t>28.10.2024 14:52:56</t>
        </is>
      </c>
      <c r="M91" s="20" t="inlineStr">
        <is>
          <t>1 hours</t>
        </is>
      </c>
      <c r="N91" s="20" t="inlineStr">
        <is>
          <t xml:space="preserve">        167K           302K             8K</t>
        </is>
      </c>
      <c r="O91" s="20" t="inlineStr">
        <is>
          <t>8q3PiifMQxnjs1NAETVXw8xMVN8q3Zfuoops9BSjpump</t>
        </is>
      </c>
      <c r="P91" s="20">
        <f>HYPERLINK("https://dexscreener.com/solana/8q3PiifMQxnjs1NAETVXw8xMVN8q3Zfuoops9BSjpump", "View")</f>
        <v/>
      </c>
    </row>
    <row r="92">
      <c r="A92" s="15" t="inlineStr">
        <is>
          <t>LARPAI</t>
        </is>
      </c>
      <c r="B92" s="16" t="n">
        <v>34464</v>
      </c>
      <c r="C92" s="16" t="n">
        <v>0</v>
      </c>
      <c r="D92" s="16" t="inlineStr">
        <is>
          <t>0.000710</t>
        </is>
      </c>
      <c r="E92" s="16" t="inlineStr">
        <is>
          <t>0.100 SOL</t>
        </is>
      </c>
      <c r="F92" s="16" t="inlineStr">
        <is>
          <t>0.000 SOL</t>
        </is>
      </c>
      <c r="G92" s="17" t="inlineStr">
        <is>
          <t>-0.101 SOL</t>
        </is>
      </c>
      <c r="H92" s="17" t="inlineStr">
        <is>
          <t>0.00%</t>
        </is>
      </c>
      <c r="I92" s="16" t="inlineStr">
        <is>
          <t>34,464</t>
        </is>
      </c>
      <c r="J92" s="16" t="n">
        <v>1</v>
      </c>
      <c r="K92" s="16" t="n">
        <v>0</v>
      </c>
      <c r="L92" s="16" t="inlineStr">
        <is>
          <t>28.10.2024 14:35:03</t>
        </is>
      </c>
      <c r="M92" s="18" t="inlineStr">
        <is>
          <t>0 sec</t>
        </is>
      </c>
      <c r="N92" s="16" t="inlineStr">
        <is>
          <t xml:space="preserve">        509K           509K            14K</t>
        </is>
      </c>
      <c r="O92" s="16" t="inlineStr">
        <is>
          <t>Z5qTBYTgbK9nezJPSLxuJEpEhDimcJKLq9xN6MF2sh1</t>
        </is>
      </c>
      <c r="P92" s="16">
        <f>HYPERLINK("https://dexscreener.com/solana/Z5qTBYTgbK9nezJPSLxuJEpEhDimcJKLq9xN6MF2sh1", "View")</f>
        <v/>
      </c>
    </row>
    <row r="93">
      <c r="A93" s="19" t="inlineStr">
        <is>
          <t>🎈</t>
        </is>
      </c>
      <c r="B93" s="20" t="n">
        <v>96232</v>
      </c>
      <c r="C93" s="20" t="n">
        <v>0</v>
      </c>
      <c r="D93" s="20" t="inlineStr">
        <is>
          <t>0.000710</t>
        </is>
      </c>
      <c r="E93" s="20" t="inlineStr">
        <is>
          <t>0.075 SOL</t>
        </is>
      </c>
      <c r="F93" s="20" t="inlineStr">
        <is>
          <t>0.000 SOL</t>
        </is>
      </c>
      <c r="G93" s="17" t="inlineStr">
        <is>
          <t>-0.076 SOL</t>
        </is>
      </c>
      <c r="H93" s="17" t="inlineStr">
        <is>
          <t>0.00%</t>
        </is>
      </c>
      <c r="I93" s="20" t="inlineStr">
        <is>
          <t>96,232</t>
        </is>
      </c>
      <c r="J93" s="20" t="n">
        <v>1</v>
      </c>
      <c r="K93" s="20" t="n">
        <v>0</v>
      </c>
      <c r="L93" s="20" t="inlineStr">
        <is>
          <t>28.10.2024 14:20:52</t>
        </is>
      </c>
      <c r="M93" s="18" t="inlineStr">
        <is>
          <t>0 sec</t>
        </is>
      </c>
      <c r="N93" s="20" t="inlineStr">
        <is>
          <t xml:space="preserve">        137K           137K             4K</t>
        </is>
      </c>
      <c r="O93" s="20" t="inlineStr">
        <is>
          <t>DFwNZPHkZWix2LutzYKD5rzpyayKSLY5Uw88pRDypump</t>
        </is>
      </c>
      <c r="P93" s="20">
        <f>HYPERLINK("https://dexscreener.com/solana/DFwNZPHkZWix2LutzYKD5rzpyayKSLY5Uw88pRDypump", "View")</f>
        <v/>
      </c>
    </row>
    <row r="94">
      <c r="A94" s="15" t="inlineStr">
        <is>
          <t>HLLWN</t>
        </is>
      </c>
      <c r="B94" s="16" t="n">
        <v>141728</v>
      </c>
      <c r="C94" s="16" t="n">
        <v>35432</v>
      </c>
      <c r="D94" s="16" t="inlineStr">
        <is>
          <t>0.001410</t>
        </is>
      </c>
      <c r="E94" s="16" t="inlineStr">
        <is>
          <t>0.100 SOL</t>
        </is>
      </c>
      <c r="F94" s="16" t="inlineStr">
        <is>
          <t>0.038 SOL</t>
        </is>
      </c>
      <c r="G94" s="24" t="inlineStr">
        <is>
          <t>-0.064 SOL</t>
        </is>
      </c>
      <c r="H94" s="24" t="inlineStr">
        <is>
          <t>-62.90%</t>
        </is>
      </c>
      <c r="I94" s="16" t="inlineStr">
        <is>
          <t>N/A</t>
        </is>
      </c>
      <c r="J94" s="16" t="n">
        <v>1</v>
      </c>
      <c r="K94" s="16" t="n">
        <v>1</v>
      </c>
      <c r="L94" s="16" t="inlineStr">
        <is>
          <t>28.10.2024 14:02:51</t>
        </is>
      </c>
      <c r="M94" s="16" t="inlineStr">
        <is>
          <t>1 hours</t>
        </is>
      </c>
      <c r="N94" s="16" t="inlineStr">
        <is>
          <t xml:space="preserve">        125K           125K             5K</t>
        </is>
      </c>
      <c r="O94" s="16" t="inlineStr">
        <is>
          <t>CVcAA5iKzvQg5yYrEFs3AoRWZZUgdpNKUEeyaUPpump</t>
        </is>
      </c>
      <c r="P94" s="16">
        <f>HYPERLINK("https://dexscreener.com/solana/CVcAA5iKzvQg5yYrEFs3AoRWZZUgdpNKUEeyaUPpump", "View")</f>
        <v/>
      </c>
    </row>
    <row r="95">
      <c r="A95" s="19" t="inlineStr">
        <is>
          <t>IA</t>
        </is>
      </c>
      <c r="B95" s="20" t="n">
        <v>338053</v>
      </c>
      <c r="C95" s="20" t="n">
        <v>0</v>
      </c>
      <c r="D95" s="20" t="inlineStr">
        <is>
          <t>0.000710</t>
        </is>
      </c>
      <c r="E95" s="20" t="inlineStr">
        <is>
          <t>0.075 SOL</t>
        </is>
      </c>
      <c r="F95" s="20" t="inlineStr">
        <is>
          <t>0.000 SOL</t>
        </is>
      </c>
      <c r="G95" s="17" t="inlineStr">
        <is>
          <t>-0.076 SOL</t>
        </is>
      </c>
      <c r="H95" s="17" t="inlineStr">
        <is>
          <t>0.00%</t>
        </is>
      </c>
      <c r="I95" s="20" t="inlineStr">
        <is>
          <t>338,053</t>
        </is>
      </c>
      <c r="J95" s="20" t="n">
        <v>1</v>
      </c>
      <c r="K95" s="20" t="n">
        <v>0</v>
      </c>
      <c r="L95" s="20" t="inlineStr">
        <is>
          <t>28.10.2024 13:13:59</t>
        </is>
      </c>
      <c r="M95" s="18" t="inlineStr">
        <is>
          <t>0 sec</t>
        </is>
      </c>
      <c r="N95" s="20" t="inlineStr">
        <is>
          <t xml:space="preserve">         39K            39K             4K</t>
        </is>
      </c>
      <c r="O95" s="20" t="inlineStr">
        <is>
          <t>8tASPZToUJYaB8LPK6YftH3TghCX9aQd8v9Tnqgtpump</t>
        </is>
      </c>
      <c r="P95" s="20">
        <f>HYPERLINK("https://dexscreener.com/solana/8tASPZToUJYaB8LPK6YftH3TghCX9aQd8v9Tnqgtpump", "View")</f>
        <v/>
      </c>
    </row>
    <row r="96">
      <c r="A96" s="15" t="inlineStr">
        <is>
          <t>x982a{j:+</t>
        </is>
      </c>
      <c r="B96" s="16" t="n">
        <v>1030070</v>
      </c>
      <c r="C96" s="16" t="n">
        <v>257518</v>
      </c>
      <c r="D96" s="16" t="inlineStr">
        <is>
          <t>0.002120</t>
        </is>
      </c>
      <c r="E96" s="16" t="inlineStr">
        <is>
          <t>0.112 SOL</t>
        </is>
      </c>
      <c r="F96" s="16" t="inlineStr">
        <is>
          <t>0.035 SOL</t>
        </is>
      </c>
      <c r="G96" s="24" t="inlineStr">
        <is>
          <t>-0.079 SOL</t>
        </is>
      </c>
      <c r="H96" s="24" t="inlineStr">
        <is>
          <t>-69.36%</t>
        </is>
      </c>
      <c r="I96" s="16" t="inlineStr">
        <is>
          <t>N/A</t>
        </is>
      </c>
      <c r="J96" s="16" t="n">
        <v>2</v>
      </c>
      <c r="K96" s="16" t="n">
        <v>1</v>
      </c>
      <c r="L96" s="16" t="inlineStr">
        <is>
          <t>28.10.2024 13:05:22</t>
        </is>
      </c>
      <c r="M96" s="16" t="inlineStr">
        <is>
          <t>8 min</t>
        </is>
      </c>
      <c r="N96" s="16" t="inlineStr">
        <is>
          <t xml:space="preserve">         67K            18K             7K</t>
        </is>
      </c>
      <c r="O96" s="16" t="inlineStr">
        <is>
          <t>9RiG5eXy9zExjCFuY9npNrSSzZestokgSP4mgpCiK9f8</t>
        </is>
      </c>
      <c r="P96" s="16">
        <f>HYPERLINK("https://photon-sol.tinyastro.io/en/lp/9RiG5eXy9zExjCFuY9npNrSSzZestokgSP4mgpCiK9f8?handle=676050794bc1b1657a56b", "View")</f>
        <v/>
      </c>
    </row>
    <row r="97">
      <c r="A97" s="19" t="inlineStr">
        <is>
          <t>CLEMENTINE</t>
        </is>
      </c>
      <c r="B97" s="20" t="n">
        <v>1494585</v>
      </c>
      <c r="C97" s="20" t="n">
        <v>0</v>
      </c>
      <c r="D97" s="20" t="inlineStr">
        <is>
          <t>0.001410</t>
        </is>
      </c>
      <c r="E97" s="20" t="inlineStr">
        <is>
          <t>0.101 SOL</t>
        </is>
      </c>
      <c r="F97" s="20" t="inlineStr">
        <is>
          <t>0.000 SOL</t>
        </is>
      </c>
      <c r="G97" s="17" t="inlineStr">
        <is>
          <t>-0.102 SOL</t>
        </is>
      </c>
      <c r="H97" s="17" t="inlineStr">
        <is>
          <t>0.00%</t>
        </is>
      </c>
      <c r="I97" s="20" t="inlineStr">
        <is>
          <t>1,494,585</t>
        </is>
      </c>
      <c r="J97" s="20" t="n">
        <v>2</v>
      </c>
      <c r="K97" s="20" t="n">
        <v>0</v>
      </c>
      <c r="L97" s="20" t="inlineStr">
        <is>
          <t>28.10.2024 12:47:27</t>
        </is>
      </c>
      <c r="M97" s="20" t="inlineStr">
        <is>
          <t>1 min</t>
        </is>
      </c>
      <c r="N97" s="20" t="inlineStr">
        <is>
          <t xml:space="preserve">         21K             9K             5K</t>
        </is>
      </c>
      <c r="O97" s="20" t="inlineStr">
        <is>
          <t>B2QYkRZURXV4DbWMGnJhmqij6QNp7sRWx4jHY4hkpump</t>
        </is>
      </c>
      <c r="P97" s="20">
        <f>HYPERLINK("https://photon-sol.tinyastro.io/en/lp/B2QYkRZURXV4DbWMGnJhmqij6QNp7sRWx4jHY4hkpump?handle=676050794bc1b1657a56b", "View")</f>
        <v/>
      </c>
    </row>
    <row r="98">
      <c r="A98" s="15" t="inlineStr">
        <is>
          <t>Rik</t>
        </is>
      </c>
      <c r="B98" s="16" t="n">
        <v>201467</v>
      </c>
      <c r="C98" s="16" t="n">
        <v>0</v>
      </c>
      <c r="D98" s="16" t="inlineStr">
        <is>
          <t>0.000710</t>
        </is>
      </c>
      <c r="E98" s="16" t="inlineStr">
        <is>
          <t>0.100 SOL</t>
        </is>
      </c>
      <c r="F98" s="16" t="inlineStr">
        <is>
          <t>0.000 SOL</t>
        </is>
      </c>
      <c r="G98" s="17" t="inlineStr">
        <is>
          <t>-0.101 SOL</t>
        </is>
      </c>
      <c r="H98" s="17" t="inlineStr">
        <is>
          <t>0.00%</t>
        </is>
      </c>
      <c r="I98" s="16" t="inlineStr">
        <is>
          <t>201,467</t>
        </is>
      </c>
      <c r="J98" s="16" t="n">
        <v>1</v>
      </c>
      <c r="K98" s="16" t="n">
        <v>0</v>
      </c>
      <c r="L98" s="16" t="inlineStr">
        <is>
          <t>28.10.2024 12:41:48</t>
        </is>
      </c>
      <c r="M98" s="18" t="inlineStr">
        <is>
          <t>0 sec</t>
        </is>
      </c>
      <c r="N98" s="16" t="inlineStr">
        <is>
          <t xml:space="preserve">         88K            88K             4K</t>
        </is>
      </c>
      <c r="O98" s="16" t="inlineStr">
        <is>
          <t>3qYVvs3NT2tvBwYe5KSmDMZDWwVbAsJq6aTAC95opump</t>
        </is>
      </c>
      <c r="P98" s="16">
        <f>HYPERLINK("https://dexscreener.com/solana/3qYVvs3NT2tvBwYe5KSmDMZDWwVbAsJq6aTAC95opump", "View")</f>
        <v/>
      </c>
    </row>
    <row r="99">
      <c r="A99" s="19" t="inlineStr">
        <is>
          <t>GOTCH</t>
        </is>
      </c>
      <c r="B99" s="20" t="n">
        <v>70180</v>
      </c>
      <c r="C99" s="20" t="n">
        <v>0</v>
      </c>
      <c r="D99" s="20" t="inlineStr">
        <is>
          <t>0.000710</t>
        </is>
      </c>
      <c r="E99" s="20" t="inlineStr">
        <is>
          <t>0.100 SOL</t>
        </is>
      </c>
      <c r="F99" s="20" t="inlineStr">
        <is>
          <t>0.000 SOL</t>
        </is>
      </c>
      <c r="G99" s="17" t="inlineStr">
        <is>
          <t>-0.101 SOL</t>
        </is>
      </c>
      <c r="H99" s="17" t="inlineStr">
        <is>
          <t>0.00%</t>
        </is>
      </c>
      <c r="I99" s="20" t="inlineStr">
        <is>
          <t>70,180</t>
        </is>
      </c>
      <c r="J99" s="20" t="n">
        <v>1</v>
      </c>
      <c r="K99" s="20" t="n">
        <v>0</v>
      </c>
      <c r="L99" s="20" t="inlineStr">
        <is>
          <t>28.10.2024 12:10:28</t>
        </is>
      </c>
      <c r="M99" s="18" t="inlineStr">
        <is>
          <t>0 sec</t>
        </is>
      </c>
      <c r="N99" s="20" t="inlineStr">
        <is>
          <t xml:space="preserve">        249K           249K             6K</t>
        </is>
      </c>
      <c r="O99" s="20" t="inlineStr">
        <is>
          <t>78ao5qrL3WPJ1u6i6cjQMi4iCzq43YECPyNMT2cpump</t>
        </is>
      </c>
      <c r="P99" s="20">
        <f>HYPERLINK("https://dexscreener.com/solana/78ao5qrL3WPJ1u6i6cjQMi4iCzq43YECPyNMT2cpump", "View")</f>
        <v/>
      </c>
    </row>
    <row r="100">
      <c r="A100" s="15" t="inlineStr">
        <is>
          <t>TT</t>
        </is>
      </c>
      <c r="B100" s="16" t="n">
        <v>577404</v>
      </c>
      <c r="C100" s="16" t="n">
        <v>577404</v>
      </c>
      <c r="D100" s="16" t="inlineStr">
        <is>
          <t>0.001410</t>
        </is>
      </c>
      <c r="E100" s="16" t="inlineStr">
        <is>
          <t>0.112 SOL</t>
        </is>
      </c>
      <c r="F100" s="16" t="inlineStr">
        <is>
          <t>0.127 SOL</t>
        </is>
      </c>
      <c r="G100" s="22" t="inlineStr">
        <is>
          <t>0.013 SOL</t>
        </is>
      </c>
      <c r="H100" s="22" t="inlineStr">
        <is>
          <t>11.57%</t>
        </is>
      </c>
      <c r="I100" s="16" t="inlineStr">
        <is>
          <t>N/A</t>
        </is>
      </c>
      <c r="J100" s="16" t="n">
        <v>1</v>
      </c>
      <c r="K100" s="16" t="n">
        <v>1</v>
      </c>
      <c r="L100" s="16" t="inlineStr">
        <is>
          <t>28.10.2024 06:47:18</t>
        </is>
      </c>
      <c r="M100" s="18" t="inlineStr">
        <is>
          <t>52 sec</t>
        </is>
      </c>
      <c r="N100" s="16" t="inlineStr">
        <is>
          <t xml:space="preserve">         33K            39K             5K</t>
        </is>
      </c>
      <c r="O100" s="16" t="inlineStr">
        <is>
          <t>3aQGUbyruXP9cFvsjcoVSpmGJ33XLACPqfzgD89Xpump</t>
        </is>
      </c>
      <c r="P100" s="16">
        <f>HYPERLINK("https://photon-sol.tinyastro.io/en/lp/3aQGUbyruXP9cFvsjcoVSpmGJ33XLACPqfzgD89Xpump?handle=676050794bc1b1657a56b", "View")</f>
        <v/>
      </c>
    </row>
    <row r="101">
      <c r="A101" s="19" t="inlineStr">
        <is>
          <t>CRYPTOIDS</t>
        </is>
      </c>
      <c r="B101" s="20" t="n">
        <v>32404</v>
      </c>
      <c r="C101" s="20" t="n">
        <v>0</v>
      </c>
      <c r="D101" s="20" t="inlineStr">
        <is>
          <t>0.000710</t>
        </is>
      </c>
      <c r="E101" s="20" t="inlineStr">
        <is>
          <t>0.075 SOL</t>
        </is>
      </c>
      <c r="F101" s="20" t="inlineStr">
        <is>
          <t>0.000 SOL</t>
        </is>
      </c>
      <c r="G101" s="17" t="inlineStr">
        <is>
          <t>-0.076 SOL</t>
        </is>
      </c>
      <c r="H101" s="17" t="inlineStr">
        <is>
          <t>0.00%</t>
        </is>
      </c>
      <c r="I101" s="20" t="inlineStr">
        <is>
          <t>32,404</t>
        </is>
      </c>
      <c r="J101" s="20" t="n">
        <v>1</v>
      </c>
      <c r="K101" s="20" t="n">
        <v>0</v>
      </c>
      <c r="L101" s="20" t="inlineStr">
        <is>
          <t>28.10.2024 05:20:19</t>
        </is>
      </c>
      <c r="M101" s="18" t="inlineStr">
        <is>
          <t>0 sec</t>
        </is>
      </c>
      <c r="N101" s="20" t="inlineStr">
        <is>
          <t xml:space="preserve">        406K           406K             4K</t>
        </is>
      </c>
      <c r="O101" s="20" t="inlineStr">
        <is>
          <t>14aD1cQRLTxDNJAtvkPx8iqqssjHqjRLXAL5wPaipump</t>
        </is>
      </c>
      <c r="P101" s="20">
        <f>HYPERLINK("https://dexscreener.com/solana/14aD1cQRLTxDNJAtvkPx8iqqssjHqjRLXAL5wPaipump", "View")</f>
        <v/>
      </c>
    </row>
    <row r="102">
      <c r="A102" s="15" t="inlineStr">
        <is>
          <t>Toad</t>
        </is>
      </c>
      <c r="B102" s="16" t="n">
        <v>28427</v>
      </c>
      <c r="C102" s="16" t="n">
        <v>0</v>
      </c>
      <c r="D102" s="16" t="inlineStr">
        <is>
          <t>0.000710</t>
        </is>
      </c>
      <c r="E102" s="16" t="inlineStr">
        <is>
          <t>0.075 SOL</t>
        </is>
      </c>
      <c r="F102" s="16" t="inlineStr">
        <is>
          <t>0.000 SOL</t>
        </is>
      </c>
      <c r="G102" s="17" t="inlineStr">
        <is>
          <t>-0.076 SOL</t>
        </is>
      </c>
      <c r="H102" s="17" t="inlineStr">
        <is>
          <t>0.00%</t>
        </is>
      </c>
      <c r="I102" s="16" t="inlineStr">
        <is>
          <t>28,427</t>
        </is>
      </c>
      <c r="J102" s="16" t="n">
        <v>1</v>
      </c>
      <c r="K102" s="16" t="n">
        <v>0</v>
      </c>
      <c r="L102" s="16" t="inlineStr">
        <is>
          <t>28.10.2024 02:44:23</t>
        </is>
      </c>
      <c r="M102" s="18" t="inlineStr">
        <is>
          <t>0 sec</t>
        </is>
      </c>
      <c r="N102" s="16" t="inlineStr">
        <is>
          <t xml:space="preserve">        464K           464K            73K</t>
        </is>
      </c>
      <c r="O102" s="16" t="inlineStr">
        <is>
          <t>7xn2T1x7xw5quHmzy2YvFWyFUNwp75fsw5bxiXGRpump</t>
        </is>
      </c>
      <c r="P102" s="16">
        <f>HYPERLINK("https://dexscreener.com/solana/7xn2T1x7xw5quHmzy2YvFWyFUNwp75fsw5bxiXGRpump", "View")</f>
        <v/>
      </c>
    </row>
    <row r="103">
      <c r="A103" s="19" t="inlineStr">
        <is>
          <t>DARIUS</t>
        </is>
      </c>
      <c r="B103" s="20" t="n">
        <v>108002</v>
      </c>
      <c r="C103" s="20" t="n">
        <v>0</v>
      </c>
      <c r="D103" s="20" t="inlineStr">
        <is>
          <t>0.000710</t>
        </is>
      </c>
      <c r="E103" s="20" t="inlineStr">
        <is>
          <t>0.075 SOL</t>
        </is>
      </c>
      <c r="F103" s="20" t="inlineStr">
        <is>
          <t>0.000 SOL</t>
        </is>
      </c>
      <c r="G103" s="17" t="inlineStr">
        <is>
          <t>-0.076 SOL</t>
        </is>
      </c>
      <c r="H103" s="17" t="inlineStr">
        <is>
          <t>0.00%</t>
        </is>
      </c>
      <c r="I103" s="20" t="inlineStr">
        <is>
          <t>108,002</t>
        </is>
      </c>
      <c r="J103" s="20" t="n">
        <v>1</v>
      </c>
      <c r="K103" s="20" t="n">
        <v>0</v>
      </c>
      <c r="L103" s="20" t="inlineStr">
        <is>
          <t>28.10.2024 02:33:39</t>
        </is>
      </c>
      <c r="M103" s="18" t="inlineStr">
        <is>
          <t>0 sec</t>
        </is>
      </c>
      <c r="N103" s="20" t="inlineStr">
        <is>
          <t xml:space="preserve">        121K           121K           130K</t>
        </is>
      </c>
      <c r="O103" s="20" t="inlineStr">
        <is>
          <t>8QXM6vf7E1TUJ9MvFf8p6BDWCYwBLYd9T26MPiprsX3w</t>
        </is>
      </c>
      <c r="P103" s="20">
        <f>HYPERLINK("https://dexscreener.com/solana/8QXM6vf7E1TUJ9MvFf8p6BDWCYwBLYd9T26MPiprsX3w", "View")</f>
        <v/>
      </c>
    </row>
    <row r="104">
      <c r="A104" s="15" t="inlineStr">
        <is>
          <t>MEMEMAXI</t>
        </is>
      </c>
      <c r="B104" s="16" t="n">
        <v>41078</v>
      </c>
      <c r="C104" s="16" t="n">
        <v>10270</v>
      </c>
      <c r="D104" s="16" t="inlineStr">
        <is>
          <t>0.001410</t>
        </is>
      </c>
      <c r="E104" s="16" t="inlineStr">
        <is>
          <t>0.075 SOL</t>
        </is>
      </c>
      <c r="F104" s="16" t="inlineStr">
        <is>
          <t>0.037 SOL</t>
        </is>
      </c>
      <c r="G104" s="24" t="inlineStr">
        <is>
          <t>-0.039 SOL</t>
        </is>
      </c>
      <c r="H104" s="24" t="inlineStr">
        <is>
          <t>-51.47%</t>
        </is>
      </c>
      <c r="I104" s="16" t="inlineStr">
        <is>
          <t>N/A</t>
        </is>
      </c>
      <c r="J104" s="16" t="n">
        <v>1</v>
      </c>
      <c r="K104" s="16" t="n">
        <v>1</v>
      </c>
      <c r="L104" s="16" t="inlineStr">
        <is>
          <t>27.10.2024 22:49:05</t>
        </is>
      </c>
      <c r="M104" s="16" t="inlineStr">
        <is>
          <t>1 hours</t>
        </is>
      </c>
      <c r="N104" s="16" t="inlineStr">
        <is>
          <t xml:space="preserve">        321K           321K            12K</t>
        </is>
      </c>
      <c r="O104" s="16" t="inlineStr">
        <is>
          <t>Cc4sinjiaruP69C7Eotftsu2AjFHAaKZyGtpaLbApump</t>
        </is>
      </c>
      <c r="P104" s="16">
        <f>HYPERLINK("https://dexscreener.com/solana/Cc4sinjiaruP69C7Eotftsu2AjFHAaKZyGtpaLbApump", "View")</f>
        <v/>
      </c>
    </row>
    <row r="105">
      <c r="A105" s="19" t="inlineStr">
        <is>
          <t>Profit</t>
        </is>
      </c>
      <c r="B105" s="20" t="n">
        <v>269366</v>
      </c>
      <c r="C105" s="20" t="n">
        <v>0</v>
      </c>
      <c r="D105" s="20" t="inlineStr">
        <is>
          <t>0.000710</t>
        </is>
      </c>
      <c r="E105" s="20" t="inlineStr">
        <is>
          <t>0.085 SOL</t>
        </is>
      </c>
      <c r="F105" s="20" t="inlineStr">
        <is>
          <t>0.000 SOL</t>
        </is>
      </c>
      <c r="G105" s="17" t="inlineStr">
        <is>
          <t>-0.085 SOL</t>
        </is>
      </c>
      <c r="H105" s="17" t="inlineStr">
        <is>
          <t>0.00%</t>
        </is>
      </c>
      <c r="I105" s="20" t="inlineStr">
        <is>
          <t>269,366</t>
        </is>
      </c>
      <c r="J105" s="20" t="n">
        <v>1</v>
      </c>
      <c r="K105" s="20" t="n">
        <v>0</v>
      </c>
      <c r="L105" s="20" t="inlineStr">
        <is>
          <t>27.10.2024 22:36:48</t>
        </is>
      </c>
      <c r="M105" s="18" t="inlineStr">
        <is>
          <t>0 sec</t>
        </is>
      </c>
      <c r="N105" s="20" t="inlineStr">
        <is>
          <t xml:space="preserve">         54K            54K             6K</t>
        </is>
      </c>
      <c r="O105" s="20" t="inlineStr">
        <is>
          <t>F56SaheWy5U96xHnGaR8GAZiTpwp3kFrRZcBbHWtpump</t>
        </is>
      </c>
      <c r="P105" s="20">
        <f>HYPERLINK("https://photon-sol.tinyastro.io/en/lp/F56SaheWy5U96xHnGaR8GAZiTpwp3kFrRZcBbHWtpump?handle=676050794bc1b1657a56b", "View")</f>
        <v/>
      </c>
    </row>
    <row r="106">
      <c r="A106" s="15" t="inlineStr">
        <is>
          <t>FOREVER</t>
        </is>
      </c>
      <c r="B106" s="16" t="n">
        <v>855111</v>
      </c>
      <c r="C106" s="16" t="n">
        <v>855111</v>
      </c>
      <c r="D106" s="16" t="inlineStr">
        <is>
          <t>0.001410</t>
        </is>
      </c>
      <c r="E106" s="16" t="inlineStr">
        <is>
          <t>0.088 SOL</t>
        </is>
      </c>
      <c r="F106" s="16" t="inlineStr">
        <is>
          <t>0.068 SOL</t>
        </is>
      </c>
      <c r="G106" s="21" t="inlineStr">
        <is>
          <t>-0.022 SOL</t>
        </is>
      </c>
      <c r="H106" s="21" t="inlineStr">
        <is>
          <t>-24.18%</t>
        </is>
      </c>
      <c r="I106" s="16" t="inlineStr">
        <is>
          <t>N/A</t>
        </is>
      </c>
      <c r="J106" s="16" t="n">
        <v>1</v>
      </c>
      <c r="K106" s="16" t="n">
        <v>1</v>
      </c>
      <c r="L106" s="16" t="inlineStr">
        <is>
          <t>27.10.2024 22:19:21</t>
        </is>
      </c>
      <c r="M106" s="18" t="inlineStr">
        <is>
          <t>13 sec</t>
        </is>
      </c>
      <c r="N106" s="16" t="inlineStr">
        <is>
          <t xml:space="preserve">         18K            14K             5K</t>
        </is>
      </c>
      <c r="O106" s="16" t="inlineStr">
        <is>
          <t>6Kt6fyL87dPcyjaehBsMNAQ3PKSCPTJyPM67ZgNGpump</t>
        </is>
      </c>
      <c r="P106" s="16">
        <f>HYPERLINK("https://photon-sol.tinyastro.io/en/lp/6Kt6fyL87dPcyjaehBsMNAQ3PKSCPTJyPM67ZgNGpump?handle=676050794bc1b1657a56b", "View")</f>
        <v/>
      </c>
    </row>
    <row r="107">
      <c r="A107" s="19" t="inlineStr">
        <is>
          <t>SALMON</t>
        </is>
      </c>
      <c r="B107" s="20" t="n">
        <v>56493</v>
      </c>
      <c r="C107" s="20" t="n">
        <v>0</v>
      </c>
      <c r="D107" s="20" t="inlineStr">
        <is>
          <t>0.000710</t>
        </is>
      </c>
      <c r="E107" s="20" t="inlineStr">
        <is>
          <t>0.075 SOL</t>
        </is>
      </c>
      <c r="F107" s="20" t="inlineStr">
        <is>
          <t>0.000 SOL</t>
        </is>
      </c>
      <c r="G107" s="17" t="inlineStr">
        <is>
          <t>-0.076 SOL</t>
        </is>
      </c>
      <c r="H107" s="17" t="inlineStr">
        <is>
          <t>0.00%</t>
        </is>
      </c>
      <c r="I107" s="20" t="inlineStr">
        <is>
          <t>56,493</t>
        </is>
      </c>
      <c r="J107" s="20" t="n">
        <v>1</v>
      </c>
      <c r="K107" s="20" t="n">
        <v>0</v>
      </c>
      <c r="L107" s="20" t="inlineStr">
        <is>
          <t>27.10.2024 21:44:48</t>
        </is>
      </c>
      <c r="M107" s="18" t="inlineStr">
        <is>
          <t>0 sec</t>
        </is>
      </c>
      <c r="N107" s="20" t="inlineStr">
        <is>
          <t xml:space="preserve">        225K           225K             5K</t>
        </is>
      </c>
      <c r="O107" s="20" t="inlineStr">
        <is>
          <t>Ay4Br5jCE3UqmhrSDysdAjo9c4F5vMjf7pHQh78Jpump</t>
        </is>
      </c>
      <c r="P107" s="20">
        <f>HYPERLINK("https://dexscreener.com/solana/Ay4Br5jCE3UqmhrSDysdAjo9c4F5vMjf7pHQh78Jpump", "View")</f>
        <v/>
      </c>
    </row>
    <row r="108">
      <c r="A108" s="15" t="inlineStr">
        <is>
          <t>BURNEY</t>
        </is>
      </c>
      <c r="B108" s="16" t="n">
        <v>304236</v>
      </c>
      <c r="C108" s="16" t="n">
        <v>133080</v>
      </c>
      <c r="D108" s="16" t="inlineStr">
        <is>
          <t>0.002120</t>
        </is>
      </c>
      <c r="E108" s="16" t="inlineStr">
        <is>
          <t>0.089 SOL</t>
        </is>
      </c>
      <c r="F108" s="16" t="inlineStr">
        <is>
          <t>0.166 SOL</t>
        </is>
      </c>
      <c r="G108" s="23" t="inlineStr">
        <is>
          <t>0.075 SOL</t>
        </is>
      </c>
      <c r="H108" s="23" t="inlineStr">
        <is>
          <t>82.51%</t>
        </is>
      </c>
      <c r="I108" s="16" t="inlineStr">
        <is>
          <t>N/A</t>
        </is>
      </c>
      <c r="J108" s="16" t="n">
        <v>1</v>
      </c>
      <c r="K108" s="16" t="n">
        <v>2</v>
      </c>
      <c r="L108" s="16" t="inlineStr">
        <is>
          <t>27.10.2024 21:28:46</t>
        </is>
      </c>
      <c r="M108" s="16" t="inlineStr">
        <is>
          <t>3 min</t>
        </is>
      </c>
      <c r="N108" s="16" t="inlineStr">
        <is>
          <t xml:space="preserve">         51K           162K             4K</t>
        </is>
      </c>
      <c r="O108" s="16" t="inlineStr">
        <is>
          <t>31pyJGWmd9nxb3UN4cmhpZZeeMHXWcf6Nh8VU2vPpump</t>
        </is>
      </c>
      <c r="P108" s="16">
        <f>HYPERLINK("https://photon-sol.tinyastro.io/en/lp/31pyJGWmd9nxb3UN4cmhpZZeeMHXWcf6Nh8VU2vPpump?handle=676050794bc1b1657a56b", "View")</f>
        <v/>
      </c>
    </row>
    <row r="109">
      <c r="A109" s="19" t="inlineStr">
        <is>
          <t>BURNEY</t>
        </is>
      </c>
      <c r="B109" s="20" t="n">
        <v>1219545</v>
      </c>
      <c r="C109" s="20" t="n">
        <v>0</v>
      </c>
      <c r="D109" s="20" t="inlineStr">
        <is>
          <t>0.000710</t>
        </is>
      </c>
      <c r="E109" s="20" t="inlineStr">
        <is>
          <t>0.084 SOL</t>
        </is>
      </c>
      <c r="F109" s="20" t="inlineStr">
        <is>
          <t>0.000 SOL</t>
        </is>
      </c>
      <c r="G109" s="17" t="inlineStr">
        <is>
          <t>-0.084 SOL</t>
        </is>
      </c>
      <c r="H109" s="17" t="inlineStr">
        <is>
          <t>0.00%</t>
        </is>
      </c>
      <c r="I109" s="20" t="inlineStr">
        <is>
          <t>1,219,545</t>
        </is>
      </c>
      <c r="J109" s="20" t="n">
        <v>1</v>
      </c>
      <c r="K109" s="20" t="n">
        <v>0</v>
      </c>
      <c r="L109" s="20" t="inlineStr">
        <is>
          <t>27.10.2024 21:26:08</t>
        </is>
      </c>
      <c r="M109" s="18" t="inlineStr">
        <is>
          <t>0 sec</t>
        </is>
      </c>
      <c r="N109" s="20" t="inlineStr">
        <is>
          <t xml:space="preserve">         12K            12K             6K</t>
        </is>
      </c>
      <c r="O109" s="20" t="inlineStr">
        <is>
          <t>HjVucq5tfxXJYmssCT5mm3kUG18UtEVViAmiMmyUpump</t>
        </is>
      </c>
      <c r="P109" s="20">
        <f>HYPERLINK("https://photon-sol.tinyastro.io/en/lp/HjVucq5tfxXJYmssCT5mm3kUG18UtEVViAmiMmyUpump?handle=676050794bc1b1657a56b", "View")</f>
        <v/>
      </c>
    </row>
    <row r="110">
      <c r="A110" s="15" t="inlineStr">
        <is>
          <t>STFU</t>
        </is>
      </c>
      <c r="B110" s="16" t="n">
        <v>836574</v>
      </c>
      <c r="C110" s="16" t="n">
        <v>836574</v>
      </c>
      <c r="D110" s="16" t="inlineStr">
        <is>
          <t>0.001410</t>
        </is>
      </c>
      <c r="E110" s="16" t="inlineStr">
        <is>
          <t>0.075 SOL</t>
        </is>
      </c>
      <c r="F110" s="16" t="inlineStr">
        <is>
          <t>0.134 SOL</t>
        </is>
      </c>
      <c r="G110" s="23" t="inlineStr">
        <is>
          <t>0.057 SOL</t>
        </is>
      </c>
      <c r="H110" s="23" t="inlineStr">
        <is>
          <t>75.03%</t>
        </is>
      </c>
      <c r="I110" s="16" t="inlineStr">
        <is>
          <t>N/A</t>
        </is>
      </c>
      <c r="J110" s="16" t="n">
        <v>1</v>
      </c>
      <c r="K110" s="16" t="n">
        <v>1</v>
      </c>
      <c r="L110" s="16" t="inlineStr">
        <is>
          <t>27.10.2024 20:48:49</t>
        </is>
      </c>
      <c r="M110" s="18" t="inlineStr">
        <is>
          <t>22 sec</t>
        </is>
      </c>
      <c r="N110" s="16" t="inlineStr">
        <is>
          <t xml:space="preserve">         16K            28K             3K</t>
        </is>
      </c>
      <c r="O110" s="16" t="inlineStr">
        <is>
          <t>FQfeJYLmD7wf6YyV29E1bjzxX7JeGKavmwociXWipump</t>
        </is>
      </c>
      <c r="P110" s="16">
        <f>HYPERLINK("https://dexscreener.com/solana/FQfeJYLmD7wf6YyV29E1bjzxX7JeGKavmwociXWipump", "View")</f>
        <v/>
      </c>
    </row>
    <row r="111">
      <c r="A111" s="19" t="inlineStr">
        <is>
          <t>SHUTUP</t>
        </is>
      </c>
      <c r="B111" s="20" t="n">
        <v>443557</v>
      </c>
      <c r="C111" s="20" t="n">
        <v>0</v>
      </c>
      <c r="D111" s="20" t="inlineStr">
        <is>
          <t>0.000710</t>
        </is>
      </c>
      <c r="E111" s="20" t="inlineStr">
        <is>
          <t>0.095 SOL</t>
        </is>
      </c>
      <c r="F111" s="20" t="inlineStr">
        <is>
          <t>0.000 SOL</t>
        </is>
      </c>
      <c r="G111" s="17" t="inlineStr">
        <is>
          <t>-0.095 SOL</t>
        </is>
      </c>
      <c r="H111" s="17" t="inlineStr">
        <is>
          <t>0.00%</t>
        </is>
      </c>
      <c r="I111" s="20" t="inlineStr">
        <is>
          <t>443,557</t>
        </is>
      </c>
      <c r="J111" s="20" t="n">
        <v>1</v>
      </c>
      <c r="K111" s="20" t="n">
        <v>0</v>
      </c>
      <c r="L111" s="20" t="inlineStr">
        <is>
          <t>27.10.2024 20:47:45</t>
        </is>
      </c>
      <c r="M111" s="18" t="inlineStr">
        <is>
          <t>0 sec</t>
        </is>
      </c>
      <c r="N111" s="20" t="inlineStr">
        <is>
          <t xml:space="preserve">         37K            37K             5K</t>
        </is>
      </c>
      <c r="O111" s="20" t="inlineStr">
        <is>
          <t>9Hh3Kxo4oarGr5kA4uciKPEaFm3spqqNFfvPJALrpump</t>
        </is>
      </c>
      <c r="P111" s="20">
        <f>HYPERLINK("https://photon-sol.tinyastro.io/en/lp/9Hh3Kxo4oarGr5kA4uciKPEaFm3spqqNFfvPJALrpump?handle=676050794bc1b1657a56b", "View")</f>
        <v/>
      </c>
    </row>
    <row r="112">
      <c r="A112" s="15" t="inlineStr">
        <is>
          <t>@AI</t>
        </is>
      </c>
      <c r="B112" s="16" t="n">
        <v>606187</v>
      </c>
      <c r="C112" s="16" t="n">
        <v>303093</v>
      </c>
      <c r="D112" s="16" t="inlineStr">
        <is>
          <t>0.001410</t>
        </is>
      </c>
      <c r="E112" s="16" t="inlineStr">
        <is>
          <t>0.087 SOL</t>
        </is>
      </c>
      <c r="F112" s="16" t="inlineStr">
        <is>
          <t>0.071 SOL</t>
        </is>
      </c>
      <c r="G112" s="21" t="inlineStr">
        <is>
          <t>-0.018 SOL</t>
        </is>
      </c>
      <c r="H112" s="21" t="inlineStr">
        <is>
          <t>-20.51%</t>
        </is>
      </c>
      <c r="I112" s="16" t="inlineStr">
        <is>
          <t>N/A</t>
        </is>
      </c>
      <c r="J112" s="16" t="n">
        <v>1</v>
      </c>
      <c r="K112" s="16" t="n">
        <v>1</v>
      </c>
      <c r="L112" s="16" t="inlineStr">
        <is>
          <t>27.10.2024 20:35:32</t>
        </is>
      </c>
      <c r="M112" s="16" t="inlineStr">
        <is>
          <t>3 min</t>
        </is>
      </c>
      <c r="N112" s="16" t="inlineStr">
        <is>
          <t xml:space="preserve">         25K            40K             5K</t>
        </is>
      </c>
      <c r="O112" s="16" t="inlineStr">
        <is>
          <t>2DrfBeGy3iXWgmUfwxqPcA4QHkR3aPmDquu1dj5Zpump</t>
        </is>
      </c>
      <c r="P112" s="16">
        <f>HYPERLINK("https://photon-sol.tinyastro.io/en/lp/2DrfBeGy3iXWgmUfwxqPcA4QHkR3aPmDquu1dj5Zpump?handle=676050794bc1b1657a56b", "View")</f>
        <v/>
      </c>
    </row>
    <row r="113">
      <c r="A113" s="19" t="inlineStr">
        <is>
          <t>PUMPAI</t>
        </is>
      </c>
      <c r="B113" s="20" t="n">
        <v>56191</v>
      </c>
      <c r="C113" s="20" t="n">
        <v>46191</v>
      </c>
      <c r="D113" s="20" t="inlineStr">
        <is>
          <t>0.002730</t>
        </is>
      </c>
      <c r="E113" s="20" t="inlineStr">
        <is>
          <t>0.075 SOL</t>
        </is>
      </c>
      <c r="F113" s="20" t="inlineStr">
        <is>
          <t>0.565 SOL</t>
        </is>
      </c>
      <c r="G113" s="23" t="inlineStr">
        <is>
          <t>0.488 SOL</t>
        </is>
      </c>
      <c r="H113" s="23" t="inlineStr">
        <is>
          <t>627.42%</t>
        </is>
      </c>
      <c r="I113" s="20" t="inlineStr">
        <is>
          <t>N/A</t>
        </is>
      </c>
      <c r="J113" s="20" t="n">
        <v>1</v>
      </c>
      <c r="K113" s="20" t="n">
        <v>5</v>
      </c>
      <c r="L113" s="20" t="inlineStr">
        <is>
          <t>27.10.2024 10:02:37</t>
        </is>
      </c>
      <c r="M113" s="20" t="inlineStr">
        <is>
          <t>7 hours</t>
        </is>
      </c>
      <c r="N113" s="20" t="inlineStr">
        <is>
          <t xml:space="preserve">        234K             2M            32K</t>
        </is>
      </c>
      <c r="O113" s="20" t="inlineStr">
        <is>
          <t>hf8aYwMK2cYv7t4uUhUAqpdwTS3sja2z9RJMQZ2pump</t>
        </is>
      </c>
      <c r="P113" s="20">
        <f>HYPERLINK("https://dexscreener.com/solana/hf8aYwMK2cYv7t4uUhUAqpdwTS3sja2z9RJMQZ2pump", "View")</f>
        <v/>
      </c>
    </row>
    <row r="114">
      <c r="A114" s="15" t="inlineStr">
        <is>
          <t>Cuttlefish</t>
        </is>
      </c>
      <c r="B114" s="16" t="n">
        <v>43032</v>
      </c>
      <c r="C114" s="16" t="n">
        <v>0</v>
      </c>
      <c r="D114" s="16" t="inlineStr">
        <is>
          <t>0.000710</t>
        </is>
      </c>
      <c r="E114" s="16" t="inlineStr">
        <is>
          <t>0.075 SOL</t>
        </is>
      </c>
      <c r="F114" s="16" t="inlineStr">
        <is>
          <t>0.000 SOL</t>
        </is>
      </c>
      <c r="G114" s="17" t="inlineStr">
        <is>
          <t>-0.076 SOL</t>
        </is>
      </c>
      <c r="H114" s="17" t="inlineStr">
        <is>
          <t>0.00%</t>
        </is>
      </c>
      <c r="I114" s="16" t="inlineStr">
        <is>
          <t>43,032</t>
        </is>
      </c>
      <c r="J114" s="16" t="n">
        <v>1</v>
      </c>
      <c r="K114" s="16" t="n">
        <v>0</v>
      </c>
      <c r="L114" s="16" t="inlineStr">
        <is>
          <t>27.10.2024 07:53:04</t>
        </is>
      </c>
      <c r="M114" s="18" t="inlineStr">
        <is>
          <t>0 sec</t>
        </is>
      </c>
      <c r="N114" s="16" t="inlineStr">
        <is>
          <t xml:space="preserve">        306K           306K            15K</t>
        </is>
      </c>
      <c r="O114" s="16" t="inlineStr">
        <is>
          <t>pcEgPrpHFuFCmSSfWUykJfQv7AUfUD1xbhw71oHy7om</t>
        </is>
      </c>
      <c r="P114" s="16">
        <f>HYPERLINK("https://dexscreener.com/solana/pcEgPrpHFuFCmSSfWUykJfQv7AUfUD1xbhw71oHy7om", "View")</f>
        <v/>
      </c>
    </row>
    <row r="115">
      <c r="A115" s="19" t="inlineStr">
        <is>
          <t>Chalice</t>
        </is>
      </c>
      <c r="B115" s="20" t="n">
        <v>176225</v>
      </c>
      <c r="C115" s="20" t="n">
        <v>0</v>
      </c>
      <c r="D115" s="20" t="inlineStr">
        <is>
          <t>0.000710</t>
        </is>
      </c>
      <c r="E115" s="20" t="inlineStr">
        <is>
          <t>0.075 SOL</t>
        </is>
      </c>
      <c r="F115" s="20" t="inlineStr">
        <is>
          <t>0.000 SOL</t>
        </is>
      </c>
      <c r="G115" s="17" t="inlineStr">
        <is>
          <t>-0.076 SOL</t>
        </is>
      </c>
      <c r="H115" s="17" t="inlineStr">
        <is>
          <t>0.00%</t>
        </is>
      </c>
      <c r="I115" s="20" t="inlineStr">
        <is>
          <t>176,225</t>
        </is>
      </c>
      <c r="J115" s="20" t="n">
        <v>1</v>
      </c>
      <c r="K115" s="20" t="n">
        <v>0</v>
      </c>
      <c r="L115" s="20" t="inlineStr">
        <is>
          <t>27.10.2024 07:14:29</t>
        </is>
      </c>
      <c r="M115" s="18" t="inlineStr">
        <is>
          <t>0 sec</t>
        </is>
      </c>
      <c r="N115" s="20" t="inlineStr">
        <is>
          <t xml:space="preserve">         76K            76K             5K</t>
        </is>
      </c>
      <c r="O115" s="20" t="inlineStr">
        <is>
          <t>6qKWDik7U58LDtW9LVNFL13NkAxBqqJbSBauoSVUpump</t>
        </is>
      </c>
      <c r="P115" s="20">
        <f>HYPERLINK("https://dexscreener.com/solana/6qKWDik7U58LDtW9LVNFL13NkAxBqqJbSBauoSVUpump", "View")</f>
        <v/>
      </c>
    </row>
    <row r="116">
      <c r="A116" s="15" t="inlineStr">
        <is>
          <t>NuCouché</t>
        </is>
      </c>
      <c r="B116" s="16" t="n">
        <v>25936</v>
      </c>
      <c r="C116" s="16" t="n">
        <v>0</v>
      </c>
      <c r="D116" s="16" t="inlineStr">
        <is>
          <t>0.000710</t>
        </is>
      </c>
      <c r="E116" s="16" t="inlineStr">
        <is>
          <t>0.100 SOL</t>
        </is>
      </c>
      <c r="F116" s="16" t="inlineStr">
        <is>
          <t>0.000 SOL</t>
        </is>
      </c>
      <c r="G116" s="17" t="inlineStr">
        <is>
          <t>-0.101 SOL</t>
        </is>
      </c>
      <c r="H116" s="17" t="inlineStr">
        <is>
          <t>0.00%</t>
        </is>
      </c>
      <c r="I116" s="16" t="inlineStr">
        <is>
          <t>25,936</t>
        </is>
      </c>
      <c r="J116" s="16" t="n">
        <v>1</v>
      </c>
      <c r="K116" s="16" t="n">
        <v>0</v>
      </c>
      <c r="L116" s="16" t="inlineStr">
        <is>
          <t>27.10.2024 07:10:01</t>
        </is>
      </c>
      <c r="M116" s="18" t="inlineStr">
        <is>
          <t>0 sec</t>
        </is>
      </c>
      <c r="N116" s="16" t="inlineStr">
        <is>
          <t xml:space="preserve">        678K           678K            14K</t>
        </is>
      </c>
      <c r="O116" s="16" t="inlineStr">
        <is>
          <t>9rLGTvxXEhhdyZtJA34pFV21oZhsi3MRho9hv54vpump</t>
        </is>
      </c>
      <c r="P116" s="16">
        <f>HYPERLINK("https://dexscreener.com/solana/9rLGTvxXEhhdyZtJA34pFV21oZhsi3MRho9hv54vpump", "View")</f>
        <v/>
      </c>
    </row>
    <row r="117">
      <c r="A117" s="19" t="inlineStr">
        <is>
          <t>NexCoin</t>
        </is>
      </c>
      <c r="B117" s="20" t="n">
        <v>1751775</v>
      </c>
      <c r="C117" s="20" t="n">
        <v>0</v>
      </c>
      <c r="D117" s="20" t="inlineStr">
        <is>
          <t>0.000710</t>
        </is>
      </c>
      <c r="E117" s="20" t="inlineStr">
        <is>
          <t>0.075 SOL</t>
        </is>
      </c>
      <c r="F117" s="20" t="inlineStr">
        <is>
          <t>0.000 SOL</t>
        </is>
      </c>
      <c r="G117" s="17" t="inlineStr">
        <is>
          <t>-0.076 SOL</t>
        </is>
      </c>
      <c r="H117" s="17" t="inlineStr">
        <is>
          <t>0.00%</t>
        </is>
      </c>
      <c r="I117" s="20" t="inlineStr">
        <is>
          <t>1,751,775</t>
        </is>
      </c>
      <c r="J117" s="20" t="n">
        <v>1</v>
      </c>
      <c r="K117" s="20" t="n">
        <v>0</v>
      </c>
      <c r="L117" s="20" t="inlineStr">
        <is>
          <t>27.10.2024 05:37:37</t>
        </is>
      </c>
      <c r="M117" s="18" t="inlineStr">
        <is>
          <t>0 sec</t>
        </is>
      </c>
      <c r="N117" s="20" t="inlineStr">
        <is>
          <t xml:space="preserve">          7K             7K             4K</t>
        </is>
      </c>
      <c r="O117" s="20" t="inlineStr">
        <is>
          <t>FApzaVYXjGqibTvzJKGhSNscQDFYH3JDnRpcpAfypump</t>
        </is>
      </c>
      <c r="P117" s="20">
        <f>HYPERLINK("https://dexscreener.com/solana/FApzaVYXjGqibTvzJKGhSNscQDFYH3JDnRpcpAfypump", "View")</f>
        <v/>
      </c>
    </row>
    <row r="118">
      <c r="A118" s="15" t="inlineStr">
        <is>
          <t>✨</t>
        </is>
      </c>
      <c r="B118" s="16" t="n">
        <v>1472668</v>
      </c>
      <c r="C118" s="16" t="n">
        <v>0</v>
      </c>
      <c r="D118" s="16" t="inlineStr">
        <is>
          <t>0.000710</t>
        </is>
      </c>
      <c r="E118" s="16" t="inlineStr">
        <is>
          <t>0.075 SOL</t>
        </is>
      </c>
      <c r="F118" s="16" t="inlineStr">
        <is>
          <t>0.000 SOL</t>
        </is>
      </c>
      <c r="G118" s="17" t="inlineStr">
        <is>
          <t>-0.076 SOL</t>
        </is>
      </c>
      <c r="H118" s="17" t="inlineStr">
        <is>
          <t>0.00%</t>
        </is>
      </c>
      <c r="I118" s="16" t="inlineStr">
        <is>
          <t>1,472,668</t>
        </is>
      </c>
      <c r="J118" s="16" t="n">
        <v>1</v>
      </c>
      <c r="K118" s="16" t="n">
        <v>0</v>
      </c>
      <c r="L118" s="16" t="inlineStr">
        <is>
          <t>27.10.2024 05:31:56</t>
        </is>
      </c>
      <c r="M118" s="18" t="inlineStr">
        <is>
          <t>0 sec</t>
        </is>
      </c>
      <c r="N118" s="16" t="inlineStr">
        <is>
          <t xml:space="preserve">          9K             9K             5K</t>
        </is>
      </c>
      <c r="O118" s="16" t="inlineStr">
        <is>
          <t>8KapfTcDKMMCN1xujKvDFPA4QSbRci9nSkpyYxoMpump</t>
        </is>
      </c>
      <c r="P118" s="16">
        <f>HYPERLINK("https://dexscreener.com/solana/8KapfTcDKMMCN1xujKvDFPA4QSbRci9nSkpyYxoMpump", "View")</f>
        <v/>
      </c>
    </row>
    <row r="119">
      <c r="A119" s="19" t="inlineStr">
        <is>
          <t>Samantha</t>
        </is>
      </c>
      <c r="B119" s="20" t="n">
        <v>1561760</v>
      </c>
      <c r="C119" s="20" t="n">
        <v>0</v>
      </c>
      <c r="D119" s="20" t="inlineStr">
        <is>
          <t>0.000710</t>
        </is>
      </c>
      <c r="E119" s="20" t="inlineStr">
        <is>
          <t>0.075 SOL</t>
        </is>
      </c>
      <c r="F119" s="20" t="inlineStr">
        <is>
          <t>0.000 SOL</t>
        </is>
      </c>
      <c r="G119" s="17" t="inlineStr">
        <is>
          <t>-0.076 SOL</t>
        </is>
      </c>
      <c r="H119" s="17" t="inlineStr">
        <is>
          <t>0.00%</t>
        </is>
      </c>
      <c r="I119" s="20" t="inlineStr">
        <is>
          <t>1,561,760</t>
        </is>
      </c>
      <c r="J119" s="20" t="n">
        <v>1</v>
      </c>
      <c r="K119" s="20" t="n">
        <v>0</v>
      </c>
      <c r="L119" s="20" t="inlineStr">
        <is>
          <t>27.10.2024 05:29:46</t>
        </is>
      </c>
      <c r="M119" s="18" t="inlineStr">
        <is>
          <t>0 sec</t>
        </is>
      </c>
      <c r="N119" s="20" t="inlineStr">
        <is>
          <t xml:space="preserve">          9K             9K             4K</t>
        </is>
      </c>
      <c r="O119" s="20" t="inlineStr">
        <is>
          <t>BWaMsm4AaCEpMXV9iQsyZtwRemVBty5z4HS8oxbApump</t>
        </is>
      </c>
      <c r="P119" s="20">
        <f>HYPERLINK("https://dexscreener.com/solana/BWaMsm4AaCEpMXV9iQsyZtwRemVBty5z4HS8oxbApump", "View")</f>
        <v/>
      </c>
    </row>
    <row r="120">
      <c r="A120" s="15" t="inlineStr">
        <is>
          <t>SOLOM</t>
        </is>
      </c>
      <c r="B120" s="16" t="n">
        <v>57592</v>
      </c>
      <c r="C120" s="16" t="n">
        <v>0</v>
      </c>
      <c r="D120" s="16" t="inlineStr">
        <is>
          <t>0.000710</t>
        </is>
      </c>
      <c r="E120" s="16" t="inlineStr">
        <is>
          <t>0.075 SOL</t>
        </is>
      </c>
      <c r="F120" s="16" t="inlineStr">
        <is>
          <t>0.000 SOL</t>
        </is>
      </c>
      <c r="G120" s="17" t="inlineStr">
        <is>
          <t>-0.076 SOL</t>
        </is>
      </c>
      <c r="H120" s="17" t="inlineStr">
        <is>
          <t>0.00%</t>
        </is>
      </c>
      <c r="I120" s="16" t="inlineStr">
        <is>
          <t>57,592</t>
        </is>
      </c>
      <c r="J120" s="16" t="n">
        <v>1</v>
      </c>
      <c r="K120" s="16" t="n">
        <v>0</v>
      </c>
      <c r="L120" s="16" t="inlineStr">
        <is>
          <t>26.10.2024 15:13:25</t>
        </is>
      </c>
      <c r="M120" s="18" t="inlineStr">
        <is>
          <t>0 sec</t>
        </is>
      </c>
      <c r="N120" s="16" t="inlineStr">
        <is>
          <t xml:space="preserve">        199K           199K             5K</t>
        </is>
      </c>
      <c r="O120" s="16" t="inlineStr">
        <is>
          <t>34pGiw5uBRq98c3AB468ds1AHcpnWN7zoFy6actWpump</t>
        </is>
      </c>
      <c r="P120" s="16">
        <f>HYPERLINK("https://dexscreener.com/solana/34pGiw5uBRq98c3AB468ds1AHcpnWN7zoFy6actWpump", "View")</f>
        <v/>
      </c>
    </row>
    <row r="121">
      <c r="A121" s="19" t="inlineStr">
        <is>
          <t>DAVE</t>
        </is>
      </c>
      <c r="B121" s="20" t="n">
        <v>322138</v>
      </c>
      <c r="C121" s="20" t="n">
        <v>0</v>
      </c>
      <c r="D121" s="20" t="inlineStr">
        <is>
          <t>0.000710</t>
        </is>
      </c>
      <c r="E121" s="20" t="inlineStr">
        <is>
          <t>0.093 SOL</t>
        </is>
      </c>
      <c r="F121" s="20" t="inlineStr">
        <is>
          <t>0.000 SOL</t>
        </is>
      </c>
      <c r="G121" s="17" t="inlineStr">
        <is>
          <t>-0.093 SOL</t>
        </is>
      </c>
      <c r="H121" s="17" t="inlineStr">
        <is>
          <t>0.00%</t>
        </is>
      </c>
      <c r="I121" s="20" t="inlineStr">
        <is>
          <t>322,138</t>
        </is>
      </c>
      <c r="J121" s="20" t="n">
        <v>1</v>
      </c>
      <c r="K121" s="20" t="n">
        <v>0</v>
      </c>
      <c r="L121" s="20" t="inlineStr">
        <is>
          <t>26.10.2024 14:47:39</t>
        </is>
      </c>
      <c r="M121" s="18" t="inlineStr">
        <is>
          <t>0 sec</t>
        </is>
      </c>
      <c r="N121" s="20" t="inlineStr">
        <is>
          <t xml:space="preserve">         51K            51K             5K</t>
        </is>
      </c>
      <c r="O121" s="20" t="inlineStr">
        <is>
          <t>BrPjSkpdWfgz5XXPoVbDfGxLSiKbzYz76NdvuTqJ8e7H</t>
        </is>
      </c>
      <c r="P121" s="20">
        <f>HYPERLINK("https://photon-sol.tinyastro.io/en/lp/BrPjSkpdWfgz5XXPoVbDfGxLSiKbzYz76NdvuTqJ8e7H?handle=676050794bc1b1657a56b", "View")</f>
        <v/>
      </c>
    </row>
    <row r="122">
      <c r="A122" s="15" t="inlineStr">
        <is>
          <t>choccy</t>
        </is>
      </c>
      <c r="B122" s="16" t="n">
        <v>35668</v>
      </c>
      <c r="C122" s="16" t="n">
        <v>3500</v>
      </c>
      <c r="D122" s="16" t="inlineStr">
        <is>
          <t>0.001110</t>
        </is>
      </c>
      <c r="E122" s="16" t="inlineStr">
        <is>
          <t>0.075 SOL</t>
        </is>
      </c>
      <c r="F122" s="16" t="inlineStr">
        <is>
          <t>0.031 SOL</t>
        </is>
      </c>
      <c r="G122" s="24" t="inlineStr">
        <is>
          <t>-0.045 SOL</t>
        </is>
      </c>
      <c r="H122" s="24" t="inlineStr">
        <is>
          <t>-58.82%</t>
        </is>
      </c>
      <c r="I122" s="16" t="inlineStr">
        <is>
          <t>N/A</t>
        </is>
      </c>
      <c r="J122" s="16" t="n">
        <v>1</v>
      </c>
      <c r="K122" s="16" t="n">
        <v>1</v>
      </c>
      <c r="L122" s="16" t="inlineStr">
        <is>
          <t>26.10.2024 14:29:50</t>
        </is>
      </c>
      <c r="M122" s="16" t="inlineStr">
        <is>
          <t>1 days</t>
        </is>
      </c>
      <c r="N122" s="16" t="inlineStr">
        <is>
          <t xml:space="preserve">        369K           369K           313K</t>
        </is>
      </c>
      <c r="O122" s="16" t="inlineStr">
        <is>
          <t>DFy12AkbxKnR2s2gaYz1AvxgxqGDrMEjjzK1GG3Ypump</t>
        </is>
      </c>
      <c r="P122" s="16">
        <f>HYPERLINK("https://dexscreener.com/solana/DFy12AkbxKnR2s2gaYz1AvxgxqGDrMEjjzK1GG3Ypump", "View")</f>
        <v/>
      </c>
    </row>
    <row r="123">
      <c r="A123" s="19" t="inlineStr">
        <is>
          <t>GlaDoS</t>
        </is>
      </c>
      <c r="B123" s="20" t="n">
        <v>25958</v>
      </c>
      <c r="C123" s="20" t="n">
        <v>0</v>
      </c>
      <c r="D123" s="20" t="inlineStr">
        <is>
          <t>0.000710</t>
        </is>
      </c>
      <c r="E123" s="20" t="inlineStr">
        <is>
          <t>0.075 SOL</t>
        </is>
      </c>
      <c r="F123" s="20" t="inlineStr">
        <is>
          <t>0.000 SOL</t>
        </is>
      </c>
      <c r="G123" s="17" t="inlineStr">
        <is>
          <t>-0.076 SOL</t>
        </is>
      </c>
      <c r="H123" s="17" t="inlineStr">
        <is>
          <t>0.00%</t>
        </is>
      </c>
      <c r="I123" s="20" t="inlineStr">
        <is>
          <t>25,958</t>
        </is>
      </c>
      <c r="J123" s="20" t="n">
        <v>1</v>
      </c>
      <c r="K123" s="20" t="n">
        <v>0</v>
      </c>
      <c r="L123" s="20" t="inlineStr">
        <is>
          <t>26.10.2024 12:51:38</t>
        </is>
      </c>
      <c r="M123" s="18" t="inlineStr">
        <is>
          <t>0 sec</t>
        </is>
      </c>
      <c r="N123" s="20" t="inlineStr">
        <is>
          <t xml:space="preserve">        508K           508K            10K</t>
        </is>
      </c>
      <c r="O123" s="20" t="inlineStr">
        <is>
          <t>zGSm7WWkUgV6NqrU47nC1iLheZsWaRMyFnzVKTUpump</t>
        </is>
      </c>
      <c r="P123" s="20">
        <f>HYPERLINK("https://dexscreener.com/solana/zGSm7WWkUgV6NqrU47nC1iLheZsWaRMyFnzVKTUpump", "View")</f>
        <v/>
      </c>
    </row>
    <row r="124">
      <c r="A124" s="15" t="inlineStr">
        <is>
          <t>glados-137</t>
        </is>
      </c>
      <c r="B124" s="16" t="n">
        <v>35017</v>
      </c>
      <c r="C124" s="16" t="n">
        <v>0</v>
      </c>
      <c r="D124" s="16" t="inlineStr">
        <is>
          <t>0.001410</t>
        </is>
      </c>
      <c r="E124" s="16" t="inlineStr">
        <is>
          <t>0.085 SOL</t>
        </is>
      </c>
      <c r="F124" s="16" t="inlineStr">
        <is>
          <t>0.000 SOL</t>
        </is>
      </c>
      <c r="G124" s="17" t="inlineStr">
        <is>
          <t>-0.086 SOL</t>
        </is>
      </c>
      <c r="H124" s="17" t="inlineStr">
        <is>
          <t>0.00%</t>
        </is>
      </c>
      <c r="I124" s="16" t="inlineStr">
        <is>
          <t>35,017</t>
        </is>
      </c>
      <c r="J124" s="16" t="n">
        <v>2</v>
      </c>
      <c r="K124" s="16" t="n">
        <v>0</v>
      </c>
      <c r="L124" s="16" t="inlineStr">
        <is>
          <t>26.10.2024 12:07:50</t>
        </is>
      </c>
      <c r="M124" s="16" t="inlineStr">
        <is>
          <t>54 min</t>
        </is>
      </c>
      <c r="N124" s="16" t="inlineStr">
        <is>
          <t xml:space="preserve">        425K           439K            31K</t>
        </is>
      </c>
      <c r="O124" s="16" t="inlineStr">
        <is>
          <t>5AFpf9H8CPpmHe9gmwZYQPtup3MDZ887PUxvY1yapump</t>
        </is>
      </c>
      <c r="P124" s="16">
        <f>HYPERLINK("https://dexscreener.com/solana/5AFpf9H8CPpmHe9gmwZYQPtup3MDZ887PUxvY1yapump", "View")</f>
        <v/>
      </c>
    </row>
    <row r="125">
      <c r="A125" s="19" t="inlineStr">
        <is>
          <t>CRYPT</t>
        </is>
      </c>
      <c r="B125" s="20" t="n">
        <v>129127</v>
      </c>
      <c r="C125" s="20" t="n">
        <v>0</v>
      </c>
      <c r="D125" s="20" t="inlineStr">
        <is>
          <t>0.000710</t>
        </is>
      </c>
      <c r="E125" s="20" t="inlineStr">
        <is>
          <t>0.075 SOL</t>
        </is>
      </c>
      <c r="F125" s="20" t="inlineStr">
        <is>
          <t>0.000 SOL</t>
        </is>
      </c>
      <c r="G125" s="17" t="inlineStr">
        <is>
          <t>-0.076 SOL</t>
        </is>
      </c>
      <c r="H125" s="17" t="inlineStr">
        <is>
          <t>0.00%</t>
        </is>
      </c>
      <c r="I125" s="20" t="inlineStr">
        <is>
          <t>129,127</t>
        </is>
      </c>
      <c r="J125" s="20" t="n">
        <v>1</v>
      </c>
      <c r="K125" s="20" t="n">
        <v>0</v>
      </c>
      <c r="L125" s="20" t="inlineStr">
        <is>
          <t>26.10.2024 09:47:48</t>
        </is>
      </c>
      <c r="M125" s="18" t="inlineStr">
        <is>
          <t>0 sec</t>
        </is>
      </c>
      <c r="N125" s="20" t="inlineStr">
        <is>
          <t xml:space="preserve">        102K           102K             4K</t>
        </is>
      </c>
      <c r="O125" s="20" t="inlineStr">
        <is>
          <t>HcpuhTEUBYoA4WeRMQE2zeRKNNFmWVcjRRzbYkFopump</t>
        </is>
      </c>
      <c r="P125" s="20">
        <f>HYPERLINK("https://dexscreener.com/solana/HcpuhTEUBYoA4WeRMQE2zeRKNNFmWVcjRRzbYkFopump", "View")</f>
        <v/>
      </c>
    </row>
    <row r="126">
      <c r="A126" s="15" t="inlineStr">
        <is>
          <t>KYUUJA</t>
        </is>
      </c>
      <c r="B126" s="16" t="n">
        <v>163642</v>
      </c>
      <c r="C126" s="16" t="n">
        <v>0</v>
      </c>
      <c r="D126" s="16" t="inlineStr">
        <is>
          <t>0.001410</t>
        </is>
      </c>
      <c r="E126" s="16" t="inlineStr">
        <is>
          <t>0.085 SOL</t>
        </is>
      </c>
      <c r="F126" s="16" t="inlineStr">
        <is>
          <t>0.000 SOL</t>
        </is>
      </c>
      <c r="G126" s="17" t="inlineStr">
        <is>
          <t>-0.086 SOL</t>
        </is>
      </c>
      <c r="H126" s="17" t="inlineStr">
        <is>
          <t>0.00%</t>
        </is>
      </c>
      <c r="I126" s="16" t="inlineStr">
        <is>
          <t>163,642</t>
        </is>
      </c>
      <c r="J126" s="16" t="n">
        <v>2</v>
      </c>
      <c r="K126" s="16" t="n">
        <v>0</v>
      </c>
      <c r="L126" s="16" t="inlineStr">
        <is>
          <t>26.10.2024 07:03:53</t>
        </is>
      </c>
      <c r="M126" s="16" t="inlineStr">
        <is>
          <t>1 hours</t>
        </is>
      </c>
      <c r="N126" s="16" t="inlineStr">
        <is>
          <t xml:space="preserve">        104K            47K            13K</t>
        </is>
      </c>
      <c r="O126" s="16" t="inlineStr">
        <is>
          <t>6BbsRCdCSN5ta2MaFmfuzsbu7FKrNHTvT656Bntzpump</t>
        </is>
      </c>
      <c r="P126" s="16">
        <f>HYPERLINK("https://dexscreener.com/solana/6BbsRCdCSN5ta2MaFmfuzsbu7FKrNHTvT656Bntzpump", "View")</f>
        <v/>
      </c>
    </row>
    <row r="127">
      <c r="A127" s="19" t="inlineStr">
        <is>
          <t>KYUUJA</t>
        </is>
      </c>
      <c r="B127" s="20" t="n">
        <v>334854</v>
      </c>
      <c r="C127" s="20" t="n">
        <v>0</v>
      </c>
      <c r="D127" s="20" t="inlineStr">
        <is>
          <t>0.000710</t>
        </is>
      </c>
      <c r="E127" s="20" t="inlineStr">
        <is>
          <t>0.095 SOL</t>
        </is>
      </c>
      <c r="F127" s="20" t="inlineStr">
        <is>
          <t>0.000 SOL</t>
        </is>
      </c>
      <c r="G127" s="17" t="inlineStr">
        <is>
          <t>-0.095 SOL</t>
        </is>
      </c>
      <c r="H127" s="17" t="inlineStr">
        <is>
          <t>0.00%</t>
        </is>
      </c>
      <c r="I127" s="20" t="inlineStr">
        <is>
          <t>334,854</t>
        </is>
      </c>
      <c r="J127" s="20" t="n">
        <v>1</v>
      </c>
      <c r="K127" s="20" t="n">
        <v>0</v>
      </c>
      <c r="L127" s="20" t="inlineStr">
        <is>
          <t>26.10.2024 04:50:06</t>
        </is>
      </c>
      <c r="M127" s="18" t="inlineStr">
        <is>
          <t>0 sec</t>
        </is>
      </c>
      <c r="N127" s="20" t="inlineStr">
        <is>
          <t xml:space="preserve">         49K            49K             6K</t>
        </is>
      </c>
      <c r="O127" s="20" t="inlineStr">
        <is>
          <t>2Bm2xQRgSS5GLRm8eXj3Xe8WzFq9noEkx4MmGsHBpump</t>
        </is>
      </c>
      <c r="P127" s="20">
        <f>HYPERLINK("https://photon-sol.tinyastro.io/en/lp/2Bm2xQRgSS5GLRm8eXj3Xe8WzFq9noEkx4MmGsHBpump?handle=676050794bc1b1657a56b", "View")</f>
        <v/>
      </c>
    </row>
    <row r="128">
      <c r="A128" s="15" t="inlineStr">
        <is>
          <t>PLINY</t>
        </is>
      </c>
      <c r="B128" s="16" t="n">
        <v>72355</v>
      </c>
      <c r="C128" s="16" t="n">
        <v>0</v>
      </c>
      <c r="D128" s="16" t="inlineStr">
        <is>
          <t>0.000710</t>
        </is>
      </c>
      <c r="E128" s="16" t="inlineStr">
        <is>
          <t>0.075 SOL</t>
        </is>
      </c>
      <c r="F128" s="16" t="inlineStr">
        <is>
          <t>0.000 SOL</t>
        </is>
      </c>
      <c r="G128" s="17" t="inlineStr">
        <is>
          <t>-0.076 SOL</t>
        </is>
      </c>
      <c r="H128" s="17" t="inlineStr">
        <is>
          <t>0.00%</t>
        </is>
      </c>
      <c r="I128" s="16" t="inlineStr">
        <is>
          <t>72,355</t>
        </is>
      </c>
      <c r="J128" s="16" t="n">
        <v>1</v>
      </c>
      <c r="K128" s="16" t="n">
        <v>0</v>
      </c>
      <c r="L128" s="16" t="inlineStr">
        <is>
          <t>26.10.2024 03:18:31</t>
        </is>
      </c>
      <c r="M128" s="18" t="inlineStr">
        <is>
          <t>0 sec</t>
        </is>
      </c>
      <c r="N128" s="16" t="inlineStr">
        <is>
          <t xml:space="preserve">        183K           183K            60K</t>
        </is>
      </c>
      <c r="O128" s="16" t="inlineStr">
        <is>
          <t>6MYhpb3FocZSdJS3V5krpbfMp45JxD5jXdtPfkwUpump</t>
        </is>
      </c>
      <c r="P128" s="16">
        <f>HYPERLINK("https://dexscreener.com/solana/6MYhpb3FocZSdJS3V5krpbfMp45JxD5jXdtPfkwUpump", "View")</f>
        <v/>
      </c>
    </row>
    <row r="129">
      <c r="A129" s="19" t="inlineStr">
        <is>
          <t>HAX</t>
        </is>
      </c>
      <c r="B129" s="20" t="n">
        <v>234808</v>
      </c>
      <c r="C129" s="20" t="n">
        <v>0</v>
      </c>
      <c r="D129" s="20" t="inlineStr">
        <is>
          <t>0.000710</t>
        </is>
      </c>
      <c r="E129" s="20" t="inlineStr">
        <is>
          <t>0.081 SOL</t>
        </is>
      </c>
      <c r="F129" s="20" t="inlineStr">
        <is>
          <t>0.000 SOL</t>
        </is>
      </c>
      <c r="G129" s="17" t="inlineStr">
        <is>
          <t>-0.082 SOL</t>
        </is>
      </c>
      <c r="H129" s="17" t="inlineStr">
        <is>
          <t>0.00%</t>
        </is>
      </c>
      <c r="I129" s="20" t="inlineStr">
        <is>
          <t>234,808</t>
        </is>
      </c>
      <c r="J129" s="20" t="n">
        <v>1</v>
      </c>
      <c r="K129" s="20" t="n">
        <v>0</v>
      </c>
      <c r="L129" s="20" t="inlineStr">
        <is>
          <t>26.10.2024 01:59:23</t>
        </is>
      </c>
      <c r="M129" s="18" t="inlineStr">
        <is>
          <t>0 sec</t>
        </is>
      </c>
      <c r="N129" s="20" t="inlineStr">
        <is>
          <t xml:space="preserve">         61K            61K             7K</t>
        </is>
      </c>
      <c r="O129" s="20" t="inlineStr">
        <is>
          <t>8p1axiyVkUL5zTQREb8zGU2DqaiLUkG4TjDHayhVpump</t>
        </is>
      </c>
      <c r="P129" s="20">
        <f>HYPERLINK("https://photon-sol.tinyastro.io/en/lp/8p1axiyVkUL5zTQREb8zGU2DqaiLUkG4TjDHayhVpump?handle=676050794bc1b1657a56b", "View")</f>
        <v/>
      </c>
    </row>
    <row r="130">
      <c r="A130" s="15" t="inlineStr">
        <is>
          <t>web</t>
        </is>
      </c>
      <c r="B130" s="16" t="n">
        <v>180013</v>
      </c>
      <c r="C130" s="16" t="n">
        <v>0</v>
      </c>
      <c r="D130" s="16" t="inlineStr">
        <is>
          <t>0.000710</t>
        </is>
      </c>
      <c r="E130" s="16" t="inlineStr">
        <is>
          <t>0.075 SOL</t>
        </is>
      </c>
      <c r="F130" s="16" t="inlineStr">
        <is>
          <t>0.000 SOL</t>
        </is>
      </c>
      <c r="G130" s="17" t="inlineStr">
        <is>
          <t>-0.076 SOL</t>
        </is>
      </c>
      <c r="H130" s="17" t="inlineStr">
        <is>
          <t>0.00%</t>
        </is>
      </c>
      <c r="I130" s="16" t="inlineStr">
        <is>
          <t>180,013</t>
        </is>
      </c>
      <c r="J130" s="16" t="n">
        <v>1</v>
      </c>
      <c r="K130" s="16" t="n">
        <v>0</v>
      </c>
      <c r="L130" s="16" t="inlineStr">
        <is>
          <t>25.10.2024 16:16:27</t>
        </is>
      </c>
      <c r="M130" s="18" t="inlineStr">
        <is>
          <t>0 sec</t>
        </is>
      </c>
      <c r="N130" s="16" t="inlineStr">
        <is>
          <t xml:space="preserve">         74K            74K             6K</t>
        </is>
      </c>
      <c r="O130" s="16" t="inlineStr">
        <is>
          <t>AKjkUfgVvbmc9LfvniaaaeVJfEpYbKFDonA76fuWpump</t>
        </is>
      </c>
      <c r="P130" s="16">
        <f>HYPERLINK("https://dexscreener.com/solana/AKjkUfgVvbmc9LfvniaaaeVJfEpYbKFDonA76fuWpump", "View")</f>
        <v/>
      </c>
    </row>
    <row r="131">
      <c r="A131" s="19" t="inlineStr">
        <is>
          <t>YOUSIM</t>
        </is>
      </c>
      <c r="B131" s="20" t="n">
        <v>25239</v>
      </c>
      <c r="C131" s="20" t="n">
        <v>25239</v>
      </c>
      <c r="D131" s="20" t="inlineStr">
        <is>
          <t>0.002930</t>
        </is>
      </c>
      <c r="E131" s="20" t="inlineStr">
        <is>
          <t>0.110 SOL</t>
        </is>
      </c>
      <c r="F131" s="20" t="inlineStr">
        <is>
          <t>0.182 SOL</t>
        </is>
      </c>
      <c r="G131" s="23" t="inlineStr">
        <is>
          <t>0.069 SOL</t>
        </is>
      </c>
      <c r="H131" s="23" t="inlineStr">
        <is>
          <t>61.30%</t>
        </is>
      </c>
      <c r="I131" s="20" t="inlineStr">
        <is>
          <t>N/A</t>
        </is>
      </c>
      <c r="J131" s="20" t="n">
        <v>3</v>
      </c>
      <c r="K131" s="20" t="n">
        <v>2</v>
      </c>
      <c r="L131" s="20" t="inlineStr">
        <is>
          <t>24.10.2024 17:55:35</t>
        </is>
      </c>
      <c r="M131" s="20" t="inlineStr">
        <is>
          <t>1 hours</t>
        </is>
      </c>
      <c r="N131" s="20" t="inlineStr">
        <is>
          <t xml:space="preserve">        625K           678K            10M</t>
        </is>
      </c>
      <c r="O131" s="20" t="inlineStr">
        <is>
          <t>66gsTs88mXJ5L4AtJnWqFW6H2L5YQDRy4W41y6zbpump</t>
        </is>
      </c>
      <c r="P131" s="20">
        <f>HYPERLINK("https://dexscreener.com/solana/66gsTs88mXJ5L4AtJnWqFW6H2L5YQDRy4W41y6zbpump", "View")</f>
        <v/>
      </c>
    </row>
    <row r="132">
      <c r="A132" s="15" t="inlineStr">
        <is>
          <t>Gape</t>
        </is>
      </c>
      <c r="B132" s="16" t="n">
        <v>24066</v>
      </c>
      <c r="C132" s="16" t="n">
        <v>0</v>
      </c>
      <c r="D132" s="16" t="inlineStr">
        <is>
          <t>0.000710</t>
        </is>
      </c>
      <c r="E132" s="16" t="inlineStr">
        <is>
          <t>0.075 SOL</t>
        </is>
      </c>
      <c r="F132" s="16" t="inlineStr">
        <is>
          <t>0.000 SOL</t>
        </is>
      </c>
      <c r="G132" s="17" t="inlineStr">
        <is>
          <t>-0.076 SOL</t>
        </is>
      </c>
      <c r="H132" s="17" t="inlineStr">
        <is>
          <t>0.00%</t>
        </is>
      </c>
      <c r="I132" s="16" t="inlineStr">
        <is>
          <t>24,066</t>
        </is>
      </c>
      <c r="J132" s="16" t="n">
        <v>1</v>
      </c>
      <c r="K132" s="16" t="n">
        <v>0</v>
      </c>
      <c r="L132" s="16" t="inlineStr">
        <is>
          <t>24.10.2024 13:56:32</t>
        </is>
      </c>
      <c r="M132" s="18" t="inlineStr">
        <is>
          <t>0 sec</t>
        </is>
      </c>
      <c r="N132" s="16" t="inlineStr">
        <is>
          <t xml:space="preserve">        548K           548K            20K</t>
        </is>
      </c>
      <c r="O132" s="16" t="inlineStr">
        <is>
          <t>58JkF2Nj981v6yxM2aQMpoeL2MaA7dA3SGcGuRyepump</t>
        </is>
      </c>
      <c r="P132" s="16">
        <f>HYPERLINK("https://dexscreener.com/solana/58JkF2Nj981v6yxM2aQMpoeL2MaA7dA3SGcGuRyepump", "View")</f>
        <v/>
      </c>
    </row>
    <row r="133">
      <c r="A133" s="19" t="inlineStr">
        <is>
          <t>gape</t>
        </is>
      </c>
      <c r="B133" s="20" t="n">
        <v>97499</v>
      </c>
      <c r="C133" s="20" t="n">
        <v>0</v>
      </c>
      <c r="D133" s="20" t="inlineStr">
        <is>
          <t>0.001410</t>
        </is>
      </c>
      <c r="E133" s="20" t="inlineStr">
        <is>
          <t>0.125 SOL</t>
        </is>
      </c>
      <c r="F133" s="20" t="inlineStr">
        <is>
          <t>0.000 SOL</t>
        </is>
      </c>
      <c r="G133" s="17" t="inlineStr">
        <is>
          <t>-0.126 SOL</t>
        </is>
      </c>
      <c r="H133" s="17" t="inlineStr">
        <is>
          <t>0.00%</t>
        </is>
      </c>
      <c r="I133" s="20" t="inlineStr">
        <is>
          <t>97,499</t>
        </is>
      </c>
      <c r="J133" s="20" t="n">
        <v>2</v>
      </c>
      <c r="K133" s="20" t="n">
        <v>0</v>
      </c>
      <c r="L133" s="20" t="inlineStr">
        <is>
          <t>24.10.2024 13:31:49</t>
        </is>
      </c>
      <c r="M133" s="20" t="inlineStr">
        <is>
          <t>3 min</t>
        </is>
      </c>
      <c r="N133" s="20" t="inlineStr">
        <is>
          <t xml:space="preserve">        177K           379K             6K</t>
        </is>
      </c>
      <c r="O133" s="20" t="inlineStr">
        <is>
          <t>zatHUKJXCvgYBkbDMFn6Q8FukeLQkywroBw5Uv4pump</t>
        </is>
      </c>
      <c r="P133" s="20">
        <f>HYPERLINK("https://dexscreener.com/solana/zatHUKJXCvgYBkbDMFn6Q8FukeLQkywroBw5Uv4pump", "View")</f>
        <v/>
      </c>
    </row>
    <row r="134">
      <c r="A134" s="15" t="inlineStr">
        <is>
          <t>buttcoin</t>
        </is>
      </c>
      <c r="B134" s="16" t="n">
        <v>76894</v>
      </c>
      <c r="C134" s="16" t="n">
        <v>0</v>
      </c>
      <c r="D134" s="16" t="inlineStr">
        <is>
          <t>0.000710</t>
        </is>
      </c>
      <c r="E134" s="16" t="inlineStr">
        <is>
          <t>0.075 SOL</t>
        </is>
      </c>
      <c r="F134" s="16" t="inlineStr">
        <is>
          <t>0.000 SOL</t>
        </is>
      </c>
      <c r="G134" s="17" t="inlineStr">
        <is>
          <t>-0.076 SOL</t>
        </is>
      </c>
      <c r="H134" s="17" t="inlineStr">
        <is>
          <t>0.00%</t>
        </is>
      </c>
      <c r="I134" s="16" t="inlineStr">
        <is>
          <t>76,894</t>
        </is>
      </c>
      <c r="J134" s="16" t="n">
        <v>1</v>
      </c>
      <c r="K134" s="16" t="n">
        <v>0</v>
      </c>
      <c r="L134" s="16" t="inlineStr">
        <is>
          <t>24.10.2024 07:13:13</t>
        </is>
      </c>
      <c r="M134" s="18" t="inlineStr">
        <is>
          <t>0 sec</t>
        </is>
      </c>
      <c r="N134" s="16" t="inlineStr">
        <is>
          <t xml:space="preserve">        172K           172K             7K</t>
        </is>
      </c>
      <c r="O134" s="16" t="inlineStr">
        <is>
          <t>4Q7A2HQf544SnCVD16asPRb67xMVw94qaYQCWnvEpump</t>
        </is>
      </c>
      <c r="P134" s="16">
        <f>HYPERLINK("https://dexscreener.com/solana/4Q7A2HQf544SnCVD16asPRb67xMVw94qaYQCWnvEpump", "View")</f>
        <v/>
      </c>
    </row>
    <row r="135">
      <c r="A135" s="19" t="inlineStr">
        <is>
          <t>Jungians</t>
        </is>
      </c>
      <c r="B135" s="20" t="n">
        <v>499027</v>
      </c>
      <c r="C135" s="20" t="n">
        <v>0</v>
      </c>
      <c r="D135" s="20" t="inlineStr">
        <is>
          <t>0.000710</t>
        </is>
      </c>
      <c r="E135" s="20" t="inlineStr">
        <is>
          <t>0.025 SOL</t>
        </is>
      </c>
      <c r="F135" s="20" t="inlineStr">
        <is>
          <t>0.000 SOL</t>
        </is>
      </c>
      <c r="G135" s="17" t="inlineStr">
        <is>
          <t>-0.025 SOL</t>
        </is>
      </c>
      <c r="H135" s="17" t="inlineStr">
        <is>
          <t>0.00%</t>
        </is>
      </c>
      <c r="I135" s="20" t="inlineStr">
        <is>
          <t>499,027</t>
        </is>
      </c>
      <c r="J135" s="20" t="n">
        <v>1</v>
      </c>
      <c r="K135" s="20" t="n">
        <v>0</v>
      </c>
      <c r="L135" s="20" t="inlineStr">
        <is>
          <t>23.10.2024 22:34:00</t>
        </is>
      </c>
      <c r="M135" s="18" t="inlineStr">
        <is>
          <t>0 sec</t>
        </is>
      </c>
      <c r="N135" s="20" t="inlineStr">
        <is>
          <t xml:space="preserve">          9K             9K             4K</t>
        </is>
      </c>
      <c r="O135" s="20" t="inlineStr">
        <is>
          <t>8T7n6U2GSzpCqFNbNdt4JSoZHtdXp6kdb9BXHs8Ypump</t>
        </is>
      </c>
      <c r="P135" s="20">
        <f>HYPERLINK("https://dexscreener.com/solana/8T7n6U2GSzpCqFNbNdt4JSoZHtdXp6kdb9BXHs8Ypump", "View")</f>
        <v/>
      </c>
    </row>
    <row r="136">
      <c r="A136" s="15" t="inlineStr">
        <is>
          <t>GRUMPY</t>
        </is>
      </c>
      <c r="B136" s="16" t="n">
        <v>320134</v>
      </c>
      <c r="C136" s="16" t="n">
        <v>0</v>
      </c>
      <c r="D136" s="16" t="inlineStr">
        <is>
          <t>0.000710</t>
        </is>
      </c>
      <c r="E136" s="16" t="inlineStr">
        <is>
          <t>0.025 SOL</t>
        </is>
      </c>
      <c r="F136" s="16" t="inlineStr">
        <is>
          <t>0.000 SOL</t>
        </is>
      </c>
      <c r="G136" s="17" t="inlineStr">
        <is>
          <t>-0.025 SOL</t>
        </is>
      </c>
      <c r="H136" s="17" t="inlineStr">
        <is>
          <t>0.00%</t>
        </is>
      </c>
      <c r="I136" s="16" t="inlineStr">
        <is>
          <t>320,134</t>
        </is>
      </c>
      <c r="J136" s="16" t="n">
        <v>1</v>
      </c>
      <c r="K136" s="16" t="n">
        <v>0</v>
      </c>
      <c r="L136" s="16" t="inlineStr">
        <is>
          <t>23.10.2024 22:31:42</t>
        </is>
      </c>
      <c r="M136" s="18" t="inlineStr">
        <is>
          <t>0 sec</t>
        </is>
      </c>
      <c r="N136" s="16" t="inlineStr">
        <is>
          <t xml:space="preserve">         11K            11K             6K</t>
        </is>
      </c>
      <c r="O136" s="16" t="inlineStr">
        <is>
          <t>5hZc1qQKpzTBLFm31VfhWPjo81rCJ2NspXjF9Uujpump</t>
        </is>
      </c>
      <c r="P136" s="16">
        <f>HYPERLINK("https://dexscreener.com/solana/5hZc1qQKpzTBLFm31VfhWPjo81rCJ2NspXjF9Uujpump", "View")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HYPERLINK("https://gmgn.ai/sol/address/7BJk376WuRbWZ7DJRnxyJoYwwh5p6XAV3gySChMMQ4pi", "GMGN")</f>
        <v/>
      </c>
    </row>
    <row r="2">
      <c r="A2" s="3" t="inlineStr">
        <is>
          <t>7BJk376WuRbWZ7DJRnxyJoYwwh5p6XAV3gySChMMQ4pi</t>
        </is>
      </c>
      <c r="B2" s="3" t="inlineStr">
        <is>
          <t>10.04 SOL</t>
        </is>
      </c>
      <c r="C2" s="3" t="inlineStr">
        <is>
          <t>63%</t>
        </is>
      </c>
      <c r="D2" s="3" t="inlineStr">
        <is>
          <t>163%</t>
        </is>
      </c>
      <c r="E2" s="3" t="inlineStr">
        <is>
          <t>9.94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0</v>
      </c>
      <c r="N2" s="3">
        <f>HYPERLINK("https://solscan.io/account/7BJk376WuRbWZ7DJRnxyJoYwwh5p6XAV3gySChMMQ4pi", "Solscan")</f>
        <v/>
      </c>
    </row>
    <row r="3">
      <c r="A3" s="6" t="inlineStr">
        <is>
          <t>Median ROI</t>
        </is>
      </c>
      <c r="B3" s="4" t="inlineStr">
        <is>
          <t>96.72%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HYPERLINK("https://birdeye.so/profile/7BJk376WuRbWZ7DJRnxyJoYwwh5p6XAV3gySChMMQ4pi", "Birdeye")</f>
        <v/>
      </c>
    </row>
    <row r="4">
      <c r="A4" s="6" t="inlineStr">
        <is>
          <t>Rockets percent</t>
        </is>
      </c>
      <c r="B4" s="4" t="inlineStr">
        <is>
          <t>50%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3</v>
      </c>
      <c r="D10" s="6" t="n">
        <v>1</v>
      </c>
      <c r="E10" s="6" t="n">
        <v>0</v>
      </c>
      <c r="F10" s="6" t="n">
        <v>2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12.5%</t>
        </is>
      </c>
      <c r="C11" s="6" t="inlineStr">
        <is>
          <t>37.5%</t>
        </is>
      </c>
      <c r="D11" s="6" t="inlineStr">
        <is>
          <t>12.5%</t>
        </is>
      </c>
      <c r="E11" s="6" t="inlineStr">
        <is>
          <t>0.0%</t>
        </is>
      </c>
      <c r="F11" s="6" t="inlineStr">
        <is>
          <t>25.0%</t>
        </is>
      </c>
      <c r="G11" s="6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6.7 SOL</t>
        </is>
      </c>
      <c r="C12" s="6" t="inlineStr">
        <is>
          <t>3.5 SOL</t>
        </is>
      </c>
      <c r="D12" s="6" t="inlineStr">
        <is>
          <t>0.4 SOL</t>
        </is>
      </c>
      <c r="E12" s="6" t="inlineStr">
        <is>
          <t>0.0 SOL</t>
        </is>
      </c>
      <c r="F12" s="6" t="inlineStr">
        <is>
          <t>-0.5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12.0K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Liberty</t>
        </is>
      </c>
      <c r="B20" s="16" t="n">
        <v>8959841</v>
      </c>
      <c r="C20" s="16" t="n">
        <v>8959841</v>
      </c>
      <c r="D20" s="16" t="inlineStr">
        <is>
          <t>0.190090</t>
        </is>
      </c>
      <c r="E20" s="16" t="inlineStr">
        <is>
          <t>0.457 SOL</t>
        </is>
      </c>
      <c r="F20" s="16" t="inlineStr">
        <is>
          <t>1.475 SOL</t>
        </is>
      </c>
      <c r="G20" s="23" t="inlineStr">
        <is>
          <t>0.828 SOL</t>
        </is>
      </c>
      <c r="H20" s="23" t="inlineStr">
        <is>
          <t>127.88%</t>
        </is>
      </c>
      <c r="I20" s="16" t="inlineStr">
        <is>
          <t>N/A</t>
        </is>
      </c>
      <c r="J20" s="16" t="n">
        <v>1</v>
      </c>
      <c r="K20" s="16" t="n">
        <v>18</v>
      </c>
      <c r="L20" s="16" t="inlineStr">
        <is>
          <t>30.10.2024 13:20:51</t>
        </is>
      </c>
      <c r="M20" s="16" t="inlineStr">
        <is>
          <t>4 min</t>
        </is>
      </c>
      <c r="N20" s="16" t="inlineStr">
        <is>
          <t xml:space="preserve">          9K             9K             5K</t>
        </is>
      </c>
      <c r="O20" s="16" t="inlineStr">
        <is>
          <t>CqBmg5ZUoaPg5Yx5uAKYzpyRcXme2UpVmZ8U5iotpump</t>
        </is>
      </c>
      <c r="P20" s="16">
        <f>HYPERLINK("https://photon-sol.tinyastro.io/en/lp/CqBmg5ZUoaPg5Yx5uAKYzpyRcXme2UpVmZ8U5iotpump?handle=676050794bc1b1657a56b", "View")</f>
        <v/>
      </c>
    </row>
    <row r="21">
      <c r="A21" s="19" t="inlineStr">
        <is>
          <t>Torin</t>
        </is>
      </c>
      <c r="B21" s="20" t="n">
        <v>10163367</v>
      </c>
      <c r="C21" s="20" t="n">
        <v>10163367</v>
      </c>
      <c r="D21" s="20" t="inlineStr">
        <is>
          <t>0.140070</t>
        </is>
      </c>
      <c r="E21" s="20" t="inlineStr">
        <is>
          <t>0.657 SOL</t>
        </is>
      </c>
      <c r="F21" s="20" t="inlineStr">
        <is>
          <t>2.021 SOL</t>
        </is>
      </c>
      <c r="G21" s="23" t="inlineStr">
        <is>
          <t>1.224 SOL</t>
        </is>
      </c>
      <c r="H21" s="23" t="inlineStr">
        <is>
          <t>153.68%</t>
        </is>
      </c>
      <c r="I21" s="20" t="inlineStr">
        <is>
          <t>N/A</t>
        </is>
      </c>
      <c r="J21" s="20" t="n">
        <v>1</v>
      </c>
      <c r="K21" s="20" t="n">
        <v>13</v>
      </c>
      <c r="L21" s="20" t="inlineStr">
        <is>
          <t>30.10.2024 06:27:36</t>
        </is>
      </c>
      <c r="M21" s="20" t="inlineStr">
        <is>
          <t>6 min</t>
        </is>
      </c>
      <c r="N21" s="20" t="inlineStr">
        <is>
          <t xml:space="preserve">         11K            21K             3K</t>
        </is>
      </c>
      <c r="O21" s="20" t="inlineStr">
        <is>
          <t>HxdzGHd2jLF12UHjgFKCb6zMzgfqGnwRvwKweXmXpump</t>
        </is>
      </c>
      <c r="P21" s="20">
        <f>HYPERLINK("https://photon-sol.tinyastro.io/en/lp/HxdzGHd2jLF12UHjgFKCb6zMzgfqGnwRvwKweXmXpump?handle=676050794bc1b1657a56b", "View")</f>
        <v/>
      </c>
    </row>
    <row r="22">
      <c r="A22" s="15" t="inlineStr">
        <is>
          <t>Torin</t>
        </is>
      </c>
      <c r="B22" s="16" t="n">
        <v>8831328</v>
      </c>
      <c r="C22" s="16" t="n">
        <v>8831328</v>
      </c>
      <c r="D22" s="16" t="inlineStr">
        <is>
          <t>0.650330</t>
        </is>
      </c>
      <c r="E22" s="16" t="inlineStr">
        <is>
          <t>0.636 SOL</t>
        </is>
      </c>
      <c r="F22" s="16" t="inlineStr">
        <is>
          <t>7.947 SOL</t>
        </is>
      </c>
      <c r="G22" s="23" t="inlineStr">
        <is>
          <t>6.661 SOL</t>
        </is>
      </c>
      <c r="H22" s="23" t="inlineStr">
        <is>
          <t>517.94%</t>
        </is>
      </c>
      <c r="I22" s="16" t="inlineStr">
        <is>
          <t>N/A</t>
        </is>
      </c>
      <c r="J22" s="16" t="n">
        <v>1</v>
      </c>
      <c r="K22" s="16" t="n">
        <v>64</v>
      </c>
      <c r="L22" s="16" t="inlineStr">
        <is>
          <t>30.10.2024 06:17:46</t>
        </is>
      </c>
      <c r="M22" s="16" t="inlineStr">
        <is>
          <t>7 min</t>
        </is>
      </c>
      <c r="N22" s="16" t="inlineStr">
        <is>
          <t xml:space="preserve">         12K           100K             7K</t>
        </is>
      </c>
      <c r="O22" s="16" t="inlineStr">
        <is>
          <t>ALKTKLRTyF3P83KMCAvGEtY4CsoMzvh1k38uixCgpump</t>
        </is>
      </c>
      <c r="P22" s="16">
        <f>HYPERLINK("https://photon-sol.tinyastro.io/en/lp/ALKTKLRTyF3P83KMCAvGEtY4CsoMzvh1k38uixCgpump?handle=676050794bc1b1657a56b", "View")</f>
        <v/>
      </c>
    </row>
    <row r="23">
      <c r="A23" s="19" t="inlineStr">
        <is>
          <t>Butters</t>
        </is>
      </c>
      <c r="B23" s="20" t="n">
        <v>7929767</v>
      </c>
      <c r="C23" s="20" t="n">
        <v>7929767</v>
      </c>
      <c r="D23" s="20" t="inlineStr">
        <is>
          <t>0.020010</t>
        </is>
      </c>
      <c r="E23" s="20" t="inlineStr">
        <is>
          <t>0.562 SOL</t>
        </is>
      </c>
      <c r="F23" s="20" t="inlineStr">
        <is>
          <t>0.963 SOL</t>
        </is>
      </c>
      <c r="G23" s="23" t="inlineStr">
        <is>
          <t>0.381 SOL</t>
        </is>
      </c>
      <c r="H23" s="23" t="inlineStr">
        <is>
          <t>65.55%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29.10.2024 18:24:57</t>
        </is>
      </c>
      <c r="M23" s="20" t="inlineStr">
        <is>
          <t>7 min</t>
        </is>
      </c>
      <c r="N23" s="20" t="inlineStr">
        <is>
          <t xml:space="preserve">         12K            21K             4K</t>
        </is>
      </c>
      <c r="O23" s="20" t="inlineStr">
        <is>
          <t>BFc3G2JaqZA3eCJzWiSMhGZp7aXwonXETtr2Nudppump</t>
        </is>
      </c>
      <c r="P23" s="20">
        <f>HYPERLINK("https://photon-sol.tinyastro.io/en/lp/BFc3G2JaqZA3eCJzWiSMhGZp7aXwonXETtr2Nudppump?handle=676050794bc1b1657a56b", "View")</f>
        <v/>
      </c>
    </row>
    <row r="24">
      <c r="A24" s="15" t="inlineStr">
        <is>
          <t>Nina</t>
        </is>
      </c>
      <c r="B24" s="16" t="n">
        <v>11778199</v>
      </c>
      <c r="C24" s="16" t="n">
        <v>11778199</v>
      </c>
      <c r="D24" s="16" t="inlineStr">
        <is>
          <t>0.020010</t>
        </is>
      </c>
      <c r="E24" s="16" t="inlineStr">
        <is>
          <t>0.833 SOL</t>
        </is>
      </c>
      <c r="F24" s="16" t="inlineStr">
        <is>
          <t>0.679 SOL</t>
        </is>
      </c>
      <c r="G24" s="21" t="inlineStr">
        <is>
          <t>-0.174 SOL</t>
        </is>
      </c>
      <c r="H24" s="21" t="inlineStr">
        <is>
          <t>-20.40%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15:47:07</t>
        </is>
      </c>
      <c r="M24" s="16" t="inlineStr">
        <is>
          <t>4 min</t>
        </is>
      </c>
      <c r="N24" s="16" t="inlineStr">
        <is>
          <t xml:space="preserve">         12K            11K             5K</t>
        </is>
      </c>
      <c r="O24" s="16" t="inlineStr">
        <is>
          <t>CDkwBE7pPovZLJC2KxM7jvWXkyygR1Y1u2R7f6hmpump</t>
        </is>
      </c>
      <c r="P24" s="16">
        <f>HYPERLINK("https://photon-sol.tinyastro.io/en/lp/CDkwBE7pPovZLJC2KxM7jvWXkyygR1Y1u2R7f6hmpump?handle=676050794bc1b1657a56b", "View")</f>
        <v/>
      </c>
    </row>
    <row r="25">
      <c r="A25" s="19" t="inlineStr">
        <is>
          <t>MOLANG</t>
        </is>
      </c>
      <c r="B25" s="20" t="n">
        <v>1793028</v>
      </c>
      <c r="C25" s="20" t="n">
        <v>1793028</v>
      </c>
      <c r="D25" s="20" t="inlineStr">
        <is>
          <t>0.220020</t>
        </is>
      </c>
      <c r="E25" s="20" t="inlineStr">
        <is>
          <t>0.552 SOL</t>
        </is>
      </c>
      <c r="F25" s="20" t="inlineStr">
        <is>
          <t>0.466 SOL</t>
        </is>
      </c>
      <c r="G25" s="21" t="inlineStr">
        <is>
          <t>-0.306 SOL</t>
        </is>
      </c>
      <c r="H25" s="21" t="inlineStr">
        <is>
          <t>-39.68%</t>
        </is>
      </c>
      <c r="I25" s="20" t="inlineStr">
        <is>
          <t>N/A</t>
        </is>
      </c>
      <c r="J25" s="20" t="n">
        <v>2</v>
      </c>
      <c r="K25" s="20" t="n">
        <v>2</v>
      </c>
      <c r="L25" s="20" t="inlineStr">
        <is>
          <t>29.10.2024 14:48:15</t>
        </is>
      </c>
      <c r="M25" s="20" t="inlineStr">
        <is>
          <t>10 min</t>
        </is>
      </c>
      <c r="N25" s="20" t="inlineStr">
        <is>
          <t xml:space="preserve">         56K            30K             4K</t>
        </is>
      </c>
      <c r="O25" s="20" t="inlineStr">
        <is>
          <t>BPFXTGBjoARa89gbSvbp7Dy6cQwgGc7efW1jE8nTpump</t>
        </is>
      </c>
      <c r="P25" s="20">
        <f>HYPERLINK("https://photon-sol.tinyastro.io/en/lp/BPFXTGBjoARa89gbSvbp7Dy6cQwgGc7efW1jE8nTpump?handle=676050794bc1b1657a56b", "View")</f>
        <v/>
      </c>
    </row>
    <row r="26">
      <c r="A26" s="15" t="inlineStr">
        <is>
          <t>Trina</t>
        </is>
      </c>
      <c r="B26" s="16" t="n">
        <v>11384893</v>
      </c>
      <c r="C26" s="16" t="n">
        <v>11384893</v>
      </c>
      <c r="D26" s="16" t="inlineStr">
        <is>
          <t>0.480190</t>
        </is>
      </c>
      <c r="E26" s="16" t="inlineStr">
        <is>
          <t>0.454 SOL</t>
        </is>
      </c>
      <c r="F26" s="16" t="inlineStr">
        <is>
          <t>2.380 SOL</t>
        </is>
      </c>
      <c r="G26" s="23" t="inlineStr">
        <is>
          <t>1.445 SOL</t>
        </is>
      </c>
      <c r="H26" s="23" t="inlineStr">
        <is>
          <t>154.64%</t>
        </is>
      </c>
      <c r="I26" s="16" t="inlineStr">
        <is>
          <t>N/A</t>
        </is>
      </c>
      <c r="J26" s="16" t="n">
        <v>1</v>
      </c>
      <c r="K26" s="16" t="n">
        <v>38</v>
      </c>
      <c r="L26" s="16" t="inlineStr">
        <is>
          <t>29.10.2024 13:33:34</t>
        </is>
      </c>
      <c r="M26" s="16" t="inlineStr">
        <is>
          <t>9 min</t>
        </is>
      </c>
      <c r="N26" s="16" t="inlineStr">
        <is>
          <t xml:space="preserve">          7K            14K             4K</t>
        </is>
      </c>
      <c r="O26" s="16" t="inlineStr">
        <is>
          <t>DirQ7FDi1C5SZCy8ai1GTSvnm9o8MDf9s4C4cExzpump</t>
        </is>
      </c>
      <c r="P26" s="16">
        <f>HYPERLINK("https://photon-sol.tinyastro.io/en/lp/DirQ7FDi1C5SZCy8ai1GTSvnm9o8MDf9s4C4cExzpump?handle=676050794bc1b1657a56b", "View")</f>
        <v/>
      </c>
    </row>
    <row r="27">
      <c r="A27" s="19" t="inlineStr">
        <is>
          <t>Trina</t>
        </is>
      </c>
      <c r="B27" s="20" t="n">
        <v>585788</v>
      </c>
      <c r="C27" s="20" t="n">
        <v>585788</v>
      </c>
      <c r="D27" s="20" t="inlineStr">
        <is>
          <t>0.110010</t>
        </is>
      </c>
      <c r="E27" s="20" t="inlineStr">
        <is>
          <t>0.131 SOL</t>
        </is>
      </c>
      <c r="F27" s="20" t="inlineStr">
        <is>
          <t>0.120 SOL</t>
        </is>
      </c>
      <c r="G27" s="24" t="inlineStr">
        <is>
          <t>-0.122 SOL</t>
        </is>
      </c>
      <c r="H27" s="24" t="inlineStr">
        <is>
          <t>-50.37%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29.10.2024 13:22:12</t>
        </is>
      </c>
      <c r="M27" s="20" t="inlineStr">
        <is>
          <t>8 min</t>
        </is>
      </c>
      <c r="N27" s="20" t="inlineStr">
        <is>
          <t xml:space="preserve">         39K            35K             5K</t>
        </is>
      </c>
      <c r="O27" s="20" t="inlineStr">
        <is>
          <t>CsT44i2W2MWp23WQ2EqjorxZVVzuN4niw1cj1Qr5pump</t>
        </is>
      </c>
      <c r="P27" s="20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140"/>
  <sheetViews>
    <sheetView workbookViewId="0">
      <selection activeCell="A1" sqref="A1"/>
    </sheetView>
  </sheetViews>
  <sheetFormatPr baseColWidth="8" defaultRowHeight="15"/>
  <cols>
    <col width="46" customWidth="1" min="1" max="1"/>
    <col width="13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HYPERLINK("https://gmgn.ai/sol/address/JB6yZEJq23TmhhVroc4xTY5AdZjdfTqbscG7pqKt8yhU", "GMGN")</f>
        <v/>
      </c>
    </row>
    <row r="2">
      <c r="A2" s="3" t="inlineStr">
        <is>
          <t>JB6yZEJq23TmhhVroc4xTY5AdZjdfTqbscG7pqKt8yhU</t>
        </is>
      </c>
      <c r="B2" s="3" t="inlineStr">
        <is>
          <t>8.10 SOL</t>
        </is>
      </c>
      <c r="C2" s="3" t="inlineStr">
        <is>
          <t>44%</t>
        </is>
      </c>
      <c r="D2" s="3" t="inlineStr">
        <is>
          <t>0%</t>
        </is>
      </c>
      <c r="E2" s="3" t="inlineStr">
        <is>
          <t>-0.50 SOL</t>
        </is>
      </c>
      <c r="F2" s="3" t="inlineStr">
        <is>
          <t>22 (18%)</t>
        </is>
      </c>
      <c r="G2" s="3" t="inlineStr">
        <is>
          <t>0 (0%)</t>
        </is>
      </c>
      <c r="H2" s="3" t="n">
        <v>121</v>
      </c>
      <c r="I2" s="3" t="n">
        <v>0</v>
      </c>
      <c r="J2" s="3" t="inlineStr">
        <is>
          <t>15 days</t>
        </is>
      </c>
      <c r="K2" s="3" t="inlineStr">
        <is>
          <t>3 min</t>
        </is>
      </c>
      <c r="L2" s="3" t="n">
        <v>39</v>
      </c>
      <c r="M2" s="3" t="n">
        <v>293</v>
      </c>
      <c r="N2" s="3">
        <f>HYPERLINK("https://solscan.io/account/JB6yZEJq23TmhhVroc4xTY5AdZjdfTqbscG7pqKt8yhU", "Solscan")</f>
        <v/>
      </c>
    </row>
    <row r="3">
      <c r="A3" s="6" t="inlineStr">
        <is>
          <t>Median ROI</t>
        </is>
      </c>
      <c r="B3" s="5" t="inlineStr">
        <is>
          <t>-3.83%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HYPERLINK("https://birdeye.so/profile/JB6yZEJq23TmhhVroc4xTY5AdZjdfTqbscG7pqKt8yhU", "Birdeye")</f>
        <v/>
      </c>
    </row>
    <row r="4">
      <c r="A4" s="6" t="inlineStr">
        <is>
          <t>Rockets percent</t>
        </is>
      </c>
      <c r="B4" s="3" t="inlineStr">
        <is>
          <t>4%</t>
        </is>
      </c>
      <c r="C4" s="3" t="inlineStr"/>
      <c r="D4" s="3" t="inlineStr">
        <is>
          <t>143%</t>
        </is>
      </c>
      <c r="E4" s="3" t="inlineStr">
        <is>
          <t>380.69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15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1.3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5</v>
      </c>
      <c r="D10" s="6" t="n">
        <v>11</v>
      </c>
      <c r="E10" s="6" t="n">
        <v>37</v>
      </c>
      <c r="F10" s="6" t="n">
        <v>42</v>
      </c>
      <c r="G10" s="6" t="n">
        <v>26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4.1%</t>
        </is>
      </c>
      <c r="D11" s="6" t="inlineStr">
        <is>
          <t>9.1%</t>
        </is>
      </c>
      <c r="E11" s="6" t="inlineStr">
        <is>
          <t>30.6%</t>
        </is>
      </c>
      <c r="F11" s="6" t="inlineStr">
        <is>
          <t>34.7%</t>
        </is>
      </c>
      <c r="G11" s="6" t="inlineStr">
        <is>
          <t>21.5%</t>
        </is>
      </c>
      <c r="H11" s="3" t="n"/>
      <c r="I11" s="3" t="inlineStr">
        <is>
          <t>5k-30k</t>
        </is>
      </c>
      <c r="J11" s="3" t="inlineStr">
        <is>
          <t>43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21.0 SOL</t>
        </is>
      </c>
      <c r="D12" s="6" t="inlineStr">
        <is>
          <t>24.4 SOL</t>
        </is>
      </c>
      <c r="E12" s="6" t="inlineStr">
        <is>
          <t>12.1 SOL</t>
        </is>
      </c>
      <c r="F12" s="6" t="inlineStr">
        <is>
          <t>-15.0 SOL</t>
        </is>
      </c>
      <c r="G12" s="6" t="inlineStr">
        <is>
          <t>-43.1 SOL</t>
        </is>
      </c>
      <c r="H12" s="3" t="n"/>
      <c r="I12" s="3" t="inlineStr">
        <is>
          <t>30k-100k</t>
        </is>
      </c>
      <c r="J12" s="3" t="inlineStr">
        <is>
          <t>39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55.0K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KD</t>
        </is>
      </c>
      <c r="B20" s="16" t="n">
        <v>15101287</v>
      </c>
      <c r="C20" s="16" t="n">
        <v>0</v>
      </c>
      <c r="D20" s="16" t="inlineStr">
        <is>
          <t>0.000230</t>
        </is>
      </c>
      <c r="E20" s="16" t="inlineStr">
        <is>
          <t>2.040 SOL</t>
        </is>
      </c>
      <c r="F20" s="16" t="inlineStr">
        <is>
          <t>0.000 SOL</t>
        </is>
      </c>
      <c r="G20" s="17" t="inlineStr">
        <is>
          <t>-2.041 SOL</t>
        </is>
      </c>
      <c r="H20" s="17" t="inlineStr">
        <is>
          <t>0.00%</t>
        </is>
      </c>
      <c r="I20" s="16" t="inlineStr">
        <is>
          <t>15,101,287</t>
        </is>
      </c>
      <c r="J20" s="16" t="n">
        <v>1</v>
      </c>
      <c r="K20" s="16" t="n">
        <v>0</v>
      </c>
      <c r="L20" s="16" t="inlineStr">
        <is>
          <t>30.10.2024 19:22:49</t>
        </is>
      </c>
      <c r="M20" s="18" t="inlineStr">
        <is>
          <t>0 sec</t>
        </is>
      </c>
      <c r="N20" s="16" t="inlineStr">
        <is>
          <t xml:space="preserve">         25K            25K            29K</t>
        </is>
      </c>
      <c r="O20" s="16" t="inlineStr">
        <is>
          <t>2FE7XDgAt2RQZziL5oR8sdyNtdPUXNjQ5TEbcqcdpump</t>
        </is>
      </c>
      <c r="P20" s="16">
        <f>HYPERLINK("https://photon-sol.tinyastro.io/en/lp/2FE7XDgAt2RQZziL5oR8sdyNtdPUXNjQ5TEbcqcdpump?handle=676050794bc1b1657a56b", "View")</f>
        <v/>
      </c>
    </row>
    <row r="21">
      <c r="A21" s="19" t="inlineStr">
        <is>
          <t>SALLY</t>
        </is>
      </c>
      <c r="B21" s="20" t="n">
        <v>3485911</v>
      </c>
      <c r="C21" s="20" t="n">
        <v>3485911</v>
      </c>
      <c r="D21" s="20" t="inlineStr">
        <is>
          <t>0.002950</t>
        </is>
      </c>
      <c r="E21" s="20" t="inlineStr">
        <is>
          <t>1.500 SOL</t>
        </is>
      </c>
      <c r="F21" s="20" t="inlineStr">
        <is>
          <t>1.889 SOL</t>
        </is>
      </c>
      <c r="G21" s="22" t="inlineStr">
        <is>
          <t>0.386 SOL</t>
        </is>
      </c>
      <c r="H21" s="22" t="inlineStr">
        <is>
          <t>25.69%</t>
        </is>
      </c>
      <c r="I21" s="20" t="inlineStr">
        <is>
          <t>N/A</t>
        </is>
      </c>
      <c r="J21" s="20" t="n">
        <v>1</v>
      </c>
      <c r="K21" s="20" t="n">
        <v>3</v>
      </c>
      <c r="L21" s="20" t="inlineStr">
        <is>
          <t>30.10.2024 18:58:39</t>
        </is>
      </c>
      <c r="M21" s="18" t="inlineStr">
        <is>
          <t>56 sec</t>
        </is>
      </c>
      <c r="N21" s="20" t="inlineStr">
        <is>
          <t xml:space="preserve">         76K            79K            13K</t>
        </is>
      </c>
      <c r="O21" s="20" t="inlineStr">
        <is>
          <t>CBaXEiKBcFKb6nSBEkcRcDMkLRsptA1wUm51kuX4pump</t>
        </is>
      </c>
      <c r="P21" s="20">
        <f>HYPERLINK("https://dexscreener.com/solana/CBaXEiKBcFKb6nSBEkcRcDMkLRsptA1wUm51kuX4pump", "View")</f>
        <v/>
      </c>
    </row>
    <row r="22">
      <c r="A22" s="15" t="inlineStr">
        <is>
          <t>RUSTLUNG</t>
        </is>
      </c>
      <c r="B22" s="16" t="n">
        <v>4491493</v>
      </c>
      <c r="C22" s="16" t="n">
        <v>4491493</v>
      </c>
      <c r="D22" s="16" t="inlineStr">
        <is>
          <t>0.002190</t>
        </is>
      </c>
      <c r="E22" s="16" t="inlineStr">
        <is>
          <t>1.719 SOL</t>
        </is>
      </c>
      <c r="F22" s="16" t="inlineStr">
        <is>
          <t>1.534 SOL</t>
        </is>
      </c>
      <c r="G22" s="21" t="inlineStr">
        <is>
          <t>-0.187 SOL</t>
        </is>
      </c>
      <c r="H22" s="21" t="inlineStr">
        <is>
          <t>-10.89%</t>
        </is>
      </c>
      <c r="I22" s="16" t="inlineStr">
        <is>
          <t>N/A</t>
        </is>
      </c>
      <c r="J22" s="16" t="n">
        <v>1</v>
      </c>
      <c r="K22" s="16" t="n">
        <v>2</v>
      </c>
      <c r="L22" s="16" t="inlineStr">
        <is>
          <t>30.10.2024 18:56:47</t>
        </is>
      </c>
      <c r="M22" s="16" t="inlineStr">
        <is>
          <t>6 min</t>
        </is>
      </c>
      <c r="N22" s="16" t="inlineStr">
        <is>
          <t xml:space="preserve">         67K            58K             3K</t>
        </is>
      </c>
      <c r="O22" s="16" t="inlineStr">
        <is>
          <t>4u3uoiDGZEbVPQtEit5dT38VXiybKeVDiiCHVkQCpump</t>
        </is>
      </c>
      <c r="P22" s="16">
        <f>HYPERLINK("https://photon-sol.tinyastro.io/en/lp/4u3uoiDGZEbVPQtEit5dT38VXiybKeVDiiCHVkQCpump?handle=676050794bc1b1657a56b", "View")</f>
        <v/>
      </c>
    </row>
    <row r="23">
      <c r="A23" s="19" t="inlineStr">
        <is>
          <t>NOGAMBLING</t>
        </is>
      </c>
      <c r="B23" s="20" t="n">
        <v>5876835</v>
      </c>
      <c r="C23" s="20" t="n">
        <v>4050996</v>
      </c>
      <c r="D23" s="20" t="inlineStr">
        <is>
          <t>0.001860</t>
        </is>
      </c>
      <c r="E23" s="20" t="inlineStr">
        <is>
          <t>5.000 SOL</t>
        </is>
      </c>
      <c r="F23" s="20" t="inlineStr">
        <is>
          <t>9.711 SOL</t>
        </is>
      </c>
      <c r="G23" s="23" t="inlineStr">
        <is>
          <t>4.709 SOL</t>
        </is>
      </c>
      <c r="H23" s="23" t="inlineStr">
        <is>
          <t>94.15%</t>
        </is>
      </c>
      <c r="I23" s="20" t="inlineStr">
        <is>
          <t>N/A</t>
        </is>
      </c>
      <c r="J23" s="20" t="n">
        <v>2</v>
      </c>
      <c r="K23" s="20" t="n">
        <v>7</v>
      </c>
      <c r="L23" s="20" t="inlineStr">
        <is>
          <t>30.10.2024 18:05:32</t>
        </is>
      </c>
      <c r="M23" s="20" t="inlineStr">
        <is>
          <t>1 days</t>
        </is>
      </c>
      <c r="N23" s="20" t="inlineStr">
        <is>
          <t xml:space="preserve">        316K           258K           506K</t>
        </is>
      </c>
      <c r="O23" s="20" t="inlineStr">
        <is>
          <t>2odHeumkiJx46YyNHeZvDjMwsoNhpAgFQuipT96npump</t>
        </is>
      </c>
      <c r="P23" s="20">
        <f>HYPERLINK("https://dexscreener.com/solana/2odHeumkiJx46YyNHeZvDjMwsoNhpAgFQuipT96npump", "View")</f>
        <v/>
      </c>
    </row>
    <row r="24">
      <c r="A24" s="15" t="inlineStr">
        <is>
          <t>RISE</t>
        </is>
      </c>
      <c r="B24" s="16" t="n">
        <v>7629887</v>
      </c>
      <c r="C24" s="16" t="n">
        <v>7629887</v>
      </c>
      <c r="D24" s="16" t="inlineStr">
        <is>
          <t>0.054370</t>
        </is>
      </c>
      <c r="E24" s="16" t="inlineStr">
        <is>
          <t>1.783 SOL</t>
        </is>
      </c>
      <c r="F24" s="16" t="inlineStr">
        <is>
          <t>9.306 SOL</t>
        </is>
      </c>
      <c r="G24" s="23" t="inlineStr">
        <is>
          <t>7.469 SOL</t>
        </is>
      </c>
      <c r="H24" s="23" t="inlineStr">
        <is>
          <t>406.56%</t>
        </is>
      </c>
      <c r="I24" s="16" t="inlineStr">
        <is>
          <t>N/A</t>
        </is>
      </c>
      <c r="J24" s="16" t="n">
        <v>1</v>
      </c>
      <c r="K24" s="16" t="n">
        <v>18</v>
      </c>
      <c r="L24" s="16" t="inlineStr">
        <is>
          <t>30.10.2024 17:32:08</t>
        </is>
      </c>
      <c r="M24" s="16" t="inlineStr">
        <is>
          <t>7 hours</t>
        </is>
      </c>
      <c r="N24" s="16" t="inlineStr">
        <is>
          <t xml:space="preserve">         40K            40K            12K</t>
        </is>
      </c>
      <c r="O24" s="16" t="inlineStr">
        <is>
          <t>5ZrVb3GpZ6c9ukqLYgLxFdg8zgy7ttY4mZy6ngx9pump</t>
        </is>
      </c>
      <c r="P24" s="16">
        <f>HYPERLINK("https://photon-sol.tinyastro.io/en/lp/5ZrVb3GpZ6c9ukqLYgLxFdg8zgy7ttY4mZy6ngx9pump?handle=676050794bc1b1657a56b", "View")</f>
        <v/>
      </c>
    </row>
    <row r="25">
      <c r="A25" s="19" t="inlineStr">
        <is>
          <t>Marvin</t>
        </is>
      </c>
      <c r="B25" s="20" t="n">
        <v>8621341</v>
      </c>
      <c r="C25" s="20" t="n">
        <v>8621341</v>
      </c>
      <c r="D25" s="20" t="inlineStr">
        <is>
          <t>0.002110</t>
        </is>
      </c>
      <c r="E25" s="20" t="inlineStr">
        <is>
          <t>1.500 SOL</t>
        </is>
      </c>
      <c r="F25" s="20" t="inlineStr">
        <is>
          <t>1.239 SOL</t>
        </is>
      </c>
      <c r="G25" s="21" t="inlineStr">
        <is>
          <t>-0.263 SOL</t>
        </is>
      </c>
      <c r="H25" s="21" t="inlineStr">
        <is>
          <t>-17.54%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30.10.2024 11:07:02</t>
        </is>
      </c>
      <c r="M25" s="20" t="inlineStr">
        <is>
          <t>2 min</t>
        </is>
      </c>
      <c r="N25" s="20" t="inlineStr">
        <is>
          <t xml:space="preserve">         30K            30K            32K</t>
        </is>
      </c>
      <c r="O25" s="20" t="inlineStr">
        <is>
          <t>GpQQj55Sx5JULYrXY3jFyvF595WBh2DM7kjHmETsNXey</t>
        </is>
      </c>
      <c r="P25" s="20">
        <f>HYPERLINK("https://dexscreener.com/solana/GpQQj55Sx5JULYrXY3jFyvF595WBh2DM7kjHmETsNXey", "View")</f>
        <v/>
      </c>
    </row>
    <row r="26">
      <c r="A26" s="15" t="inlineStr">
        <is>
          <t>TATEMU</t>
        </is>
      </c>
      <c r="B26" s="16" t="n">
        <v>6379092</v>
      </c>
      <c r="C26" s="16" t="n">
        <v>6379092</v>
      </c>
      <c r="D26" s="16" t="inlineStr">
        <is>
          <t>0.002720</t>
        </is>
      </c>
      <c r="E26" s="16" t="inlineStr">
        <is>
          <t>1.500 SOL</t>
        </is>
      </c>
      <c r="F26" s="16" t="inlineStr">
        <is>
          <t>1.493 SOL</t>
        </is>
      </c>
      <c r="G26" s="21" t="inlineStr">
        <is>
          <t>-0.010 SOL</t>
        </is>
      </c>
      <c r="H26" s="21" t="inlineStr">
        <is>
          <t>-0.67%</t>
        </is>
      </c>
      <c r="I26" s="16" t="inlineStr">
        <is>
          <t>N/A</t>
        </is>
      </c>
      <c r="J26" s="16" t="n">
        <v>1</v>
      </c>
      <c r="K26" s="16" t="n">
        <v>2</v>
      </c>
      <c r="L26" s="16" t="inlineStr">
        <is>
          <t>30.10.2024 10:39:27</t>
        </is>
      </c>
      <c r="M26" s="16" t="inlineStr">
        <is>
          <t>1 min</t>
        </is>
      </c>
      <c r="N26" s="16" t="inlineStr">
        <is>
          <t xml:space="preserve">         42K            33K             3K</t>
        </is>
      </c>
      <c r="O26" s="16" t="inlineStr">
        <is>
          <t>5A93mmvgcXrKm7ypM53MteRX6qvXnsieH7BYFyqCpump</t>
        </is>
      </c>
      <c r="P26" s="16">
        <f>HYPERLINK("https://dexscreener.com/solana/5A93mmvgcXrKm7ypM53MteRX6qvXnsieH7BYFyqCpump", "View")</f>
        <v/>
      </c>
    </row>
    <row r="27">
      <c r="A27" s="19" t="inlineStr">
        <is>
          <t>Torin</t>
        </is>
      </c>
      <c r="B27" s="20" t="n">
        <v>10845903</v>
      </c>
      <c r="C27" s="20" t="n">
        <v>0</v>
      </c>
      <c r="D27" s="20" t="inlineStr">
        <is>
          <t>0.008430</t>
        </is>
      </c>
      <c r="E27" s="20" t="inlineStr">
        <is>
          <t>7.000 SOL</t>
        </is>
      </c>
      <c r="F27" s="20" t="inlineStr">
        <is>
          <t>0.000 SOL</t>
        </is>
      </c>
      <c r="G27" s="17" t="inlineStr">
        <is>
          <t>-7.008 SOL</t>
        </is>
      </c>
      <c r="H27" s="17" t="inlineStr">
        <is>
          <t>0.00%</t>
        </is>
      </c>
      <c r="I27" s="20" t="inlineStr">
        <is>
          <t>10,845,903</t>
        </is>
      </c>
      <c r="J27" s="20" t="n">
        <v>5</v>
      </c>
      <c r="K27" s="20" t="n">
        <v>0</v>
      </c>
      <c r="L27" s="20" t="inlineStr">
        <is>
          <t>30.10.2024 06:23:23</t>
        </is>
      </c>
      <c r="M27" s="20" t="inlineStr">
        <is>
          <t>2 min</t>
        </is>
      </c>
      <c r="N27" s="20" t="inlineStr">
        <is>
          <t xml:space="preserve">        128K            60K             7K</t>
        </is>
      </c>
      <c r="O27" s="20" t="inlineStr">
        <is>
          <t>ALKTKLRTyF3P83KMCAvGEtY4CsoMzvh1k38uixCgpump</t>
        </is>
      </c>
      <c r="P27" s="20">
        <f>HYPERLINK("https://dexscreener.com/solana/ALKTKLRTyF3P83KMCAvGEtY4CsoMzvh1k38uixCgpump", "View")</f>
        <v/>
      </c>
    </row>
    <row r="28">
      <c r="A28" s="15" t="inlineStr">
        <is>
          <t>cat&amp;doge</t>
        </is>
      </c>
      <c r="B28" s="16" t="n">
        <v>13318552</v>
      </c>
      <c r="C28" s="16" t="n">
        <v>13318552</v>
      </c>
      <c r="D28" s="16" t="inlineStr">
        <is>
          <t>0.000460</t>
        </is>
      </c>
      <c r="E28" s="16" t="inlineStr">
        <is>
          <t>2.040 SOL</t>
        </is>
      </c>
      <c r="F28" s="16" t="inlineStr">
        <is>
          <t>1.680 SOL</t>
        </is>
      </c>
      <c r="G28" s="21" t="inlineStr">
        <is>
          <t>-0.360 SOL</t>
        </is>
      </c>
      <c r="H28" s="21" t="inlineStr">
        <is>
          <t>-17.67%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30.10.2024 05:49:48</t>
        </is>
      </c>
      <c r="M28" s="16" t="inlineStr">
        <is>
          <t>1 min</t>
        </is>
      </c>
      <c r="N28" s="16" t="inlineStr">
        <is>
          <t xml:space="preserve">         26K            23K             4K</t>
        </is>
      </c>
      <c r="O28" s="16" t="inlineStr">
        <is>
          <t>9P4t93CPFrHCAbJZVojC9xBLoTygCyzRP5u9MRkpump</t>
        </is>
      </c>
      <c r="P28" s="16">
        <f>HYPERLINK("https://photon-sol.tinyastro.io/en/lp/9P4t93CPFrHCAbJZVojC9xBLoTygCyzRP5u9MRkpump?handle=676050794bc1b1657a56b", "View")</f>
        <v/>
      </c>
    </row>
    <row r="29">
      <c r="A29" s="19" t="inlineStr">
        <is>
          <t>NUNYU</t>
        </is>
      </c>
      <c r="B29" s="20" t="n">
        <v>12250522</v>
      </c>
      <c r="C29" s="20" t="n">
        <v>12250522</v>
      </c>
      <c r="D29" s="20" t="inlineStr">
        <is>
          <t>0.000460</t>
        </is>
      </c>
      <c r="E29" s="20" t="inlineStr">
        <is>
          <t>2.040 SOL</t>
        </is>
      </c>
      <c r="F29" s="20" t="inlineStr">
        <is>
          <t>2.667 SOL</t>
        </is>
      </c>
      <c r="G29" s="22" t="inlineStr">
        <is>
          <t>0.626 SOL</t>
        </is>
      </c>
      <c r="H29" s="22" t="inlineStr">
        <is>
          <t>30.69%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30.10.2024 05:46:25</t>
        </is>
      </c>
      <c r="M29" s="20" t="inlineStr">
        <is>
          <t>12 min</t>
        </is>
      </c>
      <c r="N29" s="20" t="inlineStr">
        <is>
          <t xml:space="preserve">         30K            39K             7K</t>
        </is>
      </c>
      <c r="O29" s="20" t="inlineStr">
        <is>
          <t>7bFBqaeE99Sxr5h44NnABK7dS7pTmsT6uRH7Dm5Vpump</t>
        </is>
      </c>
      <c r="P29" s="20">
        <f>HYPERLINK("https://photon-sol.tinyastro.io/en/lp/7bFBqaeE99Sxr5h44NnABK7dS7pTmsT6uRH7Dm5Vpump?handle=676050794bc1b1657a56b", "View")</f>
        <v/>
      </c>
    </row>
    <row r="30">
      <c r="A30" s="15" t="inlineStr">
        <is>
          <t>EAGLE</t>
        </is>
      </c>
      <c r="B30" s="16" t="n">
        <v>2522640</v>
      </c>
      <c r="C30" s="16" t="n">
        <v>2522640</v>
      </c>
      <c r="D30" s="16" t="inlineStr">
        <is>
          <t>0.003240</t>
        </is>
      </c>
      <c r="E30" s="16" t="inlineStr">
        <is>
          <t>3.000 SOL</t>
        </is>
      </c>
      <c r="F30" s="16" t="inlineStr">
        <is>
          <t>3.073 SOL</t>
        </is>
      </c>
      <c r="G30" s="22" t="inlineStr">
        <is>
          <t>0.070 SOL</t>
        </is>
      </c>
      <c r="H30" s="22" t="inlineStr">
        <is>
          <t>2.33%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30.10.2024 03:42:27</t>
        </is>
      </c>
      <c r="M30" s="16" t="inlineStr">
        <is>
          <t>3 min</t>
        </is>
      </c>
      <c r="N30" s="16" t="inlineStr">
        <is>
          <t xml:space="preserve">        209K           214K            11K</t>
        </is>
      </c>
      <c r="O30" s="16" t="inlineStr">
        <is>
          <t>FLayaUPfFxmC1Vz3i4ebKT9uwEVv4ribyCqENnQ9pump</t>
        </is>
      </c>
      <c r="P30" s="16">
        <f>HYPERLINK("https://dexscreener.com/solana/FLayaUPfFxmC1Vz3i4ebKT9uwEVv4ribyCqENnQ9pump", "View")</f>
        <v/>
      </c>
    </row>
    <row r="31">
      <c r="A31" s="19" t="inlineStr">
        <is>
          <t>heaven</t>
        </is>
      </c>
      <c r="B31" s="20" t="n">
        <v>8959994</v>
      </c>
      <c r="C31" s="20" t="n">
        <v>0</v>
      </c>
      <c r="D31" s="20" t="inlineStr">
        <is>
          <t>0.000110</t>
        </is>
      </c>
      <c r="E31" s="20" t="inlineStr">
        <is>
          <t>2.400 SOL</t>
        </is>
      </c>
      <c r="F31" s="20" t="inlineStr">
        <is>
          <t>0.000 SOL</t>
        </is>
      </c>
      <c r="G31" s="17" t="inlineStr">
        <is>
          <t>-2.400 SOL</t>
        </is>
      </c>
      <c r="H31" s="17" t="inlineStr">
        <is>
          <t>0.00%</t>
        </is>
      </c>
      <c r="I31" s="20" t="inlineStr">
        <is>
          <t>8,959,994</t>
        </is>
      </c>
      <c r="J31" s="20" t="n">
        <v>2</v>
      </c>
      <c r="K31" s="20" t="n">
        <v>0</v>
      </c>
      <c r="L31" s="20" t="inlineStr">
        <is>
          <t>29.10.2024 19:09:36</t>
        </is>
      </c>
      <c r="M31" s="20" t="inlineStr">
        <is>
          <t>9 days</t>
        </is>
      </c>
      <c r="N31" s="20" t="inlineStr">
        <is>
          <t xml:space="preserve">         27K            49K            30K</t>
        </is>
      </c>
      <c r="O31" s="20" t="inlineStr">
        <is>
          <t>BCqTynMqcPCod7s7BdjW2nQ1R3YZbrqTfs9MnB4ayQ6R</t>
        </is>
      </c>
      <c r="P31" s="20">
        <f>HYPERLINK("https://dexscreener.com/solana/BCqTynMqcPCod7s7BdjW2nQ1R3YZbrqTfs9MnB4ayQ6R", "View")</f>
        <v/>
      </c>
    </row>
    <row r="32">
      <c r="A32" s="15" t="inlineStr">
        <is>
          <t>PEPE</t>
        </is>
      </c>
      <c r="B32" s="16" t="n">
        <v>7549310</v>
      </c>
      <c r="C32" s="16" t="n">
        <v>7549310</v>
      </c>
      <c r="D32" s="16" t="inlineStr">
        <is>
          <t>0.007740</t>
        </is>
      </c>
      <c r="E32" s="16" t="inlineStr">
        <is>
          <t>3.000 SOL</t>
        </is>
      </c>
      <c r="F32" s="16" t="inlineStr">
        <is>
          <t>0.293 SOL</t>
        </is>
      </c>
      <c r="G32" s="24" t="inlineStr">
        <is>
          <t>-2.715 SOL</t>
        </is>
      </c>
      <c r="H32" s="24" t="inlineStr">
        <is>
          <t>-90.26%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29.10.2024 19:07:13</t>
        </is>
      </c>
      <c r="M32" s="16" t="inlineStr">
        <is>
          <t>1 min</t>
        </is>
      </c>
      <c r="N32" s="16" t="inlineStr">
        <is>
          <t xml:space="preserve">         70K             7K             4K</t>
        </is>
      </c>
      <c r="O32" s="16" t="inlineStr">
        <is>
          <t>3Hb3gAqZG6U5yX7tpS2GeLZwMwtzxhdCU9LYfMFctQKU</t>
        </is>
      </c>
      <c r="P32" s="16">
        <f>HYPERLINK("https://dexscreener.com/solana/3Hb3gAqZG6U5yX7tpS2GeLZwMwtzxhdCU9LYfMFctQKU", "View")</f>
        <v/>
      </c>
    </row>
    <row r="33">
      <c r="A33" s="19" t="inlineStr">
        <is>
          <t>DJLOLI</t>
        </is>
      </c>
      <c r="B33" s="20" t="n">
        <v>1387686</v>
      </c>
      <c r="C33" s="20" t="n">
        <v>1387686</v>
      </c>
      <c r="D33" s="20" t="inlineStr">
        <is>
          <t>0.000460</t>
        </is>
      </c>
      <c r="E33" s="20" t="inlineStr">
        <is>
          <t>2.000 SOL</t>
        </is>
      </c>
      <c r="F33" s="20" t="inlineStr">
        <is>
          <t>0.147 SOL</t>
        </is>
      </c>
      <c r="G33" s="24" t="inlineStr">
        <is>
          <t>-1.854 SOL</t>
        </is>
      </c>
      <c r="H33" s="24" t="inlineStr">
        <is>
          <t>-92.66%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29.10.2024 06:57:39</t>
        </is>
      </c>
      <c r="M33" s="20" t="inlineStr">
        <is>
          <t>3 days</t>
        </is>
      </c>
      <c r="N33" s="20" t="inlineStr">
        <is>
          <t xml:space="preserve">        253K           253K            19K</t>
        </is>
      </c>
      <c r="O33" s="20" t="inlineStr">
        <is>
          <t>5DNd2f9xTAJo1wKQ1aWswXrutbpWSzGoyyNHLLoTpump</t>
        </is>
      </c>
      <c r="P33" s="20">
        <f>HYPERLINK("https://dexscreener.com/solana/5DNd2f9xTAJo1wKQ1aWswXrutbpWSzGoyyNHLLoTpump", "View")</f>
        <v/>
      </c>
    </row>
    <row r="34">
      <c r="A34" s="15" t="inlineStr">
        <is>
          <t>Cody</t>
        </is>
      </c>
      <c r="B34" s="16" t="n">
        <v>841338</v>
      </c>
      <c r="C34" s="16" t="n">
        <v>841338</v>
      </c>
      <c r="D34" s="16" t="inlineStr">
        <is>
          <t>0.000920</t>
        </is>
      </c>
      <c r="E34" s="16" t="inlineStr">
        <is>
          <t>3.000 SOL</t>
        </is>
      </c>
      <c r="F34" s="16" t="inlineStr">
        <is>
          <t>0.072 SOL</t>
        </is>
      </c>
      <c r="G34" s="24" t="inlineStr">
        <is>
          <t>-2.929 SOL</t>
        </is>
      </c>
      <c r="H34" s="24" t="inlineStr">
        <is>
          <t>-97.60%</t>
        </is>
      </c>
      <c r="I34" s="16" t="inlineStr">
        <is>
          <t>N/A</t>
        </is>
      </c>
      <c r="J34" s="16" t="n">
        <v>3</v>
      </c>
      <c r="K34" s="16" t="n">
        <v>1</v>
      </c>
      <c r="L34" s="16" t="inlineStr">
        <is>
          <t>29.10.2024 06:57:24</t>
        </is>
      </c>
      <c r="M34" s="16" t="inlineStr">
        <is>
          <t>3 days</t>
        </is>
      </c>
      <c r="N34" s="16" t="inlineStr">
        <is>
          <t xml:space="preserve">        671K           537K            14K</t>
        </is>
      </c>
      <c r="O34" s="16" t="inlineStr">
        <is>
          <t>J7QoEcvcpieuDcuqrA9GZjunGQ3ofkGx4MzgyPmrpump</t>
        </is>
      </c>
      <c r="P34" s="16">
        <f>HYPERLINK("https://dexscreener.com/solana/J7QoEcvcpieuDcuqrA9GZjunGQ3ofkGx4MzgyPmrpump", "View")</f>
        <v/>
      </c>
    </row>
    <row r="35">
      <c r="A35" s="19" t="inlineStr">
        <is>
          <t>GIGA</t>
        </is>
      </c>
      <c r="B35" s="20" t="n">
        <v>267213484</v>
      </c>
      <c r="C35" s="20" t="n">
        <v>267213484</v>
      </c>
      <c r="D35" s="20" t="inlineStr">
        <is>
          <t>0.001440</t>
        </is>
      </c>
      <c r="E35" s="20" t="inlineStr">
        <is>
          <t>1.000 SOL</t>
        </is>
      </c>
      <c r="F35" s="20" t="inlineStr">
        <is>
          <t>0.740 SOL</t>
        </is>
      </c>
      <c r="G35" s="21" t="inlineStr">
        <is>
          <t>-0.262 SOL</t>
        </is>
      </c>
      <c r="H35" s="21" t="inlineStr">
        <is>
          <t>-26.14%</t>
        </is>
      </c>
      <c r="I35" s="20" t="inlineStr">
        <is>
          <t>N/A</t>
        </is>
      </c>
      <c r="J35" s="20" t="n">
        <v>1</v>
      </c>
      <c r="K35" s="20" t="n">
        <v>2</v>
      </c>
      <c r="L35" s="20" t="inlineStr">
        <is>
          <t>26.10.2024 04:54:44</t>
        </is>
      </c>
      <c r="M35" s="18" t="inlineStr">
        <is>
          <t>45 sec</t>
        </is>
      </c>
      <c r="N35" s="20" t="inlineStr">
        <is>
          <t xml:space="preserve">        N/A           N/A             5K</t>
        </is>
      </c>
      <c r="O35" s="20" t="inlineStr">
        <is>
          <t>GiGayHvWrr9hQwoHRcHZeyGdPe7irKtL1n77ojA6qLuj</t>
        </is>
      </c>
      <c r="P35" s="20">
        <f>HYPERLINK("https://dexscreener.com/solana/GiGayHvWrr9hQwoHRcHZeyGdPe7irKtL1n77ojA6qLuj", "View")</f>
        <v/>
      </c>
    </row>
    <row r="36">
      <c r="A36" s="15" t="inlineStr">
        <is>
          <t>NUKETARDIO</t>
        </is>
      </c>
      <c r="B36" s="16" t="n">
        <v>12294348</v>
      </c>
      <c r="C36" s="16" t="n">
        <v>12294348</v>
      </c>
      <c r="D36" s="16" t="inlineStr">
        <is>
          <t>0.000460</t>
        </is>
      </c>
      <c r="E36" s="16" t="inlineStr">
        <is>
          <t>2.013 SOL</t>
        </is>
      </c>
      <c r="F36" s="16" t="inlineStr">
        <is>
          <t>0.859 SOL</t>
        </is>
      </c>
      <c r="G36" s="24" t="inlineStr">
        <is>
          <t>-1.154 SOL</t>
        </is>
      </c>
      <c r="H36" s="24" t="inlineStr">
        <is>
          <t>-57.34%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26.10.2024 01:49:31</t>
        </is>
      </c>
      <c r="M36" s="16" t="inlineStr">
        <is>
          <t>1 hours</t>
        </is>
      </c>
      <c r="N36" s="16" t="inlineStr">
        <is>
          <t xml:space="preserve">         28K            28K             6K</t>
        </is>
      </c>
      <c r="O36" s="16" t="inlineStr">
        <is>
          <t>D7TCisybHpeJTr2dhpceJgLhacKmvTnHfC95chm3pump</t>
        </is>
      </c>
      <c r="P36" s="16">
        <f>HYPERLINK("https://photon-sol.tinyastro.io/en/lp/D7TCisybHpeJTr2dhpceJgLhacKmvTnHfC95chm3pump?handle=676050794bc1b1657a56b", "View")</f>
        <v/>
      </c>
    </row>
    <row r="37">
      <c r="A37" s="19" t="inlineStr">
        <is>
          <t>LLM</t>
        </is>
      </c>
      <c r="B37" s="20" t="n">
        <v>1853658</v>
      </c>
      <c r="C37" s="20" t="n">
        <v>1853658</v>
      </c>
      <c r="D37" s="20" t="inlineStr">
        <is>
          <t>0.000840</t>
        </is>
      </c>
      <c r="E37" s="20" t="inlineStr">
        <is>
          <t>1.000 SOL</t>
        </is>
      </c>
      <c r="F37" s="20" t="inlineStr">
        <is>
          <t>0.081 SOL</t>
        </is>
      </c>
      <c r="G37" s="24" t="inlineStr">
        <is>
          <t>-0.919 SOL</t>
        </is>
      </c>
      <c r="H37" s="24" t="inlineStr">
        <is>
          <t>-91.86%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25.10.2024 23:27:48</t>
        </is>
      </c>
      <c r="M37" s="20" t="inlineStr">
        <is>
          <t>24 min</t>
        </is>
      </c>
      <c r="N37" s="20" t="inlineStr">
        <is>
          <t xml:space="preserve">         95K            95K             5K</t>
        </is>
      </c>
      <c r="O37" s="20" t="inlineStr">
        <is>
          <t>4RAauo2MmPWnKUdUUM6TxRRmXKMYKysMjYctB5yQpump</t>
        </is>
      </c>
      <c r="P37" s="20">
        <f>HYPERLINK("https://dexscreener.com/solana/4RAauo2MmPWnKUdUUM6TxRRmXKMYKysMjYctB5yQpump", "View")</f>
        <v/>
      </c>
    </row>
    <row r="38">
      <c r="A38" s="15" t="inlineStr">
        <is>
          <t>MOOTUN</t>
        </is>
      </c>
      <c r="B38" s="16" t="n">
        <v>10290193</v>
      </c>
      <c r="C38" s="16" t="n">
        <v>10290193</v>
      </c>
      <c r="D38" s="16" t="inlineStr">
        <is>
          <t>0.000460</t>
        </is>
      </c>
      <c r="E38" s="16" t="inlineStr">
        <is>
          <t>2.000 SOL</t>
        </is>
      </c>
      <c r="F38" s="16" t="inlineStr">
        <is>
          <t>2.053 SOL</t>
        </is>
      </c>
      <c r="G38" s="22" t="inlineStr">
        <is>
          <t>0.053 SOL</t>
        </is>
      </c>
      <c r="H38" s="22" t="inlineStr">
        <is>
          <t>2.64%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25.10.2024 21:40:00</t>
        </is>
      </c>
      <c r="M38" s="16" t="inlineStr">
        <is>
          <t>1 min</t>
        </is>
      </c>
      <c r="N38" s="16" t="inlineStr">
        <is>
          <t xml:space="preserve">         33K            35K            16K</t>
        </is>
      </c>
      <c r="O38" s="16" t="inlineStr">
        <is>
          <t>CzFjtyyTucuL4ijGvNvwnd7svmJzQyxdkCxPYbKbpump</t>
        </is>
      </c>
      <c r="P38" s="16">
        <f>HYPERLINK("https://dexscreener.com/solana/CzFjtyyTucuL4ijGvNvwnd7svmJzQyxdkCxPYbKbpump", "View")</f>
        <v/>
      </c>
    </row>
    <row r="39">
      <c r="A39" s="19" t="inlineStr">
        <is>
          <t>TERCON</t>
        </is>
      </c>
      <c r="B39" s="20" t="n">
        <v>1516523</v>
      </c>
      <c r="C39" s="20" t="n">
        <v>1516523</v>
      </c>
      <c r="D39" s="20" t="inlineStr">
        <is>
          <t>0.000460</t>
        </is>
      </c>
      <c r="E39" s="20" t="inlineStr">
        <is>
          <t>2.000 SOL</t>
        </is>
      </c>
      <c r="F39" s="20" t="inlineStr">
        <is>
          <t>0.140 SOL</t>
        </is>
      </c>
      <c r="G39" s="24" t="inlineStr">
        <is>
          <t>-1.860 SOL</t>
        </is>
      </c>
      <c r="H39" s="24" t="inlineStr">
        <is>
          <t>-92.98%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25.10.2024 20:21:23</t>
        </is>
      </c>
      <c r="M39" s="20" t="inlineStr">
        <is>
          <t>11 min</t>
        </is>
      </c>
      <c r="N39" s="20" t="inlineStr">
        <is>
          <t xml:space="preserve">        232K           232K             5K</t>
        </is>
      </c>
      <c r="O39" s="20" t="inlineStr">
        <is>
          <t>6i8Ge6jeHEQpgKX92aLJzFs3JfdA4eQgWbDkHLspump</t>
        </is>
      </c>
      <c r="P39" s="20">
        <f>HYPERLINK("https://dexscreener.com/solana/6i8Ge6jeHEQpgKX92aLJzFs3JfdA4eQgWbDkHLspump", "View")</f>
        <v/>
      </c>
    </row>
    <row r="40">
      <c r="A40" s="15" t="inlineStr">
        <is>
          <t>USDT</t>
        </is>
      </c>
      <c r="B40" s="16" t="n">
        <v>6849993</v>
      </c>
      <c r="C40" s="16" t="n">
        <v>6849993</v>
      </c>
      <c r="D40" s="16" t="inlineStr">
        <is>
          <t>0.001820</t>
        </is>
      </c>
      <c r="E40" s="16" t="inlineStr">
        <is>
          <t>2.282 SOL</t>
        </is>
      </c>
      <c r="F40" s="16" t="inlineStr">
        <is>
          <t>0.726 SOL</t>
        </is>
      </c>
      <c r="G40" s="24" t="inlineStr">
        <is>
          <t>-1.558 SOL</t>
        </is>
      </c>
      <c r="H40" s="24" t="inlineStr">
        <is>
          <t>-68.22%</t>
        </is>
      </c>
      <c r="I40" s="16" t="inlineStr">
        <is>
          <t>N/A</t>
        </is>
      </c>
      <c r="J40" s="16" t="n">
        <v>2</v>
      </c>
      <c r="K40" s="16" t="n">
        <v>1</v>
      </c>
      <c r="L40" s="16" t="inlineStr">
        <is>
          <t>25.10.2024 18:15:06</t>
        </is>
      </c>
      <c r="M40" s="16" t="inlineStr">
        <is>
          <t>2 min</t>
        </is>
      </c>
      <c r="N40" s="16" t="inlineStr">
        <is>
          <t xml:space="preserve">        N/A           N/A           N/A</t>
        </is>
      </c>
      <c r="O40" s="16" t="inlineStr">
        <is>
          <t>EgrtUz4SZWKvimDDLAxye3QZy23qmijqVUXwAJZQpump</t>
        </is>
      </c>
      <c r="P40" s="16">
        <f>HYPERLINK("https://photon-sol.tinyastro.io/en/lp/EgrtUz4SZWKvimDDLAxye3QZy23qmijqVUXwAJZQpump?handle=676050794bc1b1657a56b", "View")</f>
        <v/>
      </c>
    </row>
    <row r="41">
      <c r="A41" s="19" t="inlineStr">
        <is>
          <t>solana</t>
        </is>
      </c>
      <c r="B41" s="20" t="n">
        <v>14462742</v>
      </c>
      <c r="C41" s="20" t="n">
        <v>14462742</v>
      </c>
      <c r="D41" s="20" t="inlineStr">
        <is>
          <t>0.001440</t>
        </is>
      </c>
      <c r="E41" s="20" t="inlineStr">
        <is>
          <t>1.240 SOL</t>
        </is>
      </c>
      <c r="F41" s="20" t="inlineStr">
        <is>
          <t>1.562 SOL</t>
        </is>
      </c>
      <c r="G41" s="22" t="inlineStr">
        <is>
          <t>0.321 SOL</t>
        </is>
      </c>
      <c r="H41" s="22" t="inlineStr">
        <is>
          <t>25.85%</t>
        </is>
      </c>
      <c r="I41" s="20" t="inlineStr">
        <is>
          <t>N/A</t>
        </is>
      </c>
      <c r="J41" s="20" t="n">
        <v>1</v>
      </c>
      <c r="K41" s="20" t="n">
        <v>2</v>
      </c>
      <c r="L41" s="20" t="inlineStr">
        <is>
          <t>25.10.2024 18:05:37</t>
        </is>
      </c>
      <c r="M41" s="18" t="inlineStr">
        <is>
          <t>43 sec</t>
        </is>
      </c>
      <c r="N41" s="20" t="inlineStr">
        <is>
          <t xml:space="preserve">         16K            18K             6K</t>
        </is>
      </c>
      <c r="O41" s="20" t="inlineStr">
        <is>
          <t>F2jxE1hXAaadtZ5TJrowzU69Q6vsUP9bGXrXzgGvpump</t>
        </is>
      </c>
      <c r="P41" s="20">
        <f>HYPERLINK("https://photon-sol.tinyastro.io/en/lp/F2jxE1hXAaadtZ5TJrowzU69Q6vsUP9bGXrXzgGvpump?handle=676050794bc1b1657a56b", "View")</f>
        <v/>
      </c>
    </row>
    <row r="42">
      <c r="A42" s="15" t="inlineStr">
        <is>
          <t>CMRD</t>
        </is>
      </c>
      <c r="B42" s="16" t="n">
        <v>30467284</v>
      </c>
      <c r="C42" s="16" t="n">
        <v>30467284</v>
      </c>
      <c r="D42" s="16" t="inlineStr">
        <is>
          <t>0.020840</t>
        </is>
      </c>
      <c r="E42" s="16" t="inlineStr">
        <is>
          <t>1.192 SOL</t>
        </is>
      </c>
      <c r="F42" s="16" t="inlineStr">
        <is>
          <t>1.772 SOL</t>
        </is>
      </c>
      <c r="G42" s="22" t="inlineStr">
        <is>
          <t>0.560 SOL</t>
        </is>
      </c>
      <c r="H42" s="22" t="inlineStr">
        <is>
          <t>46.16%</t>
        </is>
      </c>
      <c r="I42" s="16" t="inlineStr">
        <is>
          <t>N/A</t>
        </is>
      </c>
      <c r="J42" s="16" t="n">
        <v>1</v>
      </c>
      <c r="K42" s="16" t="n">
        <v>2</v>
      </c>
      <c r="L42" s="16" t="inlineStr">
        <is>
          <t>25.10.2024 17:56:49</t>
        </is>
      </c>
      <c r="M42" s="18" t="inlineStr">
        <is>
          <t>23 sec</t>
        </is>
      </c>
      <c r="N42" s="16" t="inlineStr">
        <is>
          <t xml:space="preserve">          7K            11K             5K</t>
        </is>
      </c>
      <c r="O42" s="16" t="inlineStr">
        <is>
          <t>9dmKcmtpHp2qvXEF5W52F4ZtJQNZfs4b7FEdituipump</t>
        </is>
      </c>
      <c r="P42" s="16">
        <f>HYPERLINK("https://photon-sol.tinyastro.io/en/lp/9dmKcmtpHp2qvXEF5W52F4ZtJQNZfs4b7FEdituipump?handle=676050794bc1b1657a56b", "View")</f>
        <v/>
      </c>
    </row>
    <row r="43">
      <c r="A43" s="19" t="inlineStr">
        <is>
          <t>FEET</t>
        </is>
      </c>
      <c r="B43" s="20" t="n">
        <v>14613742</v>
      </c>
      <c r="C43" s="20" t="n">
        <v>14613742</v>
      </c>
      <c r="D43" s="20" t="inlineStr">
        <is>
          <t>0.000460</t>
        </is>
      </c>
      <c r="E43" s="20" t="inlineStr">
        <is>
          <t>2.000 SOL</t>
        </is>
      </c>
      <c r="F43" s="20" t="inlineStr">
        <is>
          <t>0.703 SOL</t>
        </is>
      </c>
      <c r="G43" s="24" t="inlineStr">
        <is>
          <t>-1.297 SOL</t>
        </is>
      </c>
      <c r="H43" s="24" t="inlineStr">
        <is>
          <t>-64.85%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25.10.2024 04:25:02</t>
        </is>
      </c>
      <c r="M43" s="20" t="inlineStr">
        <is>
          <t>3 hours</t>
        </is>
      </c>
      <c r="N43" s="20" t="inlineStr">
        <is>
          <t xml:space="preserve">         25K             9K             5K</t>
        </is>
      </c>
      <c r="O43" s="20" t="inlineStr">
        <is>
          <t>G515b4yGR2PfSzM7HLGFF5KBxw1XQ3f3MU8eqgWHpump</t>
        </is>
      </c>
      <c r="P43" s="20">
        <f>HYPERLINK("https://dexscreener.com/solana/G515b4yGR2PfSzM7HLGFF5KBxw1XQ3f3MU8eqgWHpump", "View")</f>
        <v/>
      </c>
    </row>
    <row r="44">
      <c r="A44" s="15" t="inlineStr">
        <is>
          <t>CHAOS</t>
        </is>
      </c>
      <c r="B44" s="16" t="n">
        <v>35473820</v>
      </c>
      <c r="C44" s="16" t="n">
        <v>35473820</v>
      </c>
      <c r="D44" s="16" t="inlineStr">
        <is>
          <t>0.007740</t>
        </is>
      </c>
      <c r="E44" s="16" t="inlineStr">
        <is>
          <t>2.048 SOL</t>
        </is>
      </c>
      <c r="F44" s="16" t="inlineStr">
        <is>
          <t>4.965 SOL</t>
        </is>
      </c>
      <c r="G44" s="23" t="inlineStr">
        <is>
          <t>2.910 SOL</t>
        </is>
      </c>
      <c r="H44" s="23" t="inlineStr">
        <is>
          <t>141.59%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25.10.2024 04:14:07</t>
        </is>
      </c>
      <c r="M44" s="16" t="inlineStr">
        <is>
          <t>2 hours</t>
        </is>
      </c>
      <c r="N44" s="16" t="inlineStr">
        <is>
          <t xml:space="preserve">         11K            25K             2M</t>
        </is>
      </c>
      <c r="O44" s="16" t="inlineStr">
        <is>
          <t>8SgNwESovnbG1oNEaPVhg6CR9mTMSK7jPvcYRe3wpump</t>
        </is>
      </c>
      <c r="P44" s="16">
        <f>HYPERLINK("https://photon-sol.tinyastro.io/en/lp/8SgNwESovnbG1oNEaPVhg6CR9mTMSK7jPvcYRe3wpump?handle=676050794bc1b1657a56b", "View")</f>
        <v/>
      </c>
    </row>
    <row r="45">
      <c r="A45" s="19" t="inlineStr">
        <is>
          <t>OS1</t>
        </is>
      </c>
      <c r="B45" s="20" t="n">
        <v>11347602</v>
      </c>
      <c r="C45" s="20" t="n">
        <v>11347602</v>
      </c>
      <c r="D45" s="20" t="inlineStr">
        <is>
          <t>0.000460</t>
        </is>
      </c>
      <c r="E45" s="20" t="inlineStr">
        <is>
          <t>2.563 SOL</t>
        </is>
      </c>
      <c r="F45" s="20" t="inlineStr">
        <is>
          <t>4.106 SOL</t>
        </is>
      </c>
      <c r="G45" s="23" t="inlineStr">
        <is>
          <t>1.543 SOL</t>
        </is>
      </c>
      <c r="H45" s="23" t="inlineStr">
        <is>
          <t>60.19%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25.10.2024 01:04:32</t>
        </is>
      </c>
      <c r="M45" s="18" t="inlineStr">
        <is>
          <t>8 sec</t>
        </is>
      </c>
      <c r="N45" s="20" t="inlineStr">
        <is>
          <t xml:space="preserve">         40K            63K             6K</t>
        </is>
      </c>
      <c r="O45" s="20" t="inlineStr">
        <is>
          <t>3TQWft46kwQUB4p1p35wSYwX8oUsgkhz6igG9dgxpump</t>
        </is>
      </c>
      <c r="P45" s="20">
        <f>HYPERLINK("https://photon-sol.tinyastro.io/en/lp/3TQWft46kwQUB4p1p35wSYwX8oUsgkhz6igG9dgxpump?handle=676050794bc1b1657a56b", "View")</f>
        <v/>
      </c>
    </row>
    <row r="46">
      <c r="A46" s="15" t="inlineStr">
        <is>
          <t>HAUCH</t>
        </is>
      </c>
      <c r="B46" s="16" t="n">
        <v>20458984</v>
      </c>
      <c r="C46" s="16" t="n">
        <v>20458984</v>
      </c>
      <c r="D46" s="16" t="inlineStr">
        <is>
          <t>0.007970</t>
        </is>
      </c>
      <c r="E46" s="16" t="inlineStr">
        <is>
          <t>4.949 SOL</t>
        </is>
      </c>
      <c r="F46" s="16" t="inlineStr">
        <is>
          <t>2.668 SOL</t>
        </is>
      </c>
      <c r="G46" s="21" t="inlineStr">
        <is>
          <t>-2.289 SOL</t>
        </is>
      </c>
      <c r="H46" s="21" t="inlineStr">
        <is>
          <t>-46.18%</t>
        </is>
      </c>
      <c r="I46" s="16" t="inlineStr">
        <is>
          <t>N/A</t>
        </is>
      </c>
      <c r="J46" s="16" t="n">
        <v>2</v>
      </c>
      <c r="K46" s="16" t="n">
        <v>1</v>
      </c>
      <c r="L46" s="16" t="inlineStr">
        <is>
          <t>25.10.2024 00:42:05</t>
        </is>
      </c>
      <c r="M46" s="16" t="inlineStr">
        <is>
          <t>1 min</t>
        </is>
      </c>
      <c r="N46" s="16" t="inlineStr">
        <is>
          <t xml:space="preserve">         58K            23K             6K</t>
        </is>
      </c>
      <c r="O46" s="16" t="inlineStr">
        <is>
          <t>32hDH2xh76ELNnKSnyAYff5D4oyaKvKnir37XLUwpump</t>
        </is>
      </c>
      <c r="P46" s="16">
        <f>HYPERLINK("https://photon-sol.tinyastro.io/en/lp/32hDH2xh76ELNnKSnyAYff5D4oyaKvKnir37XLUwpump?handle=676050794bc1b1657a56b", "View")</f>
        <v/>
      </c>
    </row>
    <row r="47">
      <c r="A47" s="19" t="inlineStr">
        <is>
          <t>🎁</t>
        </is>
      </c>
      <c r="B47" s="20" t="n">
        <v>4105259</v>
      </c>
      <c r="C47" s="20" t="n">
        <v>4105259</v>
      </c>
      <c r="D47" s="20" t="inlineStr">
        <is>
          <t>0.000460</t>
        </is>
      </c>
      <c r="E47" s="20" t="inlineStr">
        <is>
          <t>1.666 SOL</t>
        </is>
      </c>
      <c r="F47" s="20" t="inlineStr">
        <is>
          <t>1.453 SOL</t>
        </is>
      </c>
      <c r="G47" s="21" t="inlineStr">
        <is>
          <t>-0.213 SOL</t>
        </is>
      </c>
      <c r="H47" s="21" t="inlineStr">
        <is>
          <t>-12.78%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24.10.2024 23:55:59</t>
        </is>
      </c>
      <c r="M47" s="20" t="inlineStr">
        <is>
          <t>2 min</t>
        </is>
      </c>
      <c r="N47" s="20" t="inlineStr">
        <is>
          <t xml:space="preserve">         72K            61K             5K</t>
        </is>
      </c>
      <c r="O47" s="20" t="inlineStr">
        <is>
          <t>8yqCfGyyc9vTkih73KoGXfB6RyZAMKYepZPu8upNpump</t>
        </is>
      </c>
      <c r="P47" s="20">
        <f>HYPERLINK("https://photon-sol.tinyastro.io/en/lp/8yqCfGyyc9vTkih73KoGXfB6RyZAMKYepZPu8upNpump?handle=676050794bc1b1657a56b", "View")</f>
        <v/>
      </c>
    </row>
    <row r="48">
      <c r="A48" s="15" t="inlineStr">
        <is>
          <t>SENIOR</t>
        </is>
      </c>
      <c r="B48" s="16" t="n">
        <v>5947062</v>
      </c>
      <c r="C48" s="16" t="n">
        <v>5947062</v>
      </c>
      <c r="D48" s="16" t="inlineStr">
        <is>
          <t>0.007740</t>
        </is>
      </c>
      <c r="E48" s="16" t="inlineStr">
        <is>
          <t>3.000 SOL</t>
        </is>
      </c>
      <c r="F48" s="16" t="inlineStr">
        <is>
          <t>4.952 SOL</t>
        </is>
      </c>
      <c r="G48" s="23" t="inlineStr">
        <is>
          <t>1.944 SOL</t>
        </is>
      </c>
      <c r="H48" s="23" t="inlineStr">
        <is>
          <t>64.63%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24.10.2024 23:33:35</t>
        </is>
      </c>
      <c r="M48" s="18" t="inlineStr">
        <is>
          <t>52 sec</t>
        </is>
      </c>
      <c r="N48" s="16" t="inlineStr">
        <is>
          <t xml:space="preserve">         88K           146K             4K</t>
        </is>
      </c>
      <c r="O48" s="16" t="inlineStr">
        <is>
          <t>rrH27XxU4G6hwWkpFsmvfwVRf8D7RSGsUSytMuqpump</t>
        </is>
      </c>
      <c r="P48" s="16">
        <f>HYPERLINK("https://dexscreener.com/solana/rrH27XxU4G6hwWkpFsmvfwVRf8D7RSGsUSytMuqpump", "View")</f>
        <v/>
      </c>
    </row>
    <row r="49">
      <c r="A49" s="19" t="inlineStr">
        <is>
          <t>BSHIBA</t>
        </is>
      </c>
      <c r="B49" s="20" t="n">
        <v>15377753</v>
      </c>
      <c r="C49" s="20" t="n">
        <v>15377753</v>
      </c>
      <c r="D49" s="20" t="inlineStr">
        <is>
          <t>0.000460</t>
        </is>
      </c>
      <c r="E49" s="20" t="inlineStr">
        <is>
          <t>1.642 SOL</t>
        </is>
      </c>
      <c r="F49" s="20" t="inlineStr">
        <is>
          <t>0.607 SOL</t>
        </is>
      </c>
      <c r="G49" s="24" t="inlineStr">
        <is>
          <t>-1.035 SOL</t>
        </is>
      </c>
      <c r="H49" s="24" t="inlineStr">
        <is>
          <t>-63.04%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24.10.2024 23:28:51</t>
        </is>
      </c>
      <c r="M49" s="20" t="inlineStr">
        <is>
          <t>2 min</t>
        </is>
      </c>
      <c r="N49" s="20" t="inlineStr">
        <is>
          <t xml:space="preserve">         19K             7K             5K</t>
        </is>
      </c>
      <c r="O49" s="20" t="inlineStr">
        <is>
          <t>BsoUXKUJjiZscyU17J9cCQvF8g4uRsz8Akoi9yQcpump</t>
        </is>
      </c>
      <c r="P49" s="20">
        <f>HYPERLINK("https://photon-sol.tinyastro.io/en/lp/BsoUXKUJjiZscyU17J9cCQvF8g4uRsz8Akoi9yQcpump?handle=676050794bc1b1657a56b", "View")</f>
        <v/>
      </c>
    </row>
    <row r="50">
      <c r="A50" s="15" t="inlineStr">
        <is>
          <t>MAYO</t>
        </is>
      </c>
      <c r="B50" s="16" t="n">
        <v>113372</v>
      </c>
      <c r="C50" s="16" t="n">
        <v>113372</v>
      </c>
      <c r="D50" s="16" t="inlineStr">
        <is>
          <t>0.000460</t>
        </is>
      </c>
      <c r="E50" s="16" t="inlineStr">
        <is>
          <t>1.500 SOL</t>
        </is>
      </c>
      <c r="F50" s="16" t="inlineStr">
        <is>
          <t>1.493 SOL</t>
        </is>
      </c>
      <c r="G50" s="21" t="inlineStr">
        <is>
          <t>-0.008 SOL</t>
        </is>
      </c>
      <c r="H50" s="21" t="inlineStr">
        <is>
          <t>-0.53%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24.10.2024 23:27:06</t>
        </is>
      </c>
      <c r="M50" s="18" t="inlineStr">
        <is>
          <t>9 sec</t>
        </is>
      </c>
      <c r="N50" s="16" t="inlineStr">
        <is>
          <t xml:space="preserve">          2M             2M             1M</t>
        </is>
      </c>
      <c r="O50" s="16" t="inlineStr">
        <is>
          <t>GB2RP1BbGnFvB62UMzWJ8b5BW8hYcEmwVtkh2ADKpump</t>
        </is>
      </c>
      <c r="P50" s="16">
        <f>HYPERLINK("https://dexscreener.com/solana/GB2RP1BbGnFvB62UMzWJ8b5BW8hYcEmwVtkh2ADKpump", "View")</f>
        <v/>
      </c>
    </row>
    <row r="51">
      <c r="A51" s="19" t="inlineStr">
        <is>
          <t>trent</t>
        </is>
      </c>
      <c r="B51" s="20" t="n">
        <v>6904800</v>
      </c>
      <c r="C51" s="20" t="n">
        <v>6904800</v>
      </c>
      <c r="D51" s="20" t="inlineStr">
        <is>
          <t>0.007740</t>
        </is>
      </c>
      <c r="E51" s="20" t="inlineStr">
        <is>
          <t>2.134 SOL</t>
        </is>
      </c>
      <c r="F51" s="20" t="inlineStr">
        <is>
          <t>0.951 SOL</t>
        </is>
      </c>
      <c r="G51" s="24" t="inlineStr">
        <is>
          <t>-1.191 SOL</t>
        </is>
      </c>
      <c r="H51" s="24" t="inlineStr">
        <is>
          <t>-55.60%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24.10.2024 23:25:42</t>
        </is>
      </c>
      <c r="M51" s="18" t="inlineStr">
        <is>
          <t>19 sec</t>
        </is>
      </c>
      <c r="N51" s="20" t="inlineStr">
        <is>
          <t xml:space="preserve">         54K            25K             5K</t>
        </is>
      </c>
      <c r="O51" s="20" t="inlineStr">
        <is>
          <t>CQLhG9uZHUtKkupaiDjWy23jmytj1fKdMMeuJk4dpump</t>
        </is>
      </c>
      <c r="P51" s="20">
        <f>HYPERLINK("https://photon-sol.tinyastro.io/en/lp/CQLhG9uZHUtKkupaiDjWy23jmytj1fKdMMeuJk4dpump?handle=676050794bc1b1657a56b", "View")</f>
        <v/>
      </c>
    </row>
    <row r="52">
      <c r="A52" s="15" t="inlineStr">
        <is>
          <t>gpt5</t>
        </is>
      </c>
      <c r="B52" s="16" t="n">
        <v>13888622</v>
      </c>
      <c r="C52" s="16" t="n">
        <v>13888622</v>
      </c>
      <c r="D52" s="16" t="inlineStr">
        <is>
          <t>0.020840</t>
        </is>
      </c>
      <c r="E52" s="16" t="inlineStr">
        <is>
          <t>2.722 SOL</t>
        </is>
      </c>
      <c r="F52" s="16" t="inlineStr">
        <is>
          <t>5.393 SOL</t>
        </is>
      </c>
      <c r="G52" s="23" t="inlineStr">
        <is>
          <t>2.651 SOL</t>
        </is>
      </c>
      <c r="H52" s="23" t="inlineStr">
        <is>
          <t>96.67%</t>
        </is>
      </c>
      <c r="I52" s="16" t="inlineStr">
        <is>
          <t>N/A</t>
        </is>
      </c>
      <c r="J52" s="16" t="n">
        <v>2</v>
      </c>
      <c r="K52" s="16" t="n">
        <v>1</v>
      </c>
      <c r="L52" s="16" t="inlineStr">
        <is>
          <t>24.10.2024 22:33:10</t>
        </is>
      </c>
      <c r="M52" s="16" t="inlineStr">
        <is>
          <t>9 min</t>
        </is>
      </c>
      <c r="N52" s="16" t="inlineStr">
        <is>
          <t xml:space="preserve">         30K            68K             4K</t>
        </is>
      </c>
      <c r="O52" s="16" t="inlineStr">
        <is>
          <t>8tY1CQVDQrqXcPvYJVQ5THdYseSrFuiSZFXFH17dpump</t>
        </is>
      </c>
      <c r="P52" s="16">
        <f>HYPERLINK("https://photon-sol.tinyastro.io/en/lp/8tY1CQVDQrqXcPvYJVQ5THdYseSrFuiSZFXFH17dpump?handle=676050794bc1b1657a56b", "View")</f>
        <v/>
      </c>
    </row>
    <row r="53">
      <c r="A53" s="19" t="inlineStr">
        <is>
          <t>roko</t>
        </is>
      </c>
      <c r="B53" s="20" t="n">
        <v>10911870</v>
      </c>
      <c r="C53" s="20" t="n">
        <v>10911870</v>
      </c>
      <c r="D53" s="20" t="inlineStr">
        <is>
          <t>0.001210</t>
        </is>
      </c>
      <c r="E53" s="20" t="inlineStr">
        <is>
          <t>1.310 SOL</t>
        </is>
      </c>
      <c r="F53" s="20" t="inlineStr">
        <is>
          <t>0.578 SOL</t>
        </is>
      </c>
      <c r="G53" s="24" t="inlineStr">
        <is>
          <t>-0.733 SOL</t>
        </is>
      </c>
      <c r="H53" s="24" t="inlineStr">
        <is>
          <t>-55.88%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24.10.2024 22:24:58</t>
        </is>
      </c>
      <c r="M53" s="18" t="inlineStr">
        <is>
          <t>47 sec</t>
        </is>
      </c>
      <c r="N53" s="20" t="inlineStr">
        <is>
          <t xml:space="preserve">         21K             9K             5K</t>
        </is>
      </c>
      <c r="O53" s="20" t="inlineStr">
        <is>
          <t>CaV8p2ddwLb5yJhkxwjUFYQLGhNUAMwXgFgEHJ2vpump</t>
        </is>
      </c>
      <c r="P53" s="20">
        <f>HYPERLINK("https://photon-sol.tinyastro.io/en/lp/CaV8p2ddwLb5yJhkxwjUFYQLGhNUAMwXgFgEHJ2vpump?handle=676050794bc1b1657a56b", "View")</f>
        <v/>
      </c>
    </row>
    <row r="54">
      <c r="A54" s="15" t="inlineStr">
        <is>
          <t>Nig</t>
        </is>
      </c>
      <c r="B54" s="16" t="n">
        <v>1890931</v>
      </c>
      <c r="C54" s="16" t="n">
        <v>1890931</v>
      </c>
      <c r="D54" s="16" t="inlineStr">
        <is>
          <t>0.000460</t>
        </is>
      </c>
      <c r="E54" s="16" t="inlineStr">
        <is>
          <t>1.500 SOL</t>
        </is>
      </c>
      <c r="F54" s="16" t="inlineStr">
        <is>
          <t>1.635 SOL</t>
        </is>
      </c>
      <c r="G54" s="22" t="inlineStr">
        <is>
          <t>0.135 SOL</t>
        </is>
      </c>
      <c r="H54" s="22" t="inlineStr">
        <is>
          <t>8.99%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24.10.2024 22:00:32</t>
        </is>
      </c>
      <c r="M54" s="16" t="inlineStr">
        <is>
          <t>1 min</t>
        </is>
      </c>
      <c r="N54" s="16" t="inlineStr">
        <is>
          <t xml:space="preserve">        139K           151K           114K</t>
        </is>
      </c>
      <c r="O54" s="16" t="inlineStr">
        <is>
          <t>9fgVG37Eb4Ec6G2YSHrZGMXkeXhLjNtxSKXu8P9epump</t>
        </is>
      </c>
      <c r="P54" s="16">
        <f>HYPERLINK("https://dexscreener.com/solana/9fgVG37Eb4Ec6G2YSHrZGMXkeXhLjNtxSKXu8P9epump", "View")</f>
        <v/>
      </c>
    </row>
    <row r="55">
      <c r="A55" s="19" t="inlineStr">
        <is>
          <t>LISP</t>
        </is>
      </c>
      <c r="B55" s="20" t="n">
        <v>42310206</v>
      </c>
      <c r="C55" s="20" t="n">
        <v>42310206</v>
      </c>
      <c r="D55" s="20" t="inlineStr">
        <is>
          <t>0.007970</t>
        </is>
      </c>
      <c r="E55" s="20" t="inlineStr">
        <is>
          <t>7.111 SOL</t>
        </is>
      </c>
      <c r="F55" s="20" t="inlineStr">
        <is>
          <t>5.363 SOL</t>
        </is>
      </c>
      <c r="G55" s="21" t="inlineStr">
        <is>
          <t>-1.757 SOL</t>
        </is>
      </c>
      <c r="H55" s="21" t="inlineStr">
        <is>
          <t>-24.67%</t>
        </is>
      </c>
      <c r="I55" s="20" t="inlineStr">
        <is>
          <t>N/A</t>
        </is>
      </c>
      <c r="J55" s="20" t="n">
        <v>1</v>
      </c>
      <c r="K55" s="20" t="n">
        <v>2</v>
      </c>
      <c r="L55" s="20" t="inlineStr">
        <is>
          <t>24.10.2024 21:24:33</t>
        </is>
      </c>
      <c r="M55" s="20" t="inlineStr">
        <is>
          <t>53 min</t>
        </is>
      </c>
      <c r="N55" s="20" t="inlineStr">
        <is>
          <t xml:space="preserve">         30K             9K             6K</t>
        </is>
      </c>
      <c r="O55" s="20" t="inlineStr">
        <is>
          <t>9ELyW753vdqHy1PuLpAkp8d6L9RgWfzHCU9XSHJKpump</t>
        </is>
      </c>
      <c r="P55" s="20">
        <f>HYPERLINK("https://photon-sol.tinyastro.io/en/lp/9ELyW753vdqHy1PuLpAkp8d6L9RgWfzHCU9XSHJKpump?handle=676050794bc1b1657a56b", "View")</f>
        <v/>
      </c>
    </row>
    <row r="56">
      <c r="A56" s="15" t="inlineStr">
        <is>
          <t>TOPG.AI</t>
        </is>
      </c>
      <c r="B56" s="16" t="n">
        <v>2394186</v>
      </c>
      <c r="C56" s="16" t="n">
        <v>2394186</v>
      </c>
      <c r="D56" s="16" t="inlineStr">
        <is>
          <t>0.007970</t>
        </is>
      </c>
      <c r="E56" s="16" t="inlineStr">
        <is>
          <t>2.000 SOL</t>
        </is>
      </c>
      <c r="F56" s="16" t="inlineStr">
        <is>
          <t>1.759 SOL</t>
        </is>
      </c>
      <c r="G56" s="21" t="inlineStr">
        <is>
          <t>-0.248 SOL</t>
        </is>
      </c>
      <c r="H56" s="21" t="inlineStr">
        <is>
          <t>-12.37%</t>
        </is>
      </c>
      <c r="I56" s="16" t="inlineStr">
        <is>
          <t>N/A</t>
        </is>
      </c>
      <c r="J56" s="16" t="n">
        <v>2</v>
      </c>
      <c r="K56" s="16" t="n">
        <v>1</v>
      </c>
      <c r="L56" s="16" t="inlineStr">
        <is>
          <t>24.10.2024 15:23:48</t>
        </is>
      </c>
      <c r="M56" s="16" t="inlineStr">
        <is>
          <t>2 min</t>
        </is>
      </c>
      <c r="N56" s="16" t="inlineStr">
        <is>
          <t xml:space="preserve">        190K           128K            13K</t>
        </is>
      </c>
      <c r="O56" s="16" t="inlineStr">
        <is>
          <t>ToP2RcWXPNWWWGJ6W6BSnWwGvkThNiHYS6dTaHTTZHN</t>
        </is>
      </c>
      <c r="P56" s="16">
        <f>HYPERLINK("https://dexscreener.com/solana/ToP2RcWXPNWWWGJ6W6BSnWwGvkThNiHYS6dTaHTTZHN", "View")</f>
        <v/>
      </c>
    </row>
    <row r="57">
      <c r="A57" s="19" t="inlineStr">
        <is>
          <t>daddy</t>
        </is>
      </c>
      <c r="B57" s="20" t="n">
        <v>946390</v>
      </c>
      <c r="C57" s="20" t="n">
        <v>946390</v>
      </c>
      <c r="D57" s="20" t="inlineStr">
        <is>
          <t>0.001380</t>
        </is>
      </c>
      <c r="E57" s="20" t="inlineStr">
        <is>
          <t>5.000 SOL</t>
        </is>
      </c>
      <c r="F57" s="20" t="inlineStr">
        <is>
          <t>5.552 SOL</t>
        </is>
      </c>
      <c r="G57" s="22" t="inlineStr">
        <is>
          <t>0.550 SOL</t>
        </is>
      </c>
      <c r="H57" s="22" t="inlineStr">
        <is>
          <t>11.00%</t>
        </is>
      </c>
      <c r="I57" s="20" t="inlineStr">
        <is>
          <t>N/A</t>
        </is>
      </c>
      <c r="J57" s="20" t="n">
        <v>5</v>
      </c>
      <c r="K57" s="20" t="n">
        <v>1</v>
      </c>
      <c r="L57" s="20" t="inlineStr">
        <is>
          <t>24.10.2024 14:17:36</t>
        </is>
      </c>
      <c r="M57" s="20" t="inlineStr">
        <is>
          <t>6 min</t>
        </is>
      </c>
      <c r="N57" s="20" t="inlineStr">
        <is>
          <t xml:space="preserve">        927K             1M            67K</t>
        </is>
      </c>
      <c r="O57" s="20" t="inlineStr">
        <is>
          <t>D4N5vcpdxysThXZqT1VEJYcQzvp59Eff4fHQvbL9pump</t>
        </is>
      </c>
      <c r="P57" s="20">
        <f>HYPERLINK("https://dexscreener.com/solana/D4N5vcpdxysThXZqT1VEJYcQzvp59Eff4fHQvbL9pump", "View")</f>
        <v/>
      </c>
    </row>
    <row r="58">
      <c r="A58" s="15" t="inlineStr">
        <is>
          <t>Swaggy</t>
        </is>
      </c>
      <c r="B58" s="16" t="n">
        <v>1560714</v>
      </c>
      <c r="C58" s="16" t="n">
        <v>0</v>
      </c>
      <c r="D58" s="16" t="inlineStr">
        <is>
          <t>0.000010</t>
        </is>
      </c>
      <c r="E58" s="16" t="inlineStr">
        <is>
          <t>1.000 SOL</t>
        </is>
      </c>
      <c r="F58" s="16" t="inlineStr">
        <is>
          <t>0.000 SOL</t>
        </is>
      </c>
      <c r="G58" s="17" t="inlineStr">
        <is>
          <t>-1.000 SOL</t>
        </is>
      </c>
      <c r="H58" s="17" t="inlineStr">
        <is>
          <t>0.00%</t>
        </is>
      </c>
      <c r="I58" s="16" t="inlineStr">
        <is>
          <t>1,560,714</t>
        </is>
      </c>
      <c r="J58" s="16" t="n">
        <v>1</v>
      </c>
      <c r="K58" s="16" t="n">
        <v>0</v>
      </c>
      <c r="L58" s="16" t="inlineStr">
        <is>
          <t>24.10.2024 04:32:48</t>
        </is>
      </c>
      <c r="M58" s="18" t="inlineStr">
        <is>
          <t>0 sec</t>
        </is>
      </c>
      <c r="N58" s="16" t="inlineStr">
        <is>
          <t xml:space="preserve">        112K           112K            12K</t>
        </is>
      </c>
      <c r="O58" s="16" t="inlineStr">
        <is>
          <t>PeSuezqPQbB5k8F4Ew2hWoSjZxf1qKdEbri35s1pump</t>
        </is>
      </c>
      <c r="P58" s="16">
        <f>HYPERLINK("https://dexscreener.com/solana/PeSuezqPQbB5k8F4Ew2hWoSjZxf1qKdEbri35s1pump", "View")</f>
        <v/>
      </c>
    </row>
    <row r="59">
      <c r="A59" s="19" t="inlineStr">
        <is>
          <t>GOSPEL</t>
        </is>
      </c>
      <c r="B59" s="20" t="n">
        <v>15989505</v>
      </c>
      <c r="C59" s="20" t="n">
        <v>15989505</v>
      </c>
      <c r="D59" s="20" t="inlineStr">
        <is>
          <t>0.000020</t>
        </is>
      </c>
      <c r="E59" s="20" t="inlineStr">
        <is>
          <t>1.011 SOL</t>
        </is>
      </c>
      <c r="F59" s="20" t="inlineStr">
        <is>
          <t>1.363 SOL</t>
        </is>
      </c>
      <c r="G59" s="22" t="inlineStr">
        <is>
          <t>0.352 SOL</t>
        </is>
      </c>
      <c r="H59" s="22" t="inlineStr">
        <is>
          <t>34.84%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24.10.2024 02:31:24</t>
        </is>
      </c>
      <c r="M59" s="18" t="inlineStr">
        <is>
          <t>29 sec</t>
        </is>
      </c>
      <c r="N59" s="20" t="inlineStr">
        <is>
          <t xml:space="preserve">         11K            16K             5K</t>
        </is>
      </c>
      <c r="O59" s="20" t="inlineStr">
        <is>
          <t>9er9LTVGhhGRWYUEBgYJZ1chRedMp5v6PeYiKHP3r2nc</t>
        </is>
      </c>
      <c r="P59" s="20">
        <f>HYPERLINK("https://photon-sol.tinyastro.io/en/lp/9er9LTVGhhGRWYUEBgYJZ1chRedMp5v6PeYiKHP3r2nc?handle=676050794bc1b1657a56b", "View")</f>
        <v/>
      </c>
    </row>
    <row r="60">
      <c r="A60" s="15" t="inlineStr">
        <is>
          <t>meolloween</t>
        </is>
      </c>
      <c r="B60" s="16" t="n">
        <v>2401474</v>
      </c>
      <c r="C60" s="16" t="n">
        <v>2401474</v>
      </c>
      <c r="D60" s="16" t="inlineStr">
        <is>
          <t>0.000040</t>
        </is>
      </c>
      <c r="E60" s="16" t="inlineStr">
        <is>
          <t>2.000 SOL</t>
        </is>
      </c>
      <c r="F60" s="16" t="inlineStr">
        <is>
          <t>3.625 SOL</t>
        </is>
      </c>
      <c r="G60" s="23" t="inlineStr">
        <is>
          <t>1.625 SOL</t>
        </is>
      </c>
      <c r="H60" s="23" t="inlineStr">
        <is>
          <t>81.23%</t>
        </is>
      </c>
      <c r="I60" s="16" t="inlineStr">
        <is>
          <t>N/A</t>
        </is>
      </c>
      <c r="J60" s="16" t="n">
        <v>2</v>
      </c>
      <c r="K60" s="16" t="n">
        <v>2</v>
      </c>
      <c r="L60" s="16" t="inlineStr">
        <is>
          <t>24.10.2024 02:19:57</t>
        </is>
      </c>
      <c r="M60" s="16" t="inlineStr">
        <is>
          <t>1 hours</t>
        </is>
      </c>
      <c r="N60" s="16" t="inlineStr">
        <is>
          <t xml:space="preserve">        181K           186K            23K</t>
        </is>
      </c>
      <c r="O60" s="16" t="inlineStr">
        <is>
          <t>GkCQFumKUjvj7Riyfispn2my8b86J4jEuatT9z7apump</t>
        </is>
      </c>
      <c r="P60" s="16">
        <f>HYPERLINK("https://dexscreener.com/solana/GkCQFumKUjvj7Riyfispn2my8b86J4jEuatT9z7apump", "View")</f>
        <v/>
      </c>
    </row>
    <row r="61">
      <c r="A61" s="19" t="inlineStr">
        <is>
          <t>$FOF</t>
        </is>
      </c>
      <c r="B61" s="20" t="n">
        <v>21439689</v>
      </c>
      <c r="C61" s="20" t="n">
        <v>21439689</v>
      </c>
      <c r="D61" s="20" t="inlineStr">
        <is>
          <t>0.000020</t>
        </is>
      </c>
      <c r="E61" s="20" t="inlineStr">
        <is>
          <t>1.162 SOL</t>
        </is>
      </c>
      <c r="F61" s="20" t="inlineStr">
        <is>
          <t>0.807 SOL</t>
        </is>
      </c>
      <c r="G61" s="21" t="inlineStr">
        <is>
          <t>-0.355 SOL</t>
        </is>
      </c>
      <c r="H61" s="21" t="inlineStr">
        <is>
          <t>-30.53%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24.10.2024 00:35:57</t>
        </is>
      </c>
      <c r="M61" s="20" t="inlineStr">
        <is>
          <t>2 min</t>
        </is>
      </c>
      <c r="N61" s="20" t="inlineStr">
        <is>
          <t xml:space="preserve">          9K             7K            11K</t>
        </is>
      </c>
      <c r="O61" s="20" t="inlineStr">
        <is>
          <t>BUUimtoHX2RLC7bHFs4qUh3kzamvb1Sag9JyNEUXpump</t>
        </is>
      </c>
      <c r="P61" s="20">
        <f>HYPERLINK("https://photon-sol.tinyastro.io/en/lp/BUUimtoHX2RLC7bHFs4qUh3kzamvb1Sag9JyNEUXpump?handle=676050794bc1b1657a56b", "View")</f>
        <v/>
      </c>
    </row>
    <row r="62">
      <c r="A62" s="15" t="inlineStr">
        <is>
          <t>cicada</t>
        </is>
      </c>
      <c r="B62" s="16" t="n">
        <v>1176508</v>
      </c>
      <c r="C62" s="16" t="n">
        <v>1176508</v>
      </c>
      <c r="D62" s="16" t="inlineStr">
        <is>
          <t>0.020020</t>
        </is>
      </c>
      <c r="E62" s="16" t="inlineStr">
        <is>
          <t>1.000 SOL</t>
        </is>
      </c>
      <c r="F62" s="16" t="inlineStr">
        <is>
          <t>1.502 SOL</t>
        </is>
      </c>
      <c r="G62" s="22" t="inlineStr">
        <is>
          <t>0.482 SOL</t>
        </is>
      </c>
      <c r="H62" s="22" t="inlineStr">
        <is>
          <t>47.23%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23.10.2024 22:52:56</t>
        </is>
      </c>
      <c r="M62" s="16" t="inlineStr">
        <is>
          <t>2 min</t>
        </is>
      </c>
      <c r="N62" s="16" t="inlineStr">
        <is>
          <t xml:space="preserve">        149K           149K             4K</t>
        </is>
      </c>
      <c r="O62" s="16" t="inlineStr">
        <is>
          <t>67huEYRKsTDkgH1TA7GqSWxaT7EwKxkcRmvMwwYNpump</t>
        </is>
      </c>
      <c r="P62" s="16">
        <f>HYPERLINK("https://dexscreener.com/solana/67huEYRKsTDkgH1TA7GqSWxaT7EwKxkcRmvMwwYNpump", "View")</f>
        <v/>
      </c>
    </row>
    <row r="63">
      <c r="A63" s="19" t="inlineStr">
        <is>
          <t>GrimesAI</t>
        </is>
      </c>
      <c r="B63" s="20" t="n">
        <v>8524634</v>
      </c>
      <c r="C63" s="20" t="n">
        <v>8524634</v>
      </c>
      <c r="D63" s="20" t="inlineStr">
        <is>
          <t>0.000030</t>
        </is>
      </c>
      <c r="E63" s="20" t="inlineStr">
        <is>
          <t>2.000 SOL</t>
        </is>
      </c>
      <c r="F63" s="20" t="inlineStr">
        <is>
          <t>2.180 SOL</t>
        </is>
      </c>
      <c r="G63" s="22" t="inlineStr">
        <is>
          <t>0.180 SOL</t>
        </is>
      </c>
      <c r="H63" s="22" t="inlineStr">
        <is>
          <t>9.01%</t>
        </is>
      </c>
      <c r="I63" s="20" t="inlineStr">
        <is>
          <t>N/A</t>
        </is>
      </c>
      <c r="J63" s="20" t="n">
        <v>2</v>
      </c>
      <c r="K63" s="20" t="n">
        <v>1</v>
      </c>
      <c r="L63" s="20" t="inlineStr">
        <is>
          <t>23.10.2024 22:47:18</t>
        </is>
      </c>
      <c r="M63" s="20" t="inlineStr">
        <is>
          <t>11 min</t>
        </is>
      </c>
      <c r="N63" s="20" t="inlineStr">
        <is>
          <t xml:space="preserve">         40K            46K            24K</t>
        </is>
      </c>
      <c r="O63" s="20" t="inlineStr">
        <is>
          <t>FQCuFFiNW7NHzsBqr4xfm1ABikCwRDsUiKP9rWahpump</t>
        </is>
      </c>
      <c r="P63" s="20">
        <f>HYPERLINK("https://dexscreener.com/solana/FQCuFFiNW7NHzsBqr4xfm1ABikCwRDsUiKP9rWahpump", "View")</f>
        <v/>
      </c>
    </row>
    <row r="64">
      <c r="A64" s="15" t="inlineStr">
        <is>
          <t>SPOOF</t>
        </is>
      </c>
      <c r="B64" s="16" t="n">
        <v>6063668</v>
      </c>
      <c r="C64" s="16" t="n">
        <v>6063668</v>
      </c>
      <c r="D64" s="16" t="inlineStr">
        <is>
          <t>0.000020</t>
        </is>
      </c>
      <c r="E64" s="16" t="inlineStr">
        <is>
          <t>0.853 SOL</t>
        </is>
      </c>
      <c r="F64" s="16" t="inlineStr">
        <is>
          <t>0.386 SOL</t>
        </is>
      </c>
      <c r="G64" s="24" t="inlineStr">
        <is>
          <t>-0.467 SOL</t>
        </is>
      </c>
      <c r="H64" s="24" t="inlineStr">
        <is>
          <t>-54.73%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23.10.2024 22:40:12</t>
        </is>
      </c>
      <c r="M64" s="18" t="inlineStr">
        <is>
          <t>14 sec</t>
        </is>
      </c>
      <c r="N64" s="16" t="inlineStr">
        <is>
          <t xml:space="preserve">         25K            11K             5K</t>
        </is>
      </c>
      <c r="O64" s="16" t="inlineStr">
        <is>
          <t>4z3e73wTRathvhFakLMY7gce6Qu5bXz3yyDxRBuMpump</t>
        </is>
      </c>
      <c r="P64" s="16">
        <f>HYPERLINK("https://photon-sol.tinyastro.io/en/lp/4z3e73wTRathvhFakLMY7gce6Qu5bXz3yyDxRBuMpump?handle=676050794bc1b1657a56b", "View")</f>
        <v/>
      </c>
    </row>
    <row r="65">
      <c r="A65" s="19" t="inlineStr">
        <is>
          <t>ERIS</t>
        </is>
      </c>
      <c r="B65" s="20" t="n">
        <v>3980589</v>
      </c>
      <c r="C65" s="20" t="n">
        <v>3980589</v>
      </c>
      <c r="D65" s="20" t="inlineStr">
        <is>
          <t>0.000020</t>
        </is>
      </c>
      <c r="E65" s="20" t="inlineStr">
        <is>
          <t>1.000 SOL</t>
        </is>
      </c>
      <c r="F65" s="20" t="inlineStr">
        <is>
          <t>0.729 SOL</t>
        </is>
      </c>
      <c r="G65" s="21" t="inlineStr">
        <is>
          <t>-0.271 SOL</t>
        </is>
      </c>
      <c r="H65" s="21" t="inlineStr">
        <is>
          <t>-27.11%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23.10.2024 22:34:57</t>
        </is>
      </c>
      <c r="M65" s="18" t="inlineStr">
        <is>
          <t>12 sec</t>
        </is>
      </c>
      <c r="N65" s="20" t="inlineStr">
        <is>
          <t xml:space="preserve">         44K            32K             4K</t>
        </is>
      </c>
      <c r="O65" s="20" t="inlineStr">
        <is>
          <t>8K91PgHN5Swi8a59ZtzsbgXryYzjjBaQ5QRQ59MKpump</t>
        </is>
      </c>
      <c r="P65" s="20">
        <f>HYPERLINK("https://dexscreener.com/solana/8K91PgHN5Swi8a59ZtzsbgXryYzjjBaQ5QRQ59MKpump", "View")</f>
        <v/>
      </c>
    </row>
    <row r="66">
      <c r="A66" s="15" t="inlineStr">
        <is>
          <t>Yelo</t>
        </is>
      </c>
      <c r="B66" s="16" t="n">
        <v>9206864</v>
      </c>
      <c r="C66" s="16" t="n">
        <v>9206864</v>
      </c>
      <c r="D66" s="16" t="inlineStr">
        <is>
          <t>0.000020</t>
        </is>
      </c>
      <c r="E66" s="16" t="inlineStr">
        <is>
          <t>1.000 SOL</t>
        </is>
      </c>
      <c r="F66" s="16" t="inlineStr">
        <is>
          <t>0.935 SOL</t>
        </is>
      </c>
      <c r="G66" s="21" t="inlineStr">
        <is>
          <t>-0.065 SOL</t>
        </is>
      </c>
      <c r="H66" s="21" t="inlineStr">
        <is>
          <t>-6.54%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23.10.2024 22:30:32</t>
        </is>
      </c>
      <c r="M66" s="16" t="inlineStr">
        <is>
          <t>4 min</t>
        </is>
      </c>
      <c r="N66" s="16" t="inlineStr">
        <is>
          <t xml:space="preserve">         19K            18K             9K</t>
        </is>
      </c>
      <c r="O66" s="16" t="inlineStr">
        <is>
          <t>GAC88gYSjrTsSRjMKHH8JnFQmf7jBFcQs3BkHvH7pump</t>
        </is>
      </c>
      <c r="P66" s="16">
        <f>HYPERLINK("https://dexscreener.com/solana/GAC88gYSjrTsSRjMKHH8JnFQmf7jBFcQs3BkHvH7pump", "View")</f>
        <v/>
      </c>
    </row>
    <row r="67">
      <c r="A67" s="19" t="inlineStr">
        <is>
          <t>ertdfgcvb</t>
        </is>
      </c>
      <c r="B67" s="20" t="n">
        <v>21825641</v>
      </c>
      <c r="C67" s="20" t="n">
        <v>21825641</v>
      </c>
      <c r="D67" s="20" t="inlineStr">
        <is>
          <t>0.040020</t>
        </is>
      </c>
      <c r="E67" s="20" t="inlineStr">
        <is>
          <t>2.535 SOL</t>
        </is>
      </c>
      <c r="F67" s="20" t="inlineStr">
        <is>
          <t>1.739 SOL</t>
        </is>
      </c>
      <c r="G67" s="21" t="inlineStr">
        <is>
          <t>-0.836 SOL</t>
        </is>
      </c>
      <c r="H67" s="21" t="inlineStr">
        <is>
          <t>-32.46%</t>
        </is>
      </c>
      <c r="I67" s="20" t="inlineStr">
        <is>
          <t>N/A</t>
        </is>
      </c>
      <c r="J67" s="20" t="n">
        <v>2</v>
      </c>
      <c r="K67" s="20" t="n">
        <v>1</v>
      </c>
      <c r="L67" s="20" t="inlineStr">
        <is>
          <t>23.10.2024 18:04:36</t>
        </is>
      </c>
      <c r="M67" s="18" t="inlineStr">
        <is>
          <t>53 sec</t>
        </is>
      </c>
      <c r="N67" s="20" t="inlineStr">
        <is>
          <t xml:space="preserve">         23K            14K             5K</t>
        </is>
      </c>
      <c r="O67" s="20" t="inlineStr">
        <is>
          <t>DGpsX5Q65taV2kSE6WdP66corzT3CBtrxKVA84zFpump</t>
        </is>
      </c>
      <c r="P67" s="20">
        <f>HYPERLINK("https://photon-sol.tinyastro.io/en/lp/DGpsX5Q65taV2kSE6WdP66corzT3CBtrxKVA84zFpump?handle=676050794bc1b1657a56b", "View")</f>
        <v/>
      </c>
    </row>
    <row r="68">
      <c r="A68" s="15" t="inlineStr">
        <is>
          <t>C#56</t>
        </is>
      </c>
      <c r="B68" s="16" t="n">
        <v>11411995</v>
      </c>
      <c r="C68" s="16" t="n">
        <v>11411995</v>
      </c>
      <c r="D68" s="16" t="inlineStr">
        <is>
          <t>0.020020</t>
        </is>
      </c>
      <c r="E68" s="16" t="inlineStr">
        <is>
          <t>1.524 SOL</t>
        </is>
      </c>
      <c r="F68" s="16" t="inlineStr">
        <is>
          <t>0.637 SOL</t>
        </is>
      </c>
      <c r="G68" s="24" t="inlineStr">
        <is>
          <t>-0.907 SOL</t>
        </is>
      </c>
      <c r="H68" s="24" t="inlineStr">
        <is>
          <t>-58.72%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23.10.2024 18:01:15</t>
        </is>
      </c>
      <c r="M68" s="16" t="inlineStr">
        <is>
          <t>1 min</t>
        </is>
      </c>
      <c r="N68" s="16" t="inlineStr">
        <is>
          <t xml:space="preserve">         23K            11K             5K</t>
        </is>
      </c>
      <c r="O68" s="16" t="inlineStr">
        <is>
          <t>DAm4wMSkBaCmcqeBRT4GM7rj5pDqKjDn9REYh2cmpump</t>
        </is>
      </c>
      <c r="P68" s="16">
        <f>HYPERLINK("https://photon-sol.tinyastro.io/en/lp/DAm4wMSkBaCmcqeBRT4GM7rj5pDqKjDn9REYh2cmpump?handle=676050794bc1b1657a56b", "View")</f>
        <v/>
      </c>
    </row>
    <row r="69">
      <c r="A69" s="19" t="inlineStr">
        <is>
          <t>stardog</t>
        </is>
      </c>
      <c r="B69" s="20" t="n">
        <v>7491930</v>
      </c>
      <c r="C69" s="20" t="n">
        <v>7491930</v>
      </c>
      <c r="D69" s="20" t="inlineStr">
        <is>
          <t>0.020020</t>
        </is>
      </c>
      <c r="E69" s="20" t="inlineStr">
        <is>
          <t>1.228 SOL</t>
        </is>
      </c>
      <c r="F69" s="20" t="inlineStr">
        <is>
          <t>1.888 SOL</t>
        </is>
      </c>
      <c r="G69" s="23" t="inlineStr">
        <is>
          <t>0.640 SOL</t>
        </is>
      </c>
      <c r="H69" s="23" t="inlineStr">
        <is>
          <t>51.29%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23.10.2024 17:37:55</t>
        </is>
      </c>
      <c r="M69" s="20" t="inlineStr">
        <is>
          <t>3 min</t>
        </is>
      </c>
      <c r="N69" s="20" t="inlineStr">
        <is>
          <t xml:space="preserve">         28K            44K             3K</t>
        </is>
      </c>
      <c r="O69" s="20" t="inlineStr">
        <is>
          <t>AWeYBt9oTrjiax6awEsCweE3ei4GCiTPbfekBtExpump</t>
        </is>
      </c>
      <c r="P69" s="20">
        <f>HYPERLINK("https://photon-sol.tinyastro.io/en/lp/AWeYBt9oTrjiax6awEsCweE3ei4GCiTPbfekBtExpump?handle=676050794bc1b1657a56b", "View")</f>
        <v/>
      </c>
    </row>
    <row r="70">
      <c r="A70" s="15" t="inlineStr">
        <is>
          <t>llama8b</t>
        </is>
      </c>
      <c r="B70" s="16" t="n">
        <v>3780402</v>
      </c>
      <c r="C70" s="16" t="n">
        <v>3780402</v>
      </c>
      <c r="D70" s="16" t="inlineStr">
        <is>
          <t>0.040030</t>
        </is>
      </c>
      <c r="E70" s="16" t="inlineStr">
        <is>
          <t>2.000 SOL</t>
        </is>
      </c>
      <c r="F70" s="16" t="inlineStr">
        <is>
          <t>2.505 SOL</t>
        </is>
      </c>
      <c r="G70" s="22" t="inlineStr">
        <is>
          <t>0.465 SOL</t>
        </is>
      </c>
      <c r="H70" s="22" t="inlineStr">
        <is>
          <t>22.79%</t>
        </is>
      </c>
      <c r="I70" s="16" t="inlineStr">
        <is>
          <t>N/A</t>
        </is>
      </c>
      <c r="J70" s="16" t="n">
        <v>2</v>
      </c>
      <c r="K70" s="16" t="n">
        <v>2</v>
      </c>
      <c r="L70" s="16" t="inlineStr">
        <is>
          <t>23.10.2024 17:21:48</t>
        </is>
      </c>
      <c r="M70" s="16" t="inlineStr">
        <is>
          <t>2 hours</t>
        </is>
      </c>
      <c r="N70" s="16" t="inlineStr">
        <is>
          <t xml:space="preserve">         76K           172K             9K</t>
        </is>
      </c>
      <c r="O70" s="16" t="inlineStr">
        <is>
          <t>9T8NC8Uouorwh417kQgvBX7NsasdFGc94cbzpEMCpump</t>
        </is>
      </c>
      <c r="P70" s="16">
        <f>HYPERLINK("https://dexscreener.com/solana/9T8NC8Uouorwh417kQgvBX7NsasdFGc94cbzpEMCpump", "View")</f>
        <v/>
      </c>
    </row>
    <row r="71">
      <c r="A71" s="19" t="inlineStr">
        <is>
          <t>WojakAI</t>
        </is>
      </c>
      <c r="B71" s="20" t="n">
        <v>7734281</v>
      </c>
      <c r="C71" s="20" t="n">
        <v>7734281</v>
      </c>
      <c r="D71" s="20" t="inlineStr">
        <is>
          <t>0.020020</t>
        </is>
      </c>
      <c r="E71" s="20" t="inlineStr">
        <is>
          <t>1.000 SOL</t>
        </is>
      </c>
      <c r="F71" s="20" t="inlineStr">
        <is>
          <t>0.935 SOL</t>
        </is>
      </c>
      <c r="G71" s="21" t="inlineStr">
        <is>
          <t>-0.085 SOL</t>
        </is>
      </c>
      <c r="H71" s="21" t="inlineStr">
        <is>
          <t>-8.38%</t>
        </is>
      </c>
      <c r="I71" s="20" t="inlineStr">
        <is>
          <t>N/A</t>
        </is>
      </c>
      <c r="J71" s="20" t="n">
        <v>1</v>
      </c>
      <c r="K71" s="20" t="n">
        <v>1</v>
      </c>
      <c r="L71" s="20" t="inlineStr">
        <is>
          <t>23.10.2024 14:18:37</t>
        </is>
      </c>
      <c r="M71" s="20" t="inlineStr">
        <is>
          <t>28 min</t>
        </is>
      </c>
      <c r="N71" s="20" t="inlineStr">
        <is>
          <t xml:space="preserve">         23K            21K            14K</t>
        </is>
      </c>
      <c r="O71" s="20" t="inlineStr">
        <is>
          <t>GLz7XZbAuqakNKqpheYFZfkj7gcY3K3RxFLQPqFpump</t>
        </is>
      </c>
      <c r="P71" s="20">
        <f>HYPERLINK("https://dexscreener.com/solana/GLz7XZbAuqakNKqpheYFZfkj7gcY3K3RxFLQPqFpump", "View")</f>
        <v/>
      </c>
    </row>
    <row r="72">
      <c r="A72" s="15" t="inlineStr">
        <is>
          <t>Lu</t>
        </is>
      </c>
      <c r="B72" s="16" t="n">
        <v>5855949</v>
      </c>
      <c r="C72" s="16" t="n">
        <v>5855949</v>
      </c>
      <c r="D72" s="16" t="inlineStr">
        <is>
          <t>0.100020</t>
        </is>
      </c>
      <c r="E72" s="16" t="inlineStr">
        <is>
          <t>3.000 SOL</t>
        </is>
      </c>
      <c r="F72" s="16" t="inlineStr">
        <is>
          <t>3.697 SOL</t>
        </is>
      </c>
      <c r="G72" s="22" t="inlineStr">
        <is>
          <t>0.597 SOL</t>
        </is>
      </c>
      <c r="H72" s="22" t="inlineStr">
        <is>
          <t>19.26%</t>
        </is>
      </c>
      <c r="I72" s="16" t="inlineStr">
        <is>
          <t>N/A</t>
        </is>
      </c>
      <c r="J72" s="16" t="n">
        <v>1</v>
      </c>
      <c r="K72" s="16" t="n">
        <v>1</v>
      </c>
      <c r="L72" s="16" t="inlineStr">
        <is>
          <t>23.10.2024 12:17:10</t>
        </is>
      </c>
      <c r="M72" s="16" t="inlineStr">
        <is>
          <t>38 min</t>
        </is>
      </c>
      <c r="N72" s="16" t="inlineStr">
        <is>
          <t xml:space="preserve">         89K           110K            11K</t>
        </is>
      </c>
      <c r="O72" s="16" t="inlineStr">
        <is>
          <t>H7jz5tmUxhGzeQZviiuZZXsvH3EBUM83G2PghABNpump</t>
        </is>
      </c>
      <c r="P72" s="16">
        <f>HYPERLINK("https://dexscreener.com/solana/H7jz5tmUxhGzeQZviiuZZXsvH3EBUM83G2PghABNpump", "View")</f>
        <v/>
      </c>
    </row>
    <row r="73">
      <c r="A73" s="19" t="inlineStr">
        <is>
          <t>Horse</t>
        </is>
      </c>
      <c r="B73" s="20" t="n">
        <v>6738411</v>
      </c>
      <c r="C73" s="20" t="n">
        <v>6738411</v>
      </c>
      <c r="D73" s="20" t="inlineStr">
        <is>
          <t>0.040030</t>
        </is>
      </c>
      <c r="E73" s="20" t="inlineStr">
        <is>
          <t>3.000 SOL</t>
        </is>
      </c>
      <c r="F73" s="20" t="inlineStr">
        <is>
          <t>7.433 SOL</t>
        </is>
      </c>
      <c r="G73" s="23" t="inlineStr">
        <is>
          <t>4.393 SOL</t>
        </is>
      </c>
      <c r="H73" s="23" t="inlineStr">
        <is>
          <t>144.50%</t>
        </is>
      </c>
      <c r="I73" s="20" t="inlineStr">
        <is>
          <t>N/A</t>
        </is>
      </c>
      <c r="J73" s="20" t="n">
        <v>3</v>
      </c>
      <c r="K73" s="20" t="n">
        <v>1</v>
      </c>
      <c r="L73" s="20" t="inlineStr">
        <is>
          <t>23.10.2024 08:42:33</t>
        </is>
      </c>
      <c r="M73" s="20" t="inlineStr">
        <is>
          <t>3 hours</t>
        </is>
      </c>
      <c r="N73" s="20" t="inlineStr">
        <is>
          <t xml:space="preserve">        109K           193K             9K</t>
        </is>
      </c>
      <c r="O73" s="20" t="inlineStr">
        <is>
          <t>3tzcc3RLLnLcZNQ7v1WAsBDgNw1JdjnBCEs8PDXcpump</t>
        </is>
      </c>
      <c r="P73" s="20">
        <f>HYPERLINK("https://dexscreener.com/solana/3tzcc3RLLnLcZNQ7v1WAsBDgNw1JdjnBCEs8PDXcpump", "View")</f>
        <v/>
      </c>
    </row>
    <row r="74">
      <c r="A74" s="15" t="inlineStr">
        <is>
          <t>yeti</t>
        </is>
      </c>
      <c r="B74" s="16" t="n">
        <v>2648011</v>
      </c>
      <c r="C74" s="16" t="n">
        <v>2648011</v>
      </c>
      <c r="D74" s="16" t="inlineStr">
        <is>
          <t>0.020020</t>
        </is>
      </c>
      <c r="E74" s="16" t="inlineStr">
        <is>
          <t>1.000 SOL</t>
        </is>
      </c>
      <c r="F74" s="16" t="inlineStr">
        <is>
          <t>0.096 SOL</t>
        </is>
      </c>
      <c r="G74" s="24" t="inlineStr">
        <is>
          <t>-0.924 SOL</t>
        </is>
      </c>
      <c r="H74" s="24" t="inlineStr">
        <is>
          <t>-90.58%</t>
        </is>
      </c>
      <c r="I74" s="16" t="inlineStr">
        <is>
          <t>N/A</t>
        </is>
      </c>
      <c r="J74" s="16" t="n">
        <v>1</v>
      </c>
      <c r="K74" s="16" t="n">
        <v>1</v>
      </c>
      <c r="L74" s="16" t="inlineStr">
        <is>
          <t>23.10.2024 08:04:26</t>
        </is>
      </c>
      <c r="M74" s="16" t="inlineStr">
        <is>
          <t>58 min</t>
        </is>
      </c>
      <c r="N74" s="16" t="inlineStr">
        <is>
          <t xml:space="preserve">         67K             7K             3K</t>
        </is>
      </c>
      <c r="O74" s="16" t="inlineStr">
        <is>
          <t>75UzQeB8cNV85JMkqzmZn447vQKjfD4Xu3nBXonjqjBW</t>
        </is>
      </c>
      <c r="P74" s="16">
        <f>HYPERLINK("https://dexscreener.com/solana/75UzQeB8cNV85JMkqzmZn447vQKjfD4Xu3nBXonjqjBW", "View")</f>
        <v/>
      </c>
    </row>
    <row r="75">
      <c r="A75" s="19" t="inlineStr">
        <is>
          <t>888</t>
        </is>
      </c>
      <c r="B75" s="20" t="n">
        <v>6486724</v>
      </c>
      <c r="C75" s="20" t="n">
        <v>6486724</v>
      </c>
      <c r="D75" s="20" t="inlineStr">
        <is>
          <t>0.007520</t>
        </is>
      </c>
      <c r="E75" s="20" t="inlineStr">
        <is>
          <t>1.000 SOL</t>
        </is>
      </c>
      <c r="F75" s="20" t="inlineStr">
        <is>
          <t>1.096 SOL</t>
        </is>
      </c>
      <c r="G75" s="22" t="inlineStr">
        <is>
          <t>0.089 SOL</t>
        </is>
      </c>
      <c r="H75" s="22" t="inlineStr">
        <is>
          <t>8.82%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23.10.2024 04:49:57</t>
        </is>
      </c>
      <c r="M75" s="20" t="inlineStr">
        <is>
          <t>47 min</t>
        </is>
      </c>
      <c r="N75" s="20" t="inlineStr">
        <is>
          <t xml:space="preserve">         23K            23K            14K</t>
        </is>
      </c>
      <c r="O75" s="20" t="inlineStr">
        <is>
          <t>HMuVnkNdVGwvZmRAoABK1FewvvQMebJHoB3xYkkjfbck</t>
        </is>
      </c>
      <c r="P75" s="20">
        <f>HYPERLINK("https://dexscreener.com/solana/HMuVnkNdVGwvZmRAoABK1FewvvQMebJHoB3xYkkjfbck", "View")</f>
        <v/>
      </c>
    </row>
    <row r="76">
      <c r="A76" s="15" t="inlineStr">
        <is>
          <t>LoG</t>
        </is>
      </c>
      <c r="B76" s="16" t="n">
        <v>3146952</v>
      </c>
      <c r="C76" s="16" t="n">
        <v>3146952</v>
      </c>
      <c r="D76" s="16" t="inlineStr">
        <is>
          <t>0.020020</t>
        </is>
      </c>
      <c r="E76" s="16" t="inlineStr">
        <is>
          <t>1.000 SOL</t>
        </is>
      </c>
      <c r="F76" s="16" t="inlineStr">
        <is>
          <t>1.191 SOL</t>
        </is>
      </c>
      <c r="G76" s="22" t="inlineStr">
        <is>
          <t>0.171 SOL</t>
        </is>
      </c>
      <c r="H76" s="22" t="inlineStr">
        <is>
          <t>16.79%</t>
        </is>
      </c>
      <c r="I76" s="16" t="inlineStr">
        <is>
          <t>N/A</t>
        </is>
      </c>
      <c r="J76" s="16" t="n">
        <v>1</v>
      </c>
      <c r="K76" s="16" t="n">
        <v>1</v>
      </c>
      <c r="L76" s="16" t="inlineStr">
        <is>
          <t>23.10.2024 04:34:36</t>
        </is>
      </c>
      <c r="M76" s="18" t="inlineStr">
        <is>
          <t>20 sec</t>
        </is>
      </c>
      <c r="N76" s="16" t="inlineStr">
        <is>
          <t xml:space="preserve">         56K            67K            19K</t>
        </is>
      </c>
      <c r="O76" s="16" t="inlineStr">
        <is>
          <t>A1EwEAGRhyzEnBktbPDbhDrnir2vZa2N7ex7v7i4pump</t>
        </is>
      </c>
      <c r="P76" s="16">
        <f>HYPERLINK("https://dexscreener.com/solana/A1EwEAGRhyzEnBktbPDbhDrnir2vZa2N7ex7v7i4pump", "View")</f>
        <v/>
      </c>
    </row>
    <row r="77">
      <c r="A77" s="19" t="inlineStr">
        <is>
          <t>RT</t>
        </is>
      </c>
      <c r="B77" s="20" t="n">
        <v>3578169</v>
      </c>
      <c r="C77" s="20" t="n">
        <v>3578169</v>
      </c>
      <c r="D77" s="20" t="inlineStr">
        <is>
          <t>0.030020</t>
        </is>
      </c>
      <c r="E77" s="20" t="inlineStr">
        <is>
          <t>1.267 SOL</t>
        </is>
      </c>
      <c r="F77" s="20" t="inlineStr">
        <is>
          <t>0.291 SOL</t>
        </is>
      </c>
      <c r="G77" s="24" t="inlineStr">
        <is>
          <t>-1.006 SOL</t>
        </is>
      </c>
      <c r="H77" s="24" t="inlineStr">
        <is>
          <t>-77.53%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23.10.2024 01:07:43</t>
        </is>
      </c>
      <c r="M77" s="20" t="inlineStr">
        <is>
          <t>5 min</t>
        </is>
      </c>
      <c r="N77" s="20" t="inlineStr">
        <is>
          <t xml:space="preserve">         61K            14K             3K</t>
        </is>
      </c>
      <c r="O77" s="20" t="inlineStr">
        <is>
          <t>z6c62rp7t5RzAC25D8N5f1Xbp4SpACbCJHDrkr4pump</t>
        </is>
      </c>
      <c r="P77" s="20">
        <f>HYPERLINK("https://photon-sol.tinyastro.io/en/lp/z6c62rp7t5RzAC25D8N5f1Xbp4SpACbCJHDrkr4pump?handle=676050794bc1b1657a56b", "View")</f>
        <v/>
      </c>
    </row>
    <row r="78">
      <c r="A78" s="15" t="inlineStr">
        <is>
          <t>LULU</t>
        </is>
      </c>
      <c r="B78" s="16" t="n">
        <v>12239910</v>
      </c>
      <c r="C78" s="16" t="n">
        <v>12239910</v>
      </c>
      <c r="D78" s="16" t="inlineStr">
        <is>
          <t>0.030020</t>
        </is>
      </c>
      <c r="E78" s="16" t="inlineStr">
        <is>
          <t>1.265 SOL</t>
        </is>
      </c>
      <c r="F78" s="16" t="inlineStr">
        <is>
          <t>0.966 SOL</t>
        </is>
      </c>
      <c r="G78" s="21" t="inlineStr">
        <is>
          <t>-0.330 SOL</t>
        </is>
      </c>
      <c r="H78" s="21" t="inlineStr">
        <is>
          <t>-25.46%</t>
        </is>
      </c>
      <c r="I78" s="16" t="inlineStr">
        <is>
          <t>N/A</t>
        </is>
      </c>
      <c r="J78" s="16" t="n">
        <v>1</v>
      </c>
      <c r="K78" s="16" t="n">
        <v>1</v>
      </c>
      <c r="L78" s="16" t="inlineStr">
        <is>
          <t>23.10.2024 00:58:16</t>
        </is>
      </c>
      <c r="M78" s="16" t="inlineStr">
        <is>
          <t>12 min</t>
        </is>
      </c>
      <c r="N78" s="16" t="inlineStr">
        <is>
          <t xml:space="preserve">         18K            14K             5K</t>
        </is>
      </c>
      <c r="O78" s="16" t="inlineStr">
        <is>
          <t>8tCpBKDEGNBfFm5V3fJ5LTmYzGfMFqUVUZ59zdRvpump</t>
        </is>
      </c>
      <c r="P78" s="16">
        <f>HYPERLINK("https://photon-sol.tinyastro.io/en/lp/8tCpBKDEGNBfFm5V3fJ5LTmYzGfMFqUVUZ59zdRvpump?handle=676050794bc1b1657a56b", "View")</f>
        <v/>
      </c>
    </row>
    <row r="79">
      <c r="A79" s="19" t="inlineStr">
        <is>
          <t>shawty</t>
        </is>
      </c>
      <c r="B79" s="20" t="n">
        <v>6191341</v>
      </c>
      <c r="C79" s="20" t="n">
        <v>6191341</v>
      </c>
      <c r="D79" s="20" t="inlineStr">
        <is>
          <t>0.030020</t>
        </is>
      </c>
      <c r="E79" s="20" t="inlineStr">
        <is>
          <t>1.000 SOL</t>
        </is>
      </c>
      <c r="F79" s="20" t="inlineStr">
        <is>
          <t>0.385 SOL</t>
        </is>
      </c>
      <c r="G79" s="24" t="inlineStr">
        <is>
          <t>-0.645 SOL</t>
        </is>
      </c>
      <c r="H79" s="24" t="inlineStr">
        <is>
          <t>-62.61%</t>
        </is>
      </c>
      <c r="I79" s="20" t="inlineStr">
        <is>
          <t>N/A</t>
        </is>
      </c>
      <c r="J79" s="20" t="n">
        <v>1</v>
      </c>
      <c r="K79" s="20" t="n">
        <v>1</v>
      </c>
      <c r="L79" s="20" t="inlineStr">
        <is>
          <t>23.10.2024 00:58:06</t>
        </is>
      </c>
      <c r="M79" s="20" t="inlineStr">
        <is>
          <t>12 min</t>
        </is>
      </c>
      <c r="N79" s="20" t="inlineStr">
        <is>
          <t xml:space="preserve">         28K            11K             4K</t>
        </is>
      </c>
      <c r="O79" s="20" t="inlineStr">
        <is>
          <t>4XzmWDbgdFUxuk7VQoX5yFD7238yqAtaAJMYSi7Tpump</t>
        </is>
      </c>
      <c r="P79" s="20">
        <f>HYPERLINK("https://dexscreener.com/solana/4XzmWDbgdFUxuk7VQoX5yFD7238yqAtaAJMYSi7Tpump", "View")</f>
        <v/>
      </c>
    </row>
    <row r="80">
      <c r="A80" s="15" t="inlineStr">
        <is>
          <t>Rogue</t>
        </is>
      </c>
      <c r="B80" s="16" t="n">
        <v>2975561</v>
      </c>
      <c r="C80" s="16" t="n">
        <v>2975561</v>
      </c>
      <c r="D80" s="16" t="inlineStr">
        <is>
          <t>0.060020</t>
        </is>
      </c>
      <c r="E80" s="16" t="inlineStr">
        <is>
          <t>2.000 SOL</t>
        </is>
      </c>
      <c r="F80" s="16" t="inlineStr">
        <is>
          <t>2.196 SOL</t>
        </is>
      </c>
      <c r="G80" s="22" t="inlineStr">
        <is>
          <t>0.136 SOL</t>
        </is>
      </c>
      <c r="H80" s="22" t="inlineStr">
        <is>
          <t>6.60%</t>
        </is>
      </c>
      <c r="I80" s="16" t="inlineStr">
        <is>
          <t>N/A</t>
        </is>
      </c>
      <c r="J80" s="16" t="n">
        <v>2</v>
      </c>
      <c r="K80" s="16" t="n">
        <v>1</v>
      </c>
      <c r="L80" s="16" t="inlineStr">
        <is>
          <t>23.10.2024 00:41:04</t>
        </is>
      </c>
      <c r="M80" s="16" t="inlineStr">
        <is>
          <t>2 min</t>
        </is>
      </c>
      <c r="N80" s="16" t="inlineStr">
        <is>
          <t xml:space="preserve">         82K           130K             8K</t>
        </is>
      </c>
      <c r="O80" s="16" t="inlineStr">
        <is>
          <t>EyVpWuxegaFCpHBXbXLwK6rTL7cT6VyrfteJrnSspump</t>
        </is>
      </c>
      <c r="P80" s="16">
        <f>HYPERLINK("https://dexscreener.com/solana/EyVpWuxegaFCpHBXbXLwK6rTL7cT6VyrfteJrnSspump", "View")</f>
        <v/>
      </c>
    </row>
    <row r="81">
      <c r="A81" s="19" t="inlineStr">
        <is>
          <t>vvaifu</t>
        </is>
      </c>
      <c r="B81" s="20" t="n">
        <v>1328312</v>
      </c>
      <c r="C81" s="20" t="n">
        <v>1328312</v>
      </c>
      <c r="D81" s="20" t="inlineStr">
        <is>
          <t>0.020020</t>
        </is>
      </c>
      <c r="E81" s="20" t="inlineStr">
        <is>
          <t>2.000 SOL</t>
        </is>
      </c>
      <c r="F81" s="20" t="inlineStr">
        <is>
          <t>1.844 SOL</t>
        </is>
      </c>
      <c r="G81" s="21" t="inlineStr">
        <is>
          <t>-0.176 SOL</t>
        </is>
      </c>
      <c r="H81" s="21" t="inlineStr">
        <is>
          <t>-8.71%</t>
        </is>
      </c>
      <c r="I81" s="20" t="inlineStr">
        <is>
          <t>N/A</t>
        </is>
      </c>
      <c r="J81" s="20" t="n">
        <v>1</v>
      </c>
      <c r="K81" s="20" t="n">
        <v>1</v>
      </c>
      <c r="L81" s="20" t="inlineStr">
        <is>
          <t>22.10.2024 23:55:00</t>
        </is>
      </c>
      <c r="M81" s="20" t="inlineStr">
        <is>
          <t>2 min</t>
        </is>
      </c>
      <c r="N81" s="20" t="inlineStr">
        <is>
          <t xml:space="preserve">        265K           244K           417K</t>
        </is>
      </c>
      <c r="O81" s="20" t="inlineStr">
        <is>
          <t>FQ1tyso61AH1tzodyJfSwmzsD3GToybbRNoZxUBz21p8</t>
        </is>
      </c>
      <c r="P81" s="20">
        <f>HYPERLINK("https://dexscreener.com/solana/FQ1tyso61AH1tzodyJfSwmzsD3GToybbRNoZxUBz21p8", "View")</f>
        <v/>
      </c>
    </row>
    <row r="82">
      <c r="A82" s="15" t="inlineStr">
        <is>
          <t>$LYNX</t>
        </is>
      </c>
      <c r="B82" s="16" t="n">
        <v>395354</v>
      </c>
      <c r="C82" s="16" t="n">
        <v>395354</v>
      </c>
      <c r="D82" s="16" t="inlineStr">
        <is>
          <t>0.040020</t>
        </is>
      </c>
      <c r="E82" s="16" t="inlineStr">
        <is>
          <t>4.000 SOL</t>
        </is>
      </c>
      <c r="F82" s="16" t="inlineStr">
        <is>
          <t>5.482 SOL</t>
        </is>
      </c>
      <c r="G82" s="22" t="inlineStr">
        <is>
          <t>1.442 SOL</t>
        </is>
      </c>
      <c r="H82" s="22" t="inlineStr">
        <is>
          <t>35.70%</t>
        </is>
      </c>
      <c r="I82" s="16" t="inlineStr">
        <is>
          <t>N/A</t>
        </is>
      </c>
      <c r="J82" s="16" t="n">
        <v>2</v>
      </c>
      <c r="K82" s="16" t="n">
        <v>1</v>
      </c>
      <c r="L82" s="16" t="inlineStr">
        <is>
          <t>22.10.2024 23:06:35</t>
        </is>
      </c>
      <c r="M82" s="16" t="inlineStr">
        <is>
          <t>2 min</t>
        </is>
      </c>
      <c r="N82" s="16" t="inlineStr">
        <is>
          <t xml:space="preserve">          2M             2M            21K</t>
        </is>
      </c>
      <c r="O82" s="16" t="inlineStr">
        <is>
          <t>HYTWunEns5k3CBBrr8gTJjNqA93avuEPB3RB1Kud3MWg</t>
        </is>
      </c>
      <c r="P82" s="16">
        <f>HYPERLINK("https://dexscreener.com/solana/HYTWunEns5k3CBBrr8gTJjNqA93avuEPB3RB1Kud3MWg", "View")</f>
        <v/>
      </c>
    </row>
    <row r="83">
      <c r="A83" s="19" t="inlineStr">
        <is>
          <t>Janus</t>
        </is>
      </c>
      <c r="B83" s="20" t="n">
        <v>29823605</v>
      </c>
      <c r="C83" s="20" t="n">
        <v>29823605</v>
      </c>
      <c r="D83" s="20" t="inlineStr">
        <is>
          <t>0.000020</t>
        </is>
      </c>
      <c r="E83" s="20" t="inlineStr">
        <is>
          <t>1.000 SOL</t>
        </is>
      </c>
      <c r="F83" s="20" t="inlineStr">
        <is>
          <t>0.726 SOL</t>
        </is>
      </c>
      <c r="G83" s="21" t="inlineStr">
        <is>
          <t>-0.274 SOL</t>
        </is>
      </c>
      <c r="H83" s="21" t="inlineStr">
        <is>
          <t>-27.44%</t>
        </is>
      </c>
      <c r="I83" s="20" t="inlineStr">
        <is>
          <t>N/A</t>
        </is>
      </c>
      <c r="J83" s="20" t="n">
        <v>1</v>
      </c>
      <c r="K83" s="20" t="n">
        <v>1</v>
      </c>
      <c r="L83" s="20" t="inlineStr">
        <is>
          <t>22.10.2024 18:59:14</t>
        </is>
      </c>
      <c r="M83" s="20" t="inlineStr">
        <is>
          <t>1 min</t>
        </is>
      </c>
      <c r="N83" s="20" t="inlineStr">
        <is>
          <t xml:space="preserve">          5K             4K             4K</t>
        </is>
      </c>
      <c r="O83" s="20" t="inlineStr">
        <is>
          <t>7mngpTKBzmpa9JKRTKy4qQxzKqRHst2yZ6T4WK6gpump</t>
        </is>
      </c>
      <c r="P83" s="20">
        <f>HYPERLINK("https://dexscreener.com/solana/7mngpTKBzmpa9JKRTKy4qQxzKqRHst2yZ6T4WK6gpump", "View")</f>
        <v/>
      </c>
    </row>
    <row r="84">
      <c r="A84" s="15" t="inlineStr">
        <is>
          <t>VIDEOCAT</t>
        </is>
      </c>
      <c r="B84" s="16" t="n">
        <v>3937800</v>
      </c>
      <c r="C84" s="16" t="n">
        <v>3937800</v>
      </c>
      <c r="D84" s="16" t="inlineStr">
        <is>
          <t>0.030030</t>
        </is>
      </c>
      <c r="E84" s="16" t="inlineStr">
        <is>
          <t>0.500 SOL</t>
        </is>
      </c>
      <c r="F84" s="16" t="inlineStr">
        <is>
          <t>0.577 SOL</t>
        </is>
      </c>
      <c r="G84" s="22" t="inlineStr">
        <is>
          <t>0.047 SOL</t>
        </is>
      </c>
      <c r="H84" s="22" t="inlineStr">
        <is>
          <t>8.89%</t>
        </is>
      </c>
      <c r="I84" s="16" t="inlineStr">
        <is>
          <t>N/A</t>
        </is>
      </c>
      <c r="J84" s="16" t="n">
        <v>1</v>
      </c>
      <c r="K84" s="16" t="n">
        <v>2</v>
      </c>
      <c r="L84" s="16" t="inlineStr">
        <is>
          <t>22.10.2024 18:38:24</t>
        </is>
      </c>
      <c r="M84" s="16" t="inlineStr">
        <is>
          <t>3 min</t>
        </is>
      </c>
      <c r="N84" s="16" t="inlineStr">
        <is>
          <t xml:space="preserve">         23K            26K             5K</t>
        </is>
      </c>
      <c r="O84" s="16" t="inlineStr">
        <is>
          <t>B7oxfcQNCf7o5VDj1bAtAh9GBzxn1qdmaaTkpYNupump</t>
        </is>
      </c>
      <c r="P84" s="16">
        <f>HYPERLINK("https://dexscreener.com/solana/B7oxfcQNCf7o5VDj1bAtAh9GBzxn1qdmaaTkpYNupump", "View")</f>
        <v/>
      </c>
    </row>
    <row r="85">
      <c r="A85" s="19" t="inlineStr">
        <is>
          <t>NYAN CAT</t>
        </is>
      </c>
      <c r="B85" s="20" t="n">
        <v>13270619</v>
      </c>
      <c r="C85" s="20" t="n">
        <v>13270619</v>
      </c>
      <c r="D85" s="20" t="inlineStr">
        <is>
          <t>0.000020</t>
        </is>
      </c>
      <c r="E85" s="20" t="inlineStr">
        <is>
          <t>0.716 SOL</t>
        </is>
      </c>
      <c r="F85" s="20" t="inlineStr">
        <is>
          <t>0.550 SOL</t>
        </is>
      </c>
      <c r="G85" s="21" t="inlineStr">
        <is>
          <t>-0.166 SOL</t>
        </is>
      </c>
      <c r="H85" s="21" t="inlineStr">
        <is>
          <t>-23.25%</t>
        </is>
      </c>
      <c r="I85" s="20" t="inlineStr">
        <is>
          <t>N/A</t>
        </is>
      </c>
      <c r="J85" s="20" t="n">
        <v>1</v>
      </c>
      <c r="K85" s="20" t="n">
        <v>1</v>
      </c>
      <c r="L85" s="20" t="inlineStr">
        <is>
          <t>22.10.2024 03:29:21</t>
        </is>
      </c>
      <c r="M85" s="20" t="inlineStr">
        <is>
          <t>1 min</t>
        </is>
      </c>
      <c r="N85" s="20" t="inlineStr">
        <is>
          <t xml:space="preserve">          9K             7K             5K</t>
        </is>
      </c>
      <c r="O85" s="20" t="inlineStr">
        <is>
          <t>3KcNc8HU7MKvasq1J9bqLqcs9HmdQwzRsNJiqwqCpump</t>
        </is>
      </c>
      <c r="P85" s="20">
        <f>HYPERLINK("https://photon-sol.tinyastro.io/en/lp/3KcNc8HU7MKvasq1J9bqLqcs9HmdQwzRsNJiqwqCpump?handle=676050794bc1b1657a56b", "View")</f>
        <v/>
      </c>
    </row>
    <row r="86">
      <c r="A86" s="15" t="inlineStr">
        <is>
          <t>1337</t>
        </is>
      </c>
      <c r="B86" s="16" t="n">
        <v>1585354</v>
      </c>
      <c r="C86" s="16" t="n">
        <v>1585354</v>
      </c>
      <c r="D86" s="16" t="inlineStr">
        <is>
          <t>0.030020</t>
        </is>
      </c>
      <c r="E86" s="16" t="inlineStr">
        <is>
          <t>0.500 SOL</t>
        </is>
      </c>
      <c r="F86" s="16" t="inlineStr">
        <is>
          <t>0.470 SOL</t>
        </is>
      </c>
      <c r="G86" s="21" t="inlineStr">
        <is>
          <t>-0.060 SOL</t>
        </is>
      </c>
      <c r="H86" s="21" t="inlineStr">
        <is>
          <t>-11.39%</t>
        </is>
      </c>
      <c r="I86" s="16" t="inlineStr">
        <is>
          <t>N/A</t>
        </is>
      </c>
      <c r="J86" s="16" t="n">
        <v>1</v>
      </c>
      <c r="K86" s="16" t="n">
        <v>1</v>
      </c>
      <c r="L86" s="16" t="inlineStr">
        <is>
          <t>22.10.2024 03:21:08</t>
        </is>
      </c>
      <c r="M86" s="16" t="inlineStr">
        <is>
          <t>1 min</t>
        </is>
      </c>
      <c r="N86" s="16" t="inlineStr">
        <is>
          <t xml:space="preserve">         56K            53K             4K</t>
        </is>
      </c>
      <c r="O86" s="16" t="inlineStr">
        <is>
          <t>E1qvAkBs3gPFYL7LvPGA4csZvGrpS3ivMhxC28utpump</t>
        </is>
      </c>
      <c r="P86" s="16">
        <f>HYPERLINK("https://dexscreener.com/solana/E1qvAkBs3gPFYL7LvPGA4csZvGrpS3ivMhxC28utpump", "View")</f>
        <v/>
      </c>
    </row>
    <row r="87">
      <c r="A87" s="19" t="inlineStr">
        <is>
          <t>ILY</t>
        </is>
      </c>
      <c r="B87" s="20" t="n">
        <v>8389953</v>
      </c>
      <c r="C87" s="20" t="n">
        <v>8389953</v>
      </c>
      <c r="D87" s="20" t="inlineStr">
        <is>
          <t>0.060030</t>
        </is>
      </c>
      <c r="E87" s="20" t="inlineStr">
        <is>
          <t>1.702 SOL</t>
        </is>
      </c>
      <c r="F87" s="20" t="inlineStr">
        <is>
          <t>1.705 SOL</t>
        </is>
      </c>
      <c r="G87" s="21" t="inlineStr">
        <is>
          <t>-0.058 SOL</t>
        </is>
      </c>
      <c r="H87" s="21" t="inlineStr">
        <is>
          <t>-3.28%</t>
        </is>
      </c>
      <c r="I87" s="20" t="inlineStr">
        <is>
          <t>N/A</t>
        </is>
      </c>
      <c r="J87" s="20" t="n">
        <v>2</v>
      </c>
      <c r="K87" s="20" t="n">
        <v>2</v>
      </c>
      <c r="L87" s="20" t="inlineStr">
        <is>
          <t>22.10.2024 03:20:25</t>
        </is>
      </c>
      <c r="M87" s="20" t="inlineStr">
        <is>
          <t>40 min</t>
        </is>
      </c>
      <c r="N87" s="20" t="inlineStr">
        <is>
          <t xml:space="preserve">         30K            76K             4K</t>
        </is>
      </c>
      <c r="O87" s="20" t="inlineStr">
        <is>
          <t>BBBgdpBJhdm8qFTAEfyRRaCpmJ9Qecachc7YuqQRpump</t>
        </is>
      </c>
      <c r="P87" s="20">
        <f>HYPERLINK("https://photon-sol.tinyastro.io/en/lp/BBBgdpBJhdm8qFTAEfyRRaCpmJ9Qecachc7YuqQRpump?handle=676050794bc1b1657a56b", "View")</f>
        <v/>
      </c>
    </row>
    <row r="88">
      <c r="A88" s="15" t="inlineStr">
        <is>
          <t>Lebbes</t>
        </is>
      </c>
      <c r="B88" s="16" t="n">
        <v>5713712</v>
      </c>
      <c r="C88" s="16" t="n">
        <v>5713712</v>
      </c>
      <c r="D88" s="16" t="inlineStr">
        <is>
          <t>0.030020</t>
        </is>
      </c>
      <c r="E88" s="16" t="inlineStr">
        <is>
          <t>0.719 SOL</t>
        </is>
      </c>
      <c r="F88" s="16" t="inlineStr">
        <is>
          <t>1.184 SOL</t>
        </is>
      </c>
      <c r="G88" s="23" t="inlineStr">
        <is>
          <t>0.435 SOL</t>
        </is>
      </c>
      <c r="H88" s="23" t="inlineStr">
        <is>
          <t>58.14%</t>
        </is>
      </c>
      <c r="I88" s="16" t="inlineStr">
        <is>
          <t>N/A</t>
        </is>
      </c>
      <c r="J88" s="16" t="n">
        <v>1</v>
      </c>
      <c r="K88" s="16" t="n">
        <v>1</v>
      </c>
      <c r="L88" s="16" t="inlineStr">
        <is>
          <t>22.10.2024 03:13:20</t>
        </is>
      </c>
      <c r="M88" s="16" t="inlineStr">
        <is>
          <t>3 min</t>
        </is>
      </c>
      <c r="N88" s="16" t="inlineStr">
        <is>
          <t xml:space="preserve">         23K            37K             5K</t>
        </is>
      </c>
      <c r="O88" s="16" t="inlineStr">
        <is>
          <t>67ddENYz9yfmkK28ANn8mBFe8X2MExqYChF1PEfXpump</t>
        </is>
      </c>
      <c r="P88" s="16">
        <f>HYPERLINK("https://photon-sol.tinyastro.io/en/lp/67ddENYz9yfmkK28ANn8mBFe8X2MExqYChF1PEfXpump?handle=676050794bc1b1657a56b", "View")</f>
        <v/>
      </c>
    </row>
    <row r="89">
      <c r="A89" s="19" t="inlineStr">
        <is>
          <t>EXAFLOP</t>
        </is>
      </c>
      <c r="B89" s="20" t="n">
        <v>21522747</v>
      </c>
      <c r="C89" s="20" t="n">
        <v>21522747</v>
      </c>
      <c r="D89" s="20" t="inlineStr">
        <is>
          <t>0.000440</t>
        </is>
      </c>
      <c r="E89" s="20" t="inlineStr">
        <is>
          <t>1.000 SOL</t>
        </is>
      </c>
      <c r="F89" s="20" t="inlineStr">
        <is>
          <t>0.555 SOL</t>
        </is>
      </c>
      <c r="G89" s="21" t="inlineStr">
        <is>
          <t>-0.446 SOL</t>
        </is>
      </c>
      <c r="H89" s="21" t="inlineStr">
        <is>
          <t>-44.55%</t>
        </is>
      </c>
      <c r="I89" s="20" t="inlineStr">
        <is>
          <t>N/A</t>
        </is>
      </c>
      <c r="J89" s="20" t="n">
        <v>1</v>
      </c>
      <c r="K89" s="20" t="n">
        <v>1</v>
      </c>
      <c r="L89" s="20" t="inlineStr">
        <is>
          <t>22.10.2024 02:53:37</t>
        </is>
      </c>
      <c r="M89" s="20" t="inlineStr">
        <is>
          <t>2 hours</t>
        </is>
      </c>
      <c r="N89" s="20" t="inlineStr">
        <is>
          <t xml:space="preserve">          9K             5K             3K</t>
        </is>
      </c>
      <c r="O89" s="20" t="inlineStr">
        <is>
          <t>3Xpq3GBR1MzRRMu3ZdhutRt7Ux4fwxEQaWev6PBjpump</t>
        </is>
      </c>
      <c r="P89" s="20">
        <f>HYPERLINK("https://dexscreener.com/solana/3Xpq3GBR1MzRRMu3ZdhutRt7Ux4fwxEQaWev6PBjpump", "View")</f>
        <v/>
      </c>
    </row>
    <row r="90">
      <c r="A90" s="15" t="inlineStr">
        <is>
          <t>davinci</t>
        </is>
      </c>
      <c r="B90" s="16" t="n">
        <v>6417153</v>
      </c>
      <c r="C90" s="16" t="n">
        <v>6417153</v>
      </c>
      <c r="D90" s="16" t="inlineStr">
        <is>
          <t>0.000020</t>
        </is>
      </c>
      <c r="E90" s="16" t="inlineStr">
        <is>
          <t>1.000 SOL</t>
        </is>
      </c>
      <c r="F90" s="16" t="inlineStr">
        <is>
          <t>0.960 SOL</t>
        </is>
      </c>
      <c r="G90" s="21" t="inlineStr">
        <is>
          <t>-0.040 SOL</t>
        </is>
      </c>
      <c r="H90" s="21" t="inlineStr">
        <is>
          <t>-4.00%</t>
        </is>
      </c>
      <c r="I90" s="16" t="inlineStr">
        <is>
          <t>N/A</t>
        </is>
      </c>
      <c r="J90" s="16" t="n">
        <v>1</v>
      </c>
      <c r="K90" s="16" t="n">
        <v>1</v>
      </c>
      <c r="L90" s="16" t="inlineStr">
        <is>
          <t>22.10.2024 02:50:57</t>
        </is>
      </c>
      <c r="M90" s="16" t="inlineStr">
        <is>
          <t>3 min</t>
        </is>
      </c>
      <c r="N90" s="16" t="inlineStr">
        <is>
          <t xml:space="preserve">         28K            26K             4K</t>
        </is>
      </c>
      <c r="O90" s="16" t="inlineStr">
        <is>
          <t>2xrC8L2e3qdrcG7oH6wXmKggAzGgeDuhz3t5Fxv7pump</t>
        </is>
      </c>
      <c r="P90" s="16">
        <f>HYPERLINK("https://dexscreener.com/solana/2xrC8L2e3qdrcG7oH6wXmKggAzGgeDuhz3t5Fxv7pump", "View")</f>
        <v/>
      </c>
    </row>
    <row r="91">
      <c r="A91" s="19" t="inlineStr">
        <is>
          <t>REMILIAI</t>
        </is>
      </c>
      <c r="B91" s="20" t="n">
        <v>869855</v>
      </c>
      <c r="C91" s="20" t="n">
        <v>869855</v>
      </c>
      <c r="D91" s="20" t="inlineStr">
        <is>
          <t>0.000020</t>
        </is>
      </c>
      <c r="E91" s="20" t="inlineStr">
        <is>
          <t>1.000 SOL</t>
        </is>
      </c>
      <c r="F91" s="20" t="inlineStr">
        <is>
          <t>1.063 SOL</t>
        </is>
      </c>
      <c r="G91" s="22" t="inlineStr">
        <is>
          <t>0.063 SOL</t>
        </is>
      </c>
      <c r="H91" s="22" t="inlineStr">
        <is>
          <t>6.26%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22.10.2024 02:31:53</t>
        </is>
      </c>
      <c r="M91" s="18" t="inlineStr">
        <is>
          <t>58 sec</t>
        </is>
      </c>
      <c r="N91" s="20" t="inlineStr">
        <is>
          <t xml:space="preserve">        202K           214K            13K</t>
        </is>
      </c>
      <c r="O91" s="20" t="inlineStr">
        <is>
          <t>55kg2An8ucQzEzXpvNVpYXq9579dETmgkbYVud1vpump</t>
        </is>
      </c>
      <c r="P91" s="20">
        <f>HYPERLINK("https://dexscreener.com/solana/55kg2An8ucQzEzXpvNVpYXq9579dETmgkbYVud1vpump", "View")</f>
        <v/>
      </c>
    </row>
    <row r="92">
      <c r="A92" s="15" t="inlineStr">
        <is>
          <t>Whip</t>
        </is>
      </c>
      <c r="B92" s="16" t="n">
        <v>5150018</v>
      </c>
      <c r="C92" s="16" t="n">
        <v>5150018</v>
      </c>
      <c r="D92" s="16" t="inlineStr">
        <is>
          <t>0.060030</t>
        </is>
      </c>
      <c r="E92" s="16" t="inlineStr">
        <is>
          <t>2.000 SOL</t>
        </is>
      </c>
      <c r="F92" s="16" t="inlineStr">
        <is>
          <t>1.907 SOL</t>
        </is>
      </c>
      <c r="G92" s="21" t="inlineStr">
        <is>
          <t>-0.153 SOL</t>
        </is>
      </c>
      <c r="H92" s="21" t="inlineStr">
        <is>
          <t>-7.43%</t>
        </is>
      </c>
      <c r="I92" s="16" t="inlineStr">
        <is>
          <t>N/A</t>
        </is>
      </c>
      <c r="J92" s="16" t="n">
        <v>2</v>
      </c>
      <c r="K92" s="16" t="n">
        <v>2</v>
      </c>
      <c r="L92" s="16" t="inlineStr">
        <is>
          <t>22.10.2024 01:14:31</t>
        </is>
      </c>
      <c r="M92" s="16" t="inlineStr">
        <is>
          <t>8 min</t>
        </is>
      </c>
      <c r="N92" s="16" t="inlineStr">
        <is>
          <t xml:space="preserve">         60K            97K            12K</t>
        </is>
      </c>
      <c r="O92" s="16" t="inlineStr">
        <is>
          <t>AHf7kfRnDSMMNxZBq9W3SRMznsLH7NkbfrvPoPpCpump</t>
        </is>
      </c>
      <c r="P92" s="16">
        <f>HYPERLINK("https://dexscreener.com/solana/AHf7kfRnDSMMNxZBq9W3SRMznsLH7NkbfrvPoPpCpump", "View")</f>
        <v/>
      </c>
    </row>
    <row r="93">
      <c r="A93" s="19" t="inlineStr">
        <is>
          <t>JOKERS</t>
        </is>
      </c>
      <c r="B93" s="20" t="n">
        <v>6210498</v>
      </c>
      <c r="C93" s="20" t="n">
        <v>6210498</v>
      </c>
      <c r="D93" s="20" t="inlineStr">
        <is>
          <t>0.007520</t>
        </is>
      </c>
      <c r="E93" s="20" t="inlineStr">
        <is>
          <t>2.000 SOL</t>
        </is>
      </c>
      <c r="F93" s="20" t="inlineStr">
        <is>
          <t>1.154 SOL</t>
        </is>
      </c>
      <c r="G93" s="21" t="inlineStr">
        <is>
          <t>-0.853 SOL</t>
        </is>
      </c>
      <c r="H93" s="21" t="inlineStr">
        <is>
          <t>-42.50%</t>
        </is>
      </c>
      <c r="I93" s="20" t="inlineStr">
        <is>
          <t>N/A</t>
        </is>
      </c>
      <c r="J93" s="20" t="n">
        <v>1</v>
      </c>
      <c r="K93" s="20" t="n">
        <v>1</v>
      </c>
      <c r="L93" s="20" t="inlineStr">
        <is>
          <t>22.10.2024 00:02:10</t>
        </is>
      </c>
      <c r="M93" s="20" t="inlineStr">
        <is>
          <t>1 min</t>
        </is>
      </c>
      <c r="N93" s="20" t="inlineStr">
        <is>
          <t xml:space="preserve">         56K            33K             4K</t>
        </is>
      </c>
      <c r="O93" s="20" t="inlineStr">
        <is>
          <t>F7WN7oNKZuonYNjg1cUWTgwjXopZHpQV2qqvJLdLpump</t>
        </is>
      </c>
      <c r="P93" s="20">
        <f>HYPERLINK("https://dexscreener.com/solana/F7WN7oNKZuonYNjg1cUWTgwjXopZHpQV2qqvJLdLpump", "View")</f>
        <v/>
      </c>
    </row>
    <row r="94">
      <c r="A94" s="15" t="inlineStr">
        <is>
          <t>ksilisab</t>
        </is>
      </c>
      <c r="B94" s="16" t="n">
        <v>17717603</v>
      </c>
      <c r="C94" s="16" t="n">
        <v>17717603</v>
      </c>
      <c r="D94" s="16" t="inlineStr">
        <is>
          <t>0.007520</t>
        </is>
      </c>
      <c r="E94" s="16" t="inlineStr">
        <is>
          <t>2.000 SOL</t>
        </is>
      </c>
      <c r="F94" s="16" t="inlineStr">
        <is>
          <t>2.063 SOL</t>
        </is>
      </c>
      <c r="G94" s="22" t="inlineStr">
        <is>
          <t>0.056 SOL</t>
        </is>
      </c>
      <c r="H94" s="22" t="inlineStr">
        <is>
          <t>2.78%</t>
        </is>
      </c>
      <c r="I94" s="16" t="inlineStr">
        <is>
          <t>N/A</t>
        </is>
      </c>
      <c r="J94" s="16" t="n">
        <v>1</v>
      </c>
      <c r="K94" s="16" t="n">
        <v>1</v>
      </c>
      <c r="L94" s="16" t="inlineStr">
        <is>
          <t>21.10.2024 18:54:43</t>
        </is>
      </c>
      <c r="M94" s="16" t="inlineStr">
        <is>
          <t>13 min</t>
        </is>
      </c>
      <c r="N94" s="16" t="inlineStr">
        <is>
          <t xml:space="preserve">         19K            21K             9K</t>
        </is>
      </c>
      <c r="O94" s="16" t="inlineStr">
        <is>
          <t>Exicyp4p8VbwsutHUYbuNA3CHyQUHZuzo7FFN1Yepump</t>
        </is>
      </c>
      <c r="P94" s="16">
        <f>HYPERLINK("https://dexscreener.com/solana/Exicyp4p8VbwsutHUYbuNA3CHyQUHZuzo7FFN1Yepump", "View")</f>
        <v/>
      </c>
    </row>
    <row r="95">
      <c r="A95" s="19" t="inlineStr">
        <is>
          <t>Lexapro</t>
        </is>
      </c>
      <c r="B95" s="20" t="n">
        <v>8486439</v>
      </c>
      <c r="C95" s="20" t="n">
        <v>8486439</v>
      </c>
      <c r="D95" s="20" t="inlineStr">
        <is>
          <t>0.007520</t>
        </is>
      </c>
      <c r="E95" s="20" t="inlineStr">
        <is>
          <t>2.000 SOL</t>
        </is>
      </c>
      <c r="F95" s="20" t="inlineStr">
        <is>
          <t>1.780 SOL</t>
        </is>
      </c>
      <c r="G95" s="21" t="inlineStr">
        <is>
          <t>-0.227 SOL</t>
        </is>
      </c>
      <c r="H95" s="21" t="inlineStr">
        <is>
          <t>-11.32%</t>
        </is>
      </c>
      <c r="I95" s="20" t="inlineStr">
        <is>
          <t>N/A</t>
        </is>
      </c>
      <c r="J95" s="20" t="n">
        <v>1</v>
      </c>
      <c r="K95" s="20" t="n">
        <v>1</v>
      </c>
      <c r="L95" s="20" t="inlineStr">
        <is>
          <t>21.10.2024 14:27:53</t>
        </is>
      </c>
      <c r="M95" s="20" t="inlineStr">
        <is>
          <t>6 min</t>
        </is>
      </c>
      <c r="N95" s="20" t="inlineStr">
        <is>
          <t xml:space="preserve">         42K            37K             5K</t>
        </is>
      </c>
      <c r="O95" s="20" t="inlineStr">
        <is>
          <t>BUCYSH1eoz5CtpNRsocKn2uajqxefn9drX2rzLFDpump</t>
        </is>
      </c>
      <c r="P95" s="20">
        <f>HYPERLINK("https://dexscreener.com/solana/BUCYSH1eoz5CtpNRsocKn2uajqxefn9drX2rzLFDpump", "View")</f>
        <v/>
      </c>
    </row>
    <row r="96">
      <c r="A96" s="15" t="inlineStr">
        <is>
          <t>AIMEN</t>
        </is>
      </c>
      <c r="B96" s="16" t="n">
        <v>23393847</v>
      </c>
      <c r="C96" s="16" t="n">
        <v>23393847</v>
      </c>
      <c r="D96" s="16" t="inlineStr">
        <is>
          <t>0.000020</t>
        </is>
      </c>
      <c r="E96" s="16" t="inlineStr">
        <is>
          <t>2.045 SOL</t>
        </is>
      </c>
      <c r="F96" s="16" t="inlineStr">
        <is>
          <t>2.285 SOL</t>
        </is>
      </c>
      <c r="G96" s="22" t="inlineStr">
        <is>
          <t>0.240 SOL</t>
        </is>
      </c>
      <c r="H96" s="22" t="inlineStr">
        <is>
          <t>11.72%</t>
        </is>
      </c>
      <c r="I96" s="16" t="inlineStr">
        <is>
          <t>N/A</t>
        </is>
      </c>
      <c r="J96" s="16" t="n">
        <v>1</v>
      </c>
      <c r="K96" s="16" t="n">
        <v>1</v>
      </c>
      <c r="L96" s="16" t="inlineStr">
        <is>
          <t>21.10.2024 05:07:05</t>
        </is>
      </c>
      <c r="M96" s="16" t="inlineStr">
        <is>
          <t>6 min</t>
        </is>
      </c>
      <c r="N96" s="16" t="inlineStr">
        <is>
          <t xml:space="preserve">         16K            18K             8K</t>
        </is>
      </c>
      <c r="O96" s="16" t="inlineStr">
        <is>
          <t>69tMhFAhwB5LogKVLreE2xEW71Pt7QWZvc2ULPNNpump</t>
        </is>
      </c>
      <c r="P96" s="16">
        <f>HYPERLINK("https://photon-sol.tinyastro.io/en/lp/69tMhFAhwB5LogKVLreE2xEW71Pt7QWZvc2ULPNNpump?handle=676050794bc1b1657a56b", "View")</f>
        <v/>
      </c>
    </row>
    <row r="97">
      <c r="A97" s="19" t="inlineStr">
        <is>
          <t>FatNigga</t>
        </is>
      </c>
      <c r="B97" s="20" t="n">
        <v>9275181</v>
      </c>
      <c r="C97" s="20" t="n">
        <v>9275181</v>
      </c>
      <c r="D97" s="20" t="inlineStr">
        <is>
          <t>0.007520</t>
        </is>
      </c>
      <c r="E97" s="20" t="inlineStr">
        <is>
          <t>2.000 SOL</t>
        </is>
      </c>
      <c r="F97" s="20" t="inlineStr">
        <is>
          <t>1.512 SOL</t>
        </is>
      </c>
      <c r="G97" s="21" t="inlineStr">
        <is>
          <t>-0.496 SOL</t>
        </is>
      </c>
      <c r="H97" s="21" t="inlineStr">
        <is>
          <t>-24.69%</t>
        </is>
      </c>
      <c r="I97" s="20" t="inlineStr">
        <is>
          <t>N/A</t>
        </is>
      </c>
      <c r="J97" s="20" t="n">
        <v>1</v>
      </c>
      <c r="K97" s="20" t="n">
        <v>1</v>
      </c>
      <c r="L97" s="20" t="inlineStr">
        <is>
          <t>20.10.2024 22:39:53</t>
        </is>
      </c>
      <c r="M97" s="20" t="inlineStr">
        <is>
          <t>3 min</t>
        </is>
      </c>
      <c r="N97" s="20" t="inlineStr">
        <is>
          <t xml:space="preserve">         33K            24K            13K</t>
        </is>
      </c>
      <c r="O97" s="20" t="inlineStr">
        <is>
          <t>9FqgLV8f43AEqsLCi1FqmqCtacS91X3rxdLfFavwpump</t>
        </is>
      </c>
      <c r="P97" s="20">
        <f>HYPERLINK("https://dexscreener.com/solana/9FqgLV8f43AEqsLCi1FqmqCtacS91X3rxdLfFavwpump", "View")</f>
        <v/>
      </c>
    </row>
    <row r="98">
      <c r="A98" s="15" t="inlineStr">
        <is>
          <t>fries</t>
        </is>
      </c>
      <c r="B98" s="16" t="n">
        <v>1343246</v>
      </c>
      <c r="C98" s="16" t="n">
        <v>1343246</v>
      </c>
      <c r="D98" s="16" t="inlineStr">
        <is>
          <t>0.000020</t>
        </is>
      </c>
      <c r="E98" s="16" t="inlineStr">
        <is>
          <t>2.000 SOL</t>
        </is>
      </c>
      <c r="F98" s="16" t="inlineStr">
        <is>
          <t>1.512 SOL</t>
        </is>
      </c>
      <c r="G98" s="21" t="inlineStr">
        <is>
          <t>-0.488 SOL</t>
        </is>
      </c>
      <c r="H98" s="21" t="inlineStr">
        <is>
          <t>-24.41%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20.10.2024 19:31:42</t>
        </is>
      </c>
      <c r="M98" s="16" t="inlineStr">
        <is>
          <t>2 min</t>
        </is>
      </c>
      <c r="N98" s="16" t="inlineStr">
        <is>
          <t xml:space="preserve">        262K           198K            37K</t>
        </is>
      </c>
      <c r="O98" s="16" t="inlineStr">
        <is>
          <t>Gk5btcw8ewMpfGimLPwe1ggtLvYa2ejhZWbCLr9opump</t>
        </is>
      </c>
      <c r="P98" s="16">
        <f>HYPERLINK("https://dexscreener.com/solana/Gk5btcw8ewMpfGimLPwe1ggtLvYa2ejhZWbCLr9opump", "View")</f>
        <v/>
      </c>
    </row>
    <row r="99">
      <c r="A99" s="19" t="inlineStr">
        <is>
          <t>VENTURE</t>
        </is>
      </c>
      <c r="B99" s="20" t="n">
        <v>67054949</v>
      </c>
      <c r="C99" s="20" t="n">
        <v>67054949</v>
      </c>
      <c r="D99" s="20" t="inlineStr">
        <is>
          <t>0.000020</t>
        </is>
      </c>
      <c r="E99" s="20" t="inlineStr">
        <is>
          <t>2.040 SOL</t>
        </is>
      </c>
      <c r="F99" s="20" t="inlineStr">
        <is>
          <t>1.962 SOL</t>
        </is>
      </c>
      <c r="G99" s="21" t="inlineStr">
        <is>
          <t>-0.078 SOL</t>
        </is>
      </c>
      <c r="H99" s="21" t="inlineStr">
        <is>
          <t>-3.83%</t>
        </is>
      </c>
      <c r="I99" s="20" t="inlineStr">
        <is>
          <t>N/A</t>
        </is>
      </c>
      <c r="J99" s="20" t="n">
        <v>1</v>
      </c>
      <c r="K99" s="20" t="n">
        <v>1</v>
      </c>
      <c r="L99" s="20" t="inlineStr">
        <is>
          <t>20.10.2024 14:57:22</t>
        </is>
      </c>
      <c r="M99" s="20" t="inlineStr">
        <is>
          <t>1 min</t>
        </is>
      </c>
      <c r="N99" s="20" t="inlineStr">
        <is>
          <t xml:space="preserve">        N/A           N/A           N/A</t>
        </is>
      </c>
      <c r="O99" s="20" t="inlineStr">
        <is>
          <t>7xFLxUtDpQR2PCfhMvJifXMVeNeVJTswaCCqnx7kN9q2</t>
        </is>
      </c>
      <c r="P99" s="20">
        <f>HYPERLINK("https://photon-sol.tinyastro.io/en/lp/7xFLxUtDpQR2PCfhMvJifXMVeNeVJTswaCCqnx7kN9q2?handle=676050794bc1b1657a56b", "View")</f>
        <v/>
      </c>
    </row>
    <row r="100">
      <c r="A100" s="15" t="inlineStr">
        <is>
          <t>LUFI</t>
        </is>
      </c>
      <c r="B100" s="16" t="n">
        <v>5528899</v>
      </c>
      <c r="C100" s="16" t="n">
        <v>5528899</v>
      </c>
      <c r="D100" s="16" t="inlineStr">
        <is>
          <t>0.000020</t>
        </is>
      </c>
      <c r="E100" s="16" t="inlineStr">
        <is>
          <t>2.000 SOL</t>
        </is>
      </c>
      <c r="F100" s="16" t="inlineStr">
        <is>
          <t>2.048 SOL</t>
        </is>
      </c>
      <c r="G100" s="22" t="inlineStr">
        <is>
          <t>0.048 SOL</t>
        </is>
      </c>
      <c r="H100" s="22" t="inlineStr">
        <is>
          <t>2.40%</t>
        </is>
      </c>
      <c r="I100" s="16" t="inlineStr">
        <is>
          <t>N/A</t>
        </is>
      </c>
      <c r="J100" s="16" t="n">
        <v>1</v>
      </c>
      <c r="K100" s="16" t="n">
        <v>1</v>
      </c>
      <c r="L100" s="16" t="inlineStr">
        <is>
          <t>19.10.2024 23:51:51</t>
        </is>
      </c>
      <c r="M100" s="16" t="inlineStr">
        <is>
          <t>1 min</t>
        </is>
      </c>
      <c r="N100" s="16" t="inlineStr">
        <is>
          <t xml:space="preserve">         63K            65K            87K</t>
        </is>
      </c>
      <c r="O100" s="16" t="inlineStr">
        <is>
          <t>AVWsE5PJv3oZPzmurvD6cSwvS1x7bPhj1nFz2LMHFxoK</t>
        </is>
      </c>
      <c r="P100" s="16">
        <f>HYPERLINK("https://dexscreener.com/solana/AVWsE5PJv3oZPzmurvD6cSwvS1x7bPhj1nFz2LMHFxoK", "View")</f>
        <v/>
      </c>
    </row>
    <row r="101">
      <c r="A101" s="19" t="inlineStr">
        <is>
          <t>CATGF</t>
        </is>
      </c>
      <c r="B101" s="20" t="n">
        <v>2054305</v>
      </c>
      <c r="C101" s="20" t="n">
        <v>2054305</v>
      </c>
      <c r="D101" s="20" t="inlineStr">
        <is>
          <t>0.000030</t>
        </is>
      </c>
      <c r="E101" s="20" t="inlineStr">
        <is>
          <t>4.000 SOL</t>
        </is>
      </c>
      <c r="F101" s="20" t="inlineStr">
        <is>
          <t>4.691 SOL</t>
        </is>
      </c>
      <c r="G101" s="22" t="inlineStr">
        <is>
          <t>0.691 SOL</t>
        </is>
      </c>
      <c r="H101" s="22" t="inlineStr">
        <is>
          <t>17.27%</t>
        </is>
      </c>
      <c r="I101" s="20" t="inlineStr">
        <is>
          <t>N/A</t>
        </is>
      </c>
      <c r="J101" s="20" t="n">
        <v>2</v>
      </c>
      <c r="K101" s="20" t="n">
        <v>1</v>
      </c>
      <c r="L101" s="20" t="inlineStr">
        <is>
          <t>19.10.2024 22:16:20</t>
        </is>
      </c>
      <c r="M101" s="18" t="inlineStr">
        <is>
          <t>56 sec</t>
        </is>
      </c>
      <c r="N101" s="20" t="inlineStr">
        <is>
          <t xml:space="preserve">        355K           400K             4M</t>
        </is>
      </c>
      <c r="O101" s="20" t="inlineStr">
        <is>
          <t>GVwpWU5PtJFHS1mH35sHmsRN1XWUwRV3Qo94h5Lepump</t>
        </is>
      </c>
      <c r="P101" s="20">
        <f>HYPERLINK("https://dexscreener.com/solana/GVwpWU5PtJFHS1mH35sHmsRN1XWUwRV3Qo94h5Lepump", "View")</f>
        <v/>
      </c>
    </row>
    <row r="102">
      <c r="A102" s="15" t="inlineStr">
        <is>
          <t>QUBIT</t>
        </is>
      </c>
      <c r="B102" s="16" t="n">
        <v>8318290</v>
      </c>
      <c r="C102" s="16" t="n">
        <v>8318290</v>
      </c>
      <c r="D102" s="16" t="inlineStr">
        <is>
          <t>0.007530</t>
        </is>
      </c>
      <c r="E102" s="16" t="inlineStr">
        <is>
          <t>4.000 SOL</t>
        </is>
      </c>
      <c r="F102" s="16" t="inlineStr">
        <is>
          <t>3.876 SOL</t>
        </is>
      </c>
      <c r="G102" s="21" t="inlineStr">
        <is>
          <t>-0.131 SOL</t>
        </is>
      </c>
      <c r="H102" s="21" t="inlineStr">
        <is>
          <t>-3.27%</t>
        </is>
      </c>
      <c r="I102" s="16" t="inlineStr">
        <is>
          <t>N/A</t>
        </is>
      </c>
      <c r="J102" s="16" t="n">
        <v>2</v>
      </c>
      <c r="K102" s="16" t="n">
        <v>1</v>
      </c>
      <c r="L102" s="16" t="inlineStr">
        <is>
          <t>19.10.2024 18:20:22</t>
        </is>
      </c>
      <c r="M102" s="16" t="inlineStr">
        <is>
          <t>5 min</t>
        </is>
      </c>
      <c r="N102" s="16" t="inlineStr">
        <is>
          <t xml:space="preserve">         82K            82K             5K</t>
        </is>
      </c>
      <c r="O102" s="16" t="inlineStr">
        <is>
          <t>BmoisRvhTBiFWuPLNrtEPZEAkdeDNyZgTmQ9jg1Bpump</t>
        </is>
      </c>
      <c r="P102" s="16">
        <f>HYPERLINK("https://dexscreener.com/solana/BmoisRvhTBiFWuPLNrtEPZEAkdeDNyZgTmQ9jg1Bpump", "View")</f>
        <v/>
      </c>
    </row>
    <row r="103">
      <c r="A103" s="19" t="inlineStr">
        <is>
          <t>PURPLE</t>
        </is>
      </c>
      <c r="B103" s="20" t="n">
        <v>18467595</v>
      </c>
      <c r="C103" s="20" t="n">
        <v>18467595</v>
      </c>
      <c r="D103" s="20" t="inlineStr">
        <is>
          <t>0.007520</t>
        </is>
      </c>
      <c r="E103" s="20" t="inlineStr">
        <is>
          <t>2.048 SOL</t>
        </is>
      </c>
      <c r="F103" s="20" t="inlineStr">
        <is>
          <t>1.764 SOL</t>
        </is>
      </c>
      <c r="G103" s="21" t="inlineStr">
        <is>
          <t>-0.291 SOL</t>
        </is>
      </c>
      <c r="H103" s="21" t="inlineStr">
        <is>
          <t>-14.18%</t>
        </is>
      </c>
      <c r="I103" s="20" t="inlineStr">
        <is>
          <t>N/A</t>
        </is>
      </c>
      <c r="J103" s="20" t="n">
        <v>1</v>
      </c>
      <c r="K103" s="20" t="n">
        <v>1</v>
      </c>
      <c r="L103" s="20" t="inlineStr">
        <is>
          <t>19.10.2024 18:13:03</t>
        </is>
      </c>
      <c r="M103" s="20" t="inlineStr">
        <is>
          <t>2 min</t>
        </is>
      </c>
      <c r="N103" s="20" t="inlineStr">
        <is>
          <t xml:space="preserve">         19K            17K             6K</t>
        </is>
      </c>
      <c r="O103" s="20" t="inlineStr">
        <is>
          <t>4CaVdzttpJ1ALEeCxsPuMD9fP14YKHm998quUYFspump</t>
        </is>
      </c>
      <c r="P103" s="20">
        <f>HYPERLINK("https://photon-sol.tinyastro.io/en/lp/4CaVdzttpJ1ALEeCxsPuMD9fP14YKHm998quUYFspump?handle=676050794bc1b1657a56b", "View")</f>
        <v/>
      </c>
    </row>
    <row r="104">
      <c r="A104" s="15" t="inlineStr">
        <is>
          <t>MLG</t>
        </is>
      </c>
      <c r="B104" s="16" t="n">
        <v>22917088</v>
      </c>
      <c r="C104" s="16" t="n">
        <v>3093065</v>
      </c>
      <c r="D104" s="16" t="inlineStr">
        <is>
          <t>0.000100</t>
        </is>
      </c>
      <c r="E104" s="16" t="inlineStr">
        <is>
          <t>6.000 SOL</t>
        </is>
      </c>
      <c r="F104" s="16" t="inlineStr">
        <is>
          <t>9.938 SOL</t>
        </is>
      </c>
      <c r="G104" s="23" t="inlineStr">
        <is>
          <t>3.938 SOL</t>
        </is>
      </c>
      <c r="H104" s="23" t="inlineStr">
        <is>
          <t>65.63%</t>
        </is>
      </c>
      <c r="I104" s="16" t="inlineStr">
        <is>
          <t>N/A</t>
        </is>
      </c>
      <c r="J104" s="16" t="n">
        <v>3</v>
      </c>
      <c r="K104" s="16" t="n">
        <v>1</v>
      </c>
      <c r="L104" s="16" t="inlineStr">
        <is>
          <t>19.10.2024 16:44:06</t>
        </is>
      </c>
      <c r="M104" s="16" t="inlineStr">
        <is>
          <t>2 days</t>
        </is>
      </c>
      <c r="N104" s="16" t="inlineStr">
        <is>
          <t xml:space="preserve">        312K            18K             3M</t>
        </is>
      </c>
      <c r="O104" s="16" t="inlineStr">
        <is>
          <t>7XJiwLDrjzxDYdZipnJXzpr1iDTmK55XixSFAa7JgNEL</t>
        </is>
      </c>
      <c r="P104" s="16">
        <f>HYPERLINK("https://dexscreener.com/solana/7XJiwLDrjzxDYdZipnJXzpr1iDTmK55XixSFAa7JgNEL", "View")</f>
        <v/>
      </c>
    </row>
    <row r="105">
      <c r="A105" s="19" t="inlineStr">
        <is>
          <t>👮</t>
        </is>
      </c>
      <c r="B105" s="20" t="n">
        <v>9748370</v>
      </c>
      <c r="C105" s="20" t="n">
        <v>9748370</v>
      </c>
      <c r="D105" s="20" t="inlineStr">
        <is>
          <t>0.000290</t>
        </is>
      </c>
      <c r="E105" s="20" t="inlineStr">
        <is>
          <t>2.020 SOL</t>
        </is>
      </c>
      <c r="F105" s="20" t="inlineStr">
        <is>
          <t>1.596 SOL</t>
        </is>
      </c>
      <c r="G105" s="21" t="inlineStr">
        <is>
          <t>-0.424 SOL</t>
        </is>
      </c>
      <c r="H105" s="21" t="inlineStr">
        <is>
          <t>-20.99%</t>
        </is>
      </c>
      <c r="I105" s="20" t="inlineStr">
        <is>
          <t>N/A</t>
        </is>
      </c>
      <c r="J105" s="20" t="n">
        <v>1</v>
      </c>
      <c r="K105" s="20" t="n">
        <v>1</v>
      </c>
      <c r="L105" s="20" t="inlineStr">
        <is>
          <t>19.10.2024 14:56:52</t>
        </is>
      </c>
      <c r="M105" s="20" t="inlineStr">
        <is>
          <t>1 days</t>
        </is>
      </c>
      <c r="N105" s="20" t="inlineStr">
        <is>
          <t xml:space="preserve">         36K            36K             5K</t>
        </is>
      </c>
      <c r="O105" s="20" t="inlineStr">
        <is>
          <t>GmWx66Fa2dgWcUmZCPVTSbW9ujTiGfC9yE5Ns8ivmHF3</t>
        </is>
      </c>
      <c r="P105" s="20">
        <f>HYPERLINK("https://dexscreener.com/solana/GmWx66Fa2dgWcUmZCPVTSbW9ujTiGfC9yE5Ns8ivmHF3", "View")</f>
        <v/>
      </c>
    </row>
    <row r="106">
      <c r="A106" s="15" t="inlineStr">
        <is>
          <t>HPMOR</t>
        </is>
      </c>
      <c r="B106" s="16" t="n">
        <v>222673</v>
      </c>
      <c r="C106" s="16" t="n">
        <v>222673</v>
      </c>
      <c r="D106" s="16" t="inlineStr">
        <is>
          <t>0.000020</t>
        </is>
      </c>
      <c r="E106" s="16" t="inlineStr">
        <is>
          <t>2.000 SOL</t>
        </is>
      </c>
      <c r="F106" s="16" t="inlineStr">
        <is>
          <t>2.370 SOL</t>
        </is>
      </c>
      <c r="G106" s="22" t="inlineStr">
        <is>
          <t>0.370 SOL</t>
        </is>
      </c>
      <c r="H106" s="22" t="inlineStr">
        <is>
          <t>18.51%</t>
        </is>
      </c>
      <c r="I106" s="16" t="inlineStr">
        <is>
          <t>N/A</t>
        </is>
      </c>
      <c r="J106" s="16" t="n">
        <v>1</v>
      </c>
      <c r="K106" s="16" t="n">
        <v>1</v>
      </c>
      <c r="L106" s="16" t="inlineStr">
        <is>
          <t>19.10.2024 14:16:18</t>
        </is>
      </c>
      <c r="M106" s="16" t="inlineStr">
        <is>
          <t>6 min</t>
        </is>
      </c>
      <c r="N106" s="16" t="inlineStr">
        <is>
          <t xml:space="preserve">        468K           555K            71K</t>
        </is>
      </c>
      <c r="O106" s="16" t="inlineStr">
        <is>
          <t>DGNPWhLVfkEJX16jH25c6y3jQWsdVXKPFx2tD3i9pump</t>
        </is>
      </c>
      <c r="P106" s="16">
        <f>HYPERLINK("https://dexscreener.com/solana/DGNPWhLVfkEJX16jH25c6y3jQWsdVXKPFx2tD3i9pump", "View")</f>
        <v/>
      </c>
    </row>
    <row r="107">
      <c r="A107" s="19" t="inlineStr">
        <is>
          <t>LILBRO</t>
        </is>
      </c>
      <c r="B107" s="20" t="n">
        <v>13438285480</v>
      </c>
      <c r="C107" s="20" t="n">
        <v>13438285480</v>
      </c>
      <c r="D107" s="20" t="inlineStr">
        <is>
          <t>0.000040</t>
        </is>
      </c>
      <c r="E107" s="20" t="inlineStr">
        <is>
          <t>2.000 SOL</t>
        </is>
      </c>
      <c r="F107" s="20" t="inlineStr">
        <is>
          <t>1.985 SOL</t>
        </is>
      </c>
      <c r="G107" s="21" t="inlineStr">
        <is>
          <t>-0.015 SOL</t>
        </is>
      </c>
      <c r="H107" s="21" t="inlineStr">
        <is>
          <t>-0.75%</t>
        </is>
      </c>
      <c r="I107" s="20" t="inlineStr">
        <is>
          <t>N/A</t>
        </is>
      </c>
      <c r="J107" s="20" t="n">
        <v>1</v>
      </c>
      <c r="K107" s="20" t="n">
        <v>1</v>
      </c>
      <c r="L107" s="20" t="inlineStr">
        <is>
          <t>19.10.2024 11:48:07</t>
        </is>
      </c>
      <c r="M107" s="20" t="inlineStr">
        <is>
          <t>1 days</t>
        </is>
      </c>
      <c r="N107" s="20" t="inlineStr">
        <is>
          <t xml:space="preserve">        N/A           N/A            34K</t>
        </is>
      </c>
      <c r="O107" s="20" t="inlineStr">
        <is>
          <t>FY1iCDtf1zxsRSsDqeybryLXvQg7K9huMRGVDmCRNwa3</t>
        </is>
      </c>
      <c r="P107" s="20">
        <f>HYPERLINK("https://dexscreener.com/solana/FY1iCDtf1zxsRSsDqeybryLXvQg7K9huMRGVDmCRNwa3", "View")</f>
        <v/>
      </c>
    </row>
    <row r="108">
      <c r="A108" s="15" t="inlineStr">
        <is>
          <t>WIGGER</t>
        </is>
      </c>
      <c r="B108" s="16" t="n">
        <v>9206928</v>
      </c>
      <c r="C108" s="16" t="n">
        <v>3912944</v>
      </c>
      <c r="D108" s="16" t="inlineStr">
        <is>
          <t>0.000050</t>
        </is>
      </c>
      <c r="E108" s="16" t="inlineStr">
        <is>
          <t>2.000 SOL</t>
        </is>
      </c>
      <c r="F108" s="16" t="inlineStr">
        <is>
          <t>4.930 SOL</t>
        </is>
      </c>
      <c r="G108" s="23" t="inlineStr">
        <is>
          <t>2.930 SOL</t>
        </is>
      </c>
      <c r="H108" s="23" t="inlineStr">
        <is>
          <t>146.48%</t>
        </is>
      </c>
      <c r="I108" s="16" t="inlineStr">
        <is>
          <t>N/A</t>
        </is>
      </c>
      <c r="J108" s="16" t="n">
        <v>1</v>
      </c>
      <c r="K108" s="16" t="n">
        <v>1</v>
      </c>
      <c r="L108" s="16" t="inlineStr">
        <is>
          <t>19.10.2024 11:47:35</t>
        </is>
      </c>
      <c r="M108" s="16" t="inlineStr">
        <is>
          <t>3 days</t>
        </is>
      </c>
      <c r="N108" s="16" t="inlineStr">
        <is>
          <t xml:space="preserve">         39K            39K            76K</t>
        </is>
      </c>
      <c r="O108" s="16" t="inlineStr">
        <is>
          <t>GSHfEbqXbUfWg7vHhQFHdPkyiQNh47mehGDh5NeNpump</t>
        </is>
      </c>
      <c r="P108" s="16">
        <f>HYPERLINK("https://dexscreener.com/solana/GSHfEbqXbUfWg7vHhQFHdPkyiQNh47mehGDh5NeNpump", "View")</f>
        <v/>
      </c>
    </row>
    <row r="109">
      <c r="A109" s="19" t="inlineStr">
        <is>
          <t>TROOPER</t>
        </is>
      </c>
      <c r="B109" s="20" t="n">
        <v>5117167</v>
      </c>
      <c r="C109" s="20" t="n">
        <v>5117167</v>
      </c>
      <c r="D109" s="20" t="inlineStr">
        <is>
          <t>0.007550</t>
        </is>
      </c>
      <c r="E109" s="20" t="inlineStr">
        <is>
          <t>0.500 SOL</t>
        </is>
      </c>
      <c r="F109" s="20" t="inlineStr">
        <is>
          <t>0.380 SOL</t>
        </is>
      </c>
      <c r="G109" s="21" t="inlineStr">
        <is>
          <t>-0.127 SOL</t>
        </is>
      </c>
      <c r="H109" s="21" t="inlineStr">
        <is>
          <t>-25.04%</t>
        </is>
      </c>
      <c r="I109" s="20" t="inlineStr">
        <is>
          <t>N/A</t>
        </is>
      </c>
      <c r="J109" s="20" t="n">
        <v>1</v>
      </c>
      <c r="K109" s="20" t="n">
        <v>1</v>
      </c>
      <c r="L109" s="20" t="inlineStr">
        <is>
          <t>18.10.2024 08:06:26</t>
        </is>
      </c>
      <c r="M109" s="20" t="inlineStr">
        <is>
          <t>2 days</t>
        </is>
      </c>
      <c r="N109" s="20" t="inlineStr">
        <is>
          <t xml:space="preserve">         18K            18K             7K</t>
        </is>
      </c>
      <c r="O109" s="20" t="inlineStr">
        <is>
          <t>39uTeePcfcQBJe7VCWL3s5DXJz7n1FRajMB69Ejrpump</t>
        </is>
      </c>
      <c r="P109" s="20">
        <f>HYPERLINK("https://dexscreener.com/solana/39uTeePcfcQBJe7VCWL3s5DXJz7n1FRajMB69Ejrpump", "View")</f>
        <v/>
      </c>
    </row>
    <row r="110">
      <c r="A110" s="15" t="inlineStr">
        <is>
          <t>HELEN</t>
        </is>
      </c>
      <c r="B110" s="16" t="n">
        <v>3854767</v>
      </c>
      <c r="C110" s="16" t="n">
        <v>3854767</v>
      </c>
      <c r="D110" s="16" t="inlineStr">
        <is>
          <t>0.007550</t>
        </is>
      </c>
      <c r="E110" s="16" t="inlineStr">
        <is>
          <t>2.000 SOL</t>
        </is>
      </c>
      <c r="F110" s="16" t="inlineStr">
        <is>
          <t>1.690 SOL</t>
        </is>
      </c>
      <c r="G110" s="21" t="inlineStr">
        <is>
          <t>-0.317 SOL</t>
        </is>
      </c>
      <c r="H110" s="21" t="inlineStr">
        <is>
          <t>-15.81%</t>
        </is>
      </c>
      <c r="I110" s="16" t="inlineStr">
        <is>
          <t>N/A</t>
        </is>
      </c>
      <c r="J110" s="16" t="n">
        <v>1</v>
      </c>
      <c r="K110" s="16" t="n">
        <v>2</v>
      </c>
      <c r="L110" s="16" t="inlineStr">
        <is>
          <t>18.10.2024 08:06:04</t>
        </is>
      </c>
      <c r="M110" s="16" t="inlineStr">
        <is>
          <t>1 days</t>
        </is>
      </c>
      <c r="N110" s="16" t="inlineStr">
        <is>
          <t xml:space="preserve">         91K            91K            68K</t>
        </is>
      </c>
      <c r="O110" s="16" t="inlineStr">
        <is>
          <t>6iZjpBJPmwBEfJKoG6fKJkJHgn19U5gizLVdyh4vpump</t>
        </is>
      </c>
      <c r="P110" s="16">
        <f>HYPERLINK("https://dexscreener.com/solana/6iZjpBJPmwBEfJKoG6fKJkJHgn19U5gizLVdyh4vpump", "View")</f>
        <v/>
      </c>
    </row>
    <row r="111">
      <c r="A111" s="19" t="inlineStr">
        <is>
          <t>RAPED</t>
        </is>
      </c>
      <c r="B111" s="20" t="n">
        <v>9601979</v>
      </c>
      <c r="C111" s="20" t="n">
        <v>0</v>
      </c>
      <c r="D111" s="20" t="inlineStr">
        <is>
          <t>0.075010</t>
        </is>
      </c>
      <c r="E111" s="20" t="inlineStr">
        <is>
          <t>3.124 SOL</t>
        </is>
      </c>
      <c r="F111" s="20" t="inlineStr">
        <is>
          <t>0.000 SOL</t>
        </is>
      </c>
      <c r="G111" s="17" t="inlineStr">
        <is>
          <t>-3.199 SOL</t>
        </is>
      </c>
      <c r="H111" s="17" t="inlineStr">
        <is>
          <t>0.00%</t>
        </is>
      </c>
      <c r="I111" s="20" t="inlineStr">
        <is>
          <t>9,601,979</t>
        </is>
      </c>
      <c r="J111" s="20" t="n">
        <v>1</v>
      </c>
      <c r="K111" s="20" t="n">
        <v>0</v>
      </c>
      <c r="L111" s="20" t="inlineStr">
        <is>
          <t>18.10.2024 06:57:10</t>
        </is>
      </c>
      <c r="M111" s="18" t="inlineStr">
        <is>
          <t>0 sec</t>
        </is>
      </c>
      <c r="N111" s="20" t="inlineStr">
        <is>
          <t xml:space="preserve">         58K            58K             9K</t>
        </is>
      </c>
      <c r="O111" s="20" t="inlineStr">
        <is>
          <t>GCkgnJ4rfauRomni43MprzRmUAYW6oVKBCuL1SzWpump</t>
        </is>
      </c>
      <c r="P111" s="20">
        <f>HYPERLINK("https://photon-sol.tinyastro.io/en/lp/GCkgnJ4rfauRomni43MprzRmUAYW6oVKBCuL1SzWpump?handle=676050794bc1b1657a56b", "View")</f>
        <v/>
      </c>
    </row>
    <row r="112">
      <c r="A112" s="15" t="inlineStr">
        <is>
          <t>🍗</t>
        </is>
      </c>
      <c r="B112" s="16" t="n">
        <v>4594128</v>
      </c>
      <c r="C112" s="16" t="n">
        <v>0</v>
      </c>
      <c r="D112" s="16" t="inlineStr">
        <is>
          <t>0.000010</t>
        </is>
      </c>
      <c r="E112" s="16" t="inlineStr">
        <is>
          <t>2.000 SOL</t>
        </is>
      </c>
      <c r="F112" s="16" t="inlineStr">
        <is>
          <t>0.000 SOL</t>
        </is>
      </c>
      <c r="G112" s="17" t="inlineStr">
        <is>
          <t>-2.000 SOL</t>
        </is>
      </c>
      <c r="H112" s="17" t="inlineStr">
        <is>
          <t>0.00%</t>
        </is>
      </c>
      <c r="I112" s="16" t="inlineStr">
        <is>
          <t>4,594,128</t>
        </is>
      </c>
      <c r="J112" s="16" t="n">
        <v>1</v>
      </c>
      <c r="K112" s="16" t="n">
        <v>0</v>
      </c>
      <c r="L112" s="16" t="inlineStr">
        <is>
          <t>18.10.2024 00:38:03</t>
        </is>
      </c>
      <c r="M112" s="18" t="inlineStr">
        <is>
          <t>0 sec</t>
        </is>
      </c>
      <c r="N112" s="16" t="inlineStr">
        <is>
          <t xml:space="preserve">         77K            77K            16K</t>
        </is>
      </c>
      <c r="O112" s="16" t="inlineStr">
        <is>
          <t>2Kg4W6C6dhGGYHjrn6pMYpjDdbXN2T3gYNJ2PApspump</t>
        </is>
      </c>
      <c r="P112" s="16">
        <f>HYPERLINK("https://dexscreener.com/solana/2Kg4W6C6dhGGYHjrn6pMYpjDdbXN2T3gYNJ2PApspump", "View")</f>
        <v/>
      </c>
    </row>
    <row r="113">
      <c r="A113" s="19" t="inlineStr">
        <is>
          <t>PEEK</t>
        </is>
      </c>
      <c r="B113" s="20" t="n">
        <v>920995</v>
      </c>
      <c r="C113" s="20" t="n">
        <v>920995</v>
      </c>
      <c r="D113" s="20" t="inlineStr">
        <is>
          <t>0.007520</t>
        </is>
      </c>
      <c r="E113" s="20" t="inlineStr">
        <is>
          <t>2.000 SOL</t>
        </is>
      </c>
      <c r="F113" s="20" t="inlineStr">
        <is>
          <t>1.992 SOL</t>
        </is>
      </c>
      <c r="G113" s="21" t="inlineStr">
        <is>
          <t>-0.016 SOL</t>
        </is>
      </c>
      <c r="H113" s="21" t="inlineStr">
        <is>
          <t>-0.78%</t>
        </is>
      </c>
      <c r="I113" s="20" t="inlineStr">
        <is>
          <t>N/A</t>
        </is>
      </c>
      <c r="J113" s="20" t="n">
        <v>1</v>
      </c>
      <c r="K113" s="20" t="n">
        <v>1</v>
      </c>
      <c r="L113" s="20" t="inlineStr">
        <is>
          <t>17.10.2024 20:09:06</t>
        </is>
      </c>
      <c r="M113" s="20" t="inlineStr">
        <is>
          <t>2 min</t>
        </is>
      </c>
      <c r="N113" s="20" t="inlineStr">
        <is>
          <t xml:space="preserve">        381K           379K            37K</t>
        </is>
      </c>
      <c r="O113" s="20" t="inlineStr">
        <is>
          <t>PrsARm8CKbv5osQ33absu47rEnpfYUyBaUckbD7pump</t>
        </is>
      </c>
      <c r="P113" s="20">
        <f>HYPERLINK("https://dexscreener.com/solana/PrsARm8CKbv5osQ33absu47rEnpfYUyBaUckbD7pump", "View")</f>
        <v/>
      </c>
    </row>
    <row r="114">
      <c r="A114" s="15" t="inlineStr">
        <is>
          <t>rAI</t>
        </is>
      </c>
      <c r="B114" s="16" t="n">
        <v>44043997</v>
      </c>
      <c r="C114" s="16" t="n">
        <v>44043997</v>
      </c>
      <c r="D114" s="16" t="inlineStr">
        <is>
          <t>0.000030</t>
        </is>
      </c>
      <c r="E114" s="16" t="inlineStr">
        <is>
          <t>3.059 SOL</t>
        </is>
      </c>
      <c r="F114" s="16" t="inlineStr">
        <is>
          <t>1.439 SOL</t>
        </is>
      </c>
      <c r="G114" s="24" t="inlineStr">
        <is>
          <t>-1.620 SOL</t>
        </is>
      </c>
      <c r="H114" s="24" t="inlineStr">
        <is>
          <t>-52.95%</t>
        </is>
      </c>
      <c r="I114" s="16" t="inlineStr">
        <is>
          <t>N/A</t>
        </is>
      </c>
      <c r="J114" s="16" t="n">
        <v>2</v>
      </c>
      <c r="K114" s="16" t="n">
        <v>1</v>
      </c>
      <c r="L114" s="16" t="inlineStr">
        <is>
          <t>17.10.2024 02:41:10</t>
        </is>
      </c>
      <c r="M114" s="16" t="inlineStr">
        <is>
          <t>31 min</t>
        </is>
      </c>
      <c r="N114" s="16" t="inlineStr">
        <is>
          <t xml:space="preserve">         25K             5K             5K</t>
        </is>
      </c>
      <c r="O114" s="16" t="inlineStr">
        <is>
          <t>9c8tdGQLcugSApguqsVYpAj9jvTJ2hzszfaeJh3Dpump</t>
        </is>
      </c>
      <c r="P114" s="16">
        <f>HYPERLINK("https://photon-sol.tinyastro.io/en/lp/9c8tdGQLcugSApguqsVYpAj9jvTJ2hzszfaeJh3Dpump?handle=676050794bc1b1657a56b", "View")</f>
        <v/>
      </c>
    </row>
    <row r="115">
      <c r="A115" s="19" t="inlineStr">
        <is>
          <t>EXODIA</t>
        </is>
      </c>
      <c r="B115" s="20" t="n">
        <v>401908546</v>
      </c>
      <c r="C115" s="20" t="n">
        <v>401908546</v>
      </c>
      <c r="D115" s="20" t="inlineStr">
        <is>
          <t>0.000020</t>
        </is>
      </c>
      <c r="E115" s="20" t="inlineStr">
        <is>
          <t>2.000 SOL</t>
        </is>
      </c>
      <c r="F115" s="20" t="inlineStr">
        <is>
          <t>2.037 SOL</t>
        </is>
      </c>
      <c r="G115" s="22" t="inlineStr">
        <is>
          <t>0.037 SOL</t>
        </is>
      </c>
      <c r="H115" s="22" t="inlineStr">
        <is>
          <t>1.83%</t>
        </is>
      </c>
      <c r="I115" s="20" t="inlineStr">
        <is>
          <t>N/A</t>
        </is>
      </c>
      <c r="J115" s="20" t="n">
        <v>1</v>
      </c>
      <c r="K115" s="20" t="n">
        <v>1</v>
      </c>
      <c r="L115" s="20" t="inlineStr">
        <is>
          <t>17.10.2024 01:21:31</t>
        </is>
      </c>
      <c r="M115" s="20" t="inlineStr">
        <is>
          <t>2 min</t>
        </is>
      </c>
      <c r="N115" s="20" t="inlineStr">
        <is>
          <t xml:space="preserve">        N/A             1M           126K</t>
        </is>
      </c>
      <c r="O115" s="20" t="inlineStr">
        <is>
          <t>3cy8N3asQY3WKBWaeBY3MzBQzbD4Mpy1nyGYoYKdNioA</t>
        </is>
      </c>
      <c r="P115" s="20">
        <f>HYPERLINK("https://dexscreener.com/solana/3cy8N3asQY3WKBWaeBY3MzBQzbD4Mpy1nyGYoYKdNioA", "View")</f>
        <v/>
      </c>
    </row>
    <row r="116">
      <c r="A116" s="15" t="inlineStr">
        <is>
          <t>CORA</t>
        </is>
      </c>
      <c r="B116" s="16" t="n">
        <v>44306839</v>
      </c>
      <c r="C116" s="16" t="n">
        <v>44306839</v>
      </c>
      <c r="D116" s="16" t="inlineStr">
        <is>
          <t>0.007540</t>
        </is>
      </c>
      <c r="E116" s="16" t="inlineStr">
        <is>
          <t>4.086 SOL</t>
        </is>
      </c>
      <c r="F116" s="16" t="inlineStr">
        <is>
          <t>6.597 SOL</t>
        </is>
      </c>
      <c r="G116" s="23" t="inlineStr">
        <is>
          <t>2.504 SOL</t>
        </is>
      </c>
      <c r="H116" s="23" t="inlineStr">
        <is>
          <t>61.18%</t>
        </is>
      </c>
      <c r="I116" s="16" t="inlineStr">
        <is>
          <t>N/A</t>
        </is>
      </c>
      <c r="J116" s="16" t="n">
        <v>2</v>
      </c>
      <c r="K116" s="16" t="n">
        <v>2</v>
      </c>
      <c r="L116" s="16" t="inlineStr">
        <is>
          <t>17.10.2024 01:15:01</t>
        </is>
      </c>
      <c r="M116" s="16" t="inlineStr">
        <is>
          <t>2 hours</t>
        </is>
      </c>
      <c r="N116" s="16" t="inlineStr">
        <is>
          <t xml:space="preserve">         11K            37K            12K</t>
        </is>
      </c>
      <c r="O116" s="16" t="inlineStr">
        <is>
          <t>D1kWoYYgLk9KLkGUh2MUfDFzpnTTyixRqBZX7a1i2MEz</t>
        </is>
      </c>
      <c r="P116" s="16">
        <f>HYPERLINK("https://photon-sol.tinyastro.io/en/lp/D1kWoYYgLk9KLkGUh2MUfDFzpnTTyixRqBZX7a1i2MEz?handle=676050794bc1b1657a56b", "View")</f>
        <v/>
      </c>
    </row>
    <row r="117">
      <c r="A117" s="19" t="inlineStr">
        <is>
          <t>Payne</t>
        </is>
      </c>
      <c r="B117" s="20" t="n">
        <v>22123558</v>
      </c>
      <c r="C117" s="20" t="n">
        <v>22123558</v>
      </c>
      <c r="D117" s="20" t="inlineStr">
        <is>
          <t>0.000030</t>
        </is>
      </c>
      <c r="E117" s="20" t="inlineStr">
        <is>
          <t>4.106 SOL</t>
        </is>
      </c>
      <c r="F117" s="20" t="inlineStr">
        <is>
          <t>4.504 SOL</t>
        </is>
      </c>
      <c r="G117" s="22" t="inlineStr">
        <is>
          <t>0.398 SOL</t>
        </is>
      </c>
      <c r="H117" s="22" t="inlineStr">
        <is>
          <t>9.70%</t>
        </is>
      </c>
      <c r="I117" s="20" t="inlineStr">
        <is>
          <t>N/A</t>
        </is>
      </c>
      <c r="J117" s="20" t="n">
        <v>2</v>
      </c>
      <c r="K117" s="20" t="n">
        <v>1</v>
      </c>
      <c r="L117" s="20" t="inlineStr">
        <is>
          <t>16.10.2024 22:01:03</t>
        </is>
      </c>
      <c r="M117" s="20" t="inlineStr">
        <is>
          <t>6 min</t>
        </is>
      </c>
      <c r="N117" s="20" t="inlineStr">
        <is>
          <t xml:space="preserve">         32K            35K             5K</t>
        </is>
      </c>
      <c r="O117" s="20" t="inlineStr">
        <is>
          <t>HmzD3xcEcc7X8QWXYTyPK6aZnYxAb93tDRdzQEPYY7Hi</t>
        </is>
      </c>
      <c r="P117" s="20">
        <f>HYPERLINK("https://photon-sol.tinyastro.io/en/lp/HmzD3xcEcc7X8QWXYTyPK6aZnYxAb93tDRdzQEPYY7Hi?handle=676050794bc1b1657a56b", "View")</f>
        <v/>
      </c>
    </row>
    <row r="118">
      <c r="A118" s="15" t="inlineStr">
        <is>
          <t>Elastigirl</t>
        </is>
      </c>
      <c r="B118" s="16" t="n">
        <v>11463393</v>
      </c>
      <c r="C118" s="16" t="n">
        <v>11463393</v>
      </c>
      <c r="D118" s="16" t="inlineStr">
        <is>
          <t>0.007520</t>
        </is>
      </c>
      <c r="E118" s="16" t="inlineStr">
        <is>
          <t>2.000 SOL</t>
        </is>
      </c>
      <c r="F118" s="16" t="inlineStr">
        <is>
          <t>3.505 SOL</t>
        </is>
      </c>
      <c r="G118" s="23" t="inlineStr">
        <is>
          <t>1.497 SOL</t>
        </is>
      </c>
      <c r="H118" s="23" t="inlineStr">
        <is>
          <t>74.59%</t>
        </is>
      </c>
      <c r="I118" s="16" t="inlineStr">
        <is>
          <t>N/A</t>
        </is>
      </c>
      <c r="J118" s="16" t="n">
        <v>1</v>
      </c>
      <c r="K118" s="16" t="n">
        <v>1</v>
      </c>
      <c r="L118" s="16" t="inlineStr">
        <is>
          <t>16.10.2024 20:09:33</t>
        </is>
      </c>
      <c r="M118" s="16" t="inlineStr">
        <is>
          <t>1 min</t>
        </is>
      </c>
      <c r="N118" s="16" t="inlineStr">
        <is>
          <t xml:space="preserve">         30K            54K             4K</t>
        </is>
      </c>
      <c r="O118" s="16" t="inlineStr">
        <is>
          <t>DzeWsBjvXFeVgySccRPv2M2rrdKncY29DyTxHtwvpump</t>
        </is>
      </c>
      <c r="P118" s="16">
        <f>HYPERLINK("https://dexscreener.com/solana/DzeWsBjvXFeVgySccRPv2M2rrdKncY29DyTxHtwvpump", "View")</f>
        <v/>
      </c>
    </row>
    <row r="119">
      <c r="A119" s="19" t="inlineStr">
        <is>
          <t>Mimi</t>
        </is>
      </c>
      <c r="B119" s="20" t="n">
        <v>9913476</v>
      </c>
      <c r="C119" s="20" t="n">
        <v>9913476</v>
      </c>
      <c r="D119" s="20" t="inlineStr">
        <is>
          <t>0.000020</t>
        </is>
      </c>
      <c r="E119" s="20" t="inlineStr">
        <is>
          <t>2.000 SOL</t>
        </is>
      </c>
      <c r="F119" s="20" t="inlineStr">
        <is>
          <t>1.816 SOL</t>
        </is>
      </c>
      <c r="G119" s="21" t="inlineStr">
        <is>
          <t>-0.184 SOL</t>
        </is>
      </c>
      <c r="H119" s="21" t="inlineStr">
        <is>
          <t>-9.22%</t>
        </is>
      </c>
      <c r="I119" s="20" t="inlineStr">
        <is>
          <t>N/A</t>
        </is>
      </c>
      <c r="J119" s="20" t="n">
        <v>1</v>
      </c>
      <c r="K119" s="20" t="n">
        <v>1</v>
      </c>
      <c r="L119" s="20" t="inlineStr">
        <is>
          <t>16.10.2024 20:05:44</t>
        </is>
      </c>
      <c r="M119" s="20" t="inlineStr">
        <is>
          <t>1 min</t>
        </is>
      </c>
      <c r="N119" s="20" t="inlineStr">
        <is>
          <t xml:space="preserve">         27K            24K            15K</t>
        </is>
      </c>
      <c r="O119" s="20" t="inlineStr">
        <is>
          <t>5iUY7iEBhayZWLV795JD19wX2xLWPxc8DYTHgJKr3C7q</t>
        </is>
      </c>
      <c r="P119" s="20">
        <f>HYPERLINK("https://dexscreener.com/solana/5iUY7iEBhayZWLV795JD19wX2xLWPxc8DYTHgJKr3C7q", "View")</f>
        <v/>
      </c>
    </row>
    <row r="120">
      <c r="A120" s="15" t="inlineStr">
        <is>
          <t>SnowWhite</t>
        </is>
      </c>
      <c r="B120" s="16" t="n">
        <v>13662271</v>
      </c>
      <c r="C120" s="16" t="n">
        <v>13662271</v>
      </c>
      <c r="D120" s="16" t="inlineStr">
        <is>
          <t>0.000020</t>
        </is>
      </c>
      <c r="E120" s="16" t="inlineStr">
        <is>
          <t>2.194 SOL</t>
        </is>
      </c>
      <c r="F120" s="16" t="inlineStr">
        <is>
          <t>2.875 SOL</t>
        </is>
      </c>
      <c r="G120" s="22" t="inlineStr">
        <is>
          <t>0.681 SOL</t>
        </is>
      </c>
      <c r="H120" s="22" t="inlineStr">
        <is>
          <t>31.03%</t>
        </is>
      </c>
      <c r="I120" s="16" t="inlineStr">
        <is>
          <t>N/A</t>
        </is>
      </c>
      <c r="J120" s="16" t="n">
        <v>1</v>
      </c>
      <c r="K120" s="16" t="n">
        <v>1</v>
      </c>
      <c r="L120" s="16" t="inlineStr">
        <is>
          <t>16.10.2024 19:43:55</t>
        </is>
      </c>
      <c r="M120" s="18" t="inlineStr">
        <is>
          <t>26 sec</t>
        </is>
      </c>
      <c r="N120" s="16" t="inlineStr">
        <is>
          <t xml:space="preserve">         28K            37K             4K</t>
        </is>
      </c>
      <c r="O120" s="16" t="inlineStr">
        <is>
          <t>9yoF1Z4hviyUhKbCDqxB3QGBcjt2Peq2Bp9xSXv4pump</t>
        </is>
      </c>
      <c r="P120" s="16">
        <f>HYPERLINK("https://photon-sol.tinyastro.io/en/lp/9yoF1Z4hviyUhKbCDqxB3QGBcjt2Peq2Bp9xSXv4pump?handle=676050794bc1b1657a56b", "View")</f>
        <v/>
      </c>
    </row>
    <row r="121">
      <c r="A121" s="19" t="inlineStr">
        <is>
          <t>Pawf</t>
        </is>
      </c>
      <c r="B121" s="20" t="n">
        <v>3306011</v>
      </c>
      <c r="C121" s="20" t="n">
        <v>3306011</v>
      </c>
      <c r="D121" s="20" t="inlineStr">
        <is>
          <t>0.000020</t>
        </is>
      </c>
      <c r="E121" s="20" t="inlineStr">
        <is>
          <t>2.000 SOL</t>
        </is>
      </c>
      <c r="F121" s="20" t="inlineStr">
        <is>
          <t>1.805 SOL</t>
        </is>
      </c>
      <c r="G121" s="21" t="inlineStr">
        <is>
          <t>-0.195 SOL</t>
        </is>
      </c>
      <c r="H121" s="21" t="inlineStr">
        <is>
          <t>-9.77%</t>
        </is>
      </c>
      <c r="I121" s="20" t="inlineStr">
        <is>
          <t>N/A</t>
        </is>
      </c>
      <c r="J121" s="20" t="n">
        <v>1</v>
      </c>
      <c r="K121" s="20" t="n">
        <v>1</v>
      </c>
      <c r="L121" s="20" t="inlineStr">
        <is>
          <t>16.10.2024 19:29:52</t>
        </is>
      </c>
      <c r="M121" s="20" t="inlineStr">
        <is>
          <t>32 min</t>
        </is>
      </c>
      <c r="N121" s="20" t="inlineStr">
        <is>
          <t xml:space="preserve">        105K            97K            23K</t>
        </is>
      </c>
      <c r="O121" s="20" t="inlineStr">
        <is>
          <t>4YGAZfPGT1ci5ZbqxpoRPfaUvteVYBSDhqk53cM6pawf</t>
        </is>
      </c>
      <c r="P121" s="20">
        <f>HYPERLINK("https://dexscreener.com/solana/4YGAZfPGT1ci5ZbqxpoRPfaUvteVYBSDhqk53cM6pawf", "View")</f>
        <v/>
      </c>
    </row>
    <row r="122">
      <c r="A122" s="15" t="inlineStr">
        <is>
          <t>KALI</t>
        </is>
      </c>
      <c r="B122" s="16" t="n">
        <v>13712423</v>
      </c>
      <c r="C122" s="16" t="n">
        <v>11757092</v>
      </c>
      <c r="D122" s="16" t="inlineStr">
        <is>
          <t>0.000190</t>
        </is>
      </c>
      <c r="E122" s="16" t="inlineStr">
        <is>
          <t>2.355 SOL</t>
        </is>
      </c>
      <c r="F122" s="16" t="inlineStr">
        <is>
          <t>5.689 SOL</t>
        </is>
      </c>
      <c r="G122" s="23" t="inlineStr">
        <is>
          <t>3.334 SOL</t>
        </is>
      </c>
      <c r="H122" s="23" t="inlineStr">
        <is>
          <t>141.56%</t>
        </is>
      </c>
      <c r="I122" s="16" t="inlineStr">
        <is>
          <t>N/A</t>
        </is>
      </c>
      <c r="J122" s="16" t="n">
        <v>1</v>
      </c>
      <c r="K122" s="16" t="n">
        <v>18</v>
      </c>
      <c r="L122" s="16" t="inlineStr">
        <is>
          <t>16.10.2024 01:24:20</t>
        </is>
      </c>
      <c r="M122" s="16" t="inlineStr">
        <is>
          <t>48 min</t>
        </is>
      </c>
      <c r="N122" s="16" t="inlineStr">
        <is>
          <t xml:space="preserve">         30K           105K            60K</t>
        </is>
      </c>
      <c r="O122" s="16" t="inlineStr">
        <is>
          <t>6CgqwJZEJH7Xerqj3utx3mgFt5X9Rexu5Q97ewDypump</t>
        </is>
      </c>
      <c r="P122" s="16">
        <f>HYPERLINK("https://photon-sol.tinyastro.io/en/lp/6CgqwJZEJH7Xerqj3utx3mgFt5X9Rexu5Q97ewDypump?handle=676050794bc1b1657a56b", "View")</f>
        <v/>
      </c>
    </row>
    <row r="123">
      <c r="A123" s="19" t="inlineStr">
        <is>
          <t>PUSSYNIGGA</t>
        </is>
      </c>
      <c r="B123" s="20" t="n">
        <v>5639594</v>
      </c>
      <c r="C123" s="20" t="n">
        <v>2819797</v>
      </c>
      <c r="D123" s="20" t="inlineStr">
        <is>
          <t>0.007520</t>
        </is>
      </c>
      <c r="E123" s="20" t="inlineStr">
        <is>
          <t>2.000 SOL</t>
        </is>
      </c>
      <c r="F123" s="20" t="inlineStr">
        <is>
          <t>2.020 SOL</t>
        </is>
      </c>
      <c r="G123" s="22" t="inlineStr">
        <is>
          <t>0.013 SOL</t>
        </is>
      </c>
      <c r="H123" s="22" t="inlineStr">
        <is>
          <t>0.63%</t>
        </is>
      </c>
      <c r="I123" s="20" t="inlineStr">
        <is>
          <t>N/A</t>
        </is>
      </c>
      <c r="J123" s="20" t="n">
        <v>1</v>
      </c>
      <c r="K123" s="20" t="n">
        <v>1</v>
      </c>
      <c r="L123" s="20" t="inlineStr">
        <is>
          <t>15.10.2024 23:58:52</t>
        </is>
      </c>
      <c r="M123" s="20" t="inlineStr">
        <is>
          <t>2 hours</t>
        </is>
      </c>
      <c r="N123" s="20" t="inlineStr">
        <is>
          <t xml:space="preserve">         61K            61K            34K</t>
        </is>
      </c>
      <c r="O123" s="20" t="inlineStr">
        <is>
          <t>GmAn5J77isuxCGiiAyaEWwNbdiGuabm9oHHHMbMC8Hbr</t>
        </is>
      </c>
      <c r="P123" s="20">
        <f>HYPERLINK("https://dexscreener.com/solana/GmAn5J77isuxCGiiAyaEWwNbdiGuabm9oHHHMbMC8Hbr", "View")</f>
        <v/>
      </c>
    </row>
    <row r="124">
      <c r="A124" s="15" t="inlineStr">
        <is>
          <t>BITZILLA</t>
        </is>
      </c>
      <c r="B124" s="16" t="n">
        <v>1441752</v>
      </c>
      <c r="C124" s="16" t="n">
        <v>1441752</v>
      </c>
      <c r="D124" s="16" t="inlineStr">
        <is>
          <t>0.000020</t>
        </is>
      </c>
      <c r="E124" s="16" t="inlineStr">
        <is>
          <t>1.000 SOL</t>
        </is>
      </c>
      <c r="F124" s="16" t="inlineStr">
        <is>
          <t>0.380 SOL</t>
        </is>
      </c>
      <c r="G124" s="24" t="inlineStr">
        <is>
          <t>-0.620 SOL</t>
        </is>
      </c>
      <c r="H124" s="24" t="inlineStr">
        <is>
          <t>-61.97%</t>
        </is>
      </c>
      <c r="I124" s="16" t="inlineStr">
        <is>
          <t>N/A</t>
        </is>
      </c>
      <c r="J124" s="16" t="n">
        <v>1</v>
      </c>
      <c r="K124" s="16" t="n">
        <v>1</v>
      </c>
      <c r="L124" s="16" t="inlineStr">
        <is>
          <t>15.10.2024 22:55:53</t>
        </is>
      </c>
      <c r="M124" s="18" t="inlineStr">
        <is>
          <t>33 sec</t>
        </is>
      </c>
      <c r="N124" s="16" t="inlineStr">
        <is>
          <t xml:space="preserve">        121K            46K             3K</t>
        </is>
      </c>
      <c r="O124" s="16" t="inlineStr">
        <is>
          <t>Zx9HDZZthHoG2MFgvvsJBDrtjLQnc4efxc56iDFzzME</t>
        </is>
      </c>
      <c r="P124" s="16">
        <f>HYPERLINK("https://dexscreener.com/solana/Zx9HDZZthHoG2MFgvvsJBDrtjLQnc4efxc56iDFzzME", "View")</f>
        <v/>
      </c>
    </row>
    <row r="125">
      <c r="A125" s="19" t="inlineStr">
        <is>
          <t>SATOSHEUS</t>
        </is>
      </c>
      <c r="B125" s="20" t="n">
        <v>2016037</v>
      </c>
      <c r="C125" s="20" t="n">
        <v>2016037</v>
      </c>
      <c r="D125" s="20" t="inlineStr">
        <is>
          <t>0.000020</t>
        </is>
      </c>
      <c r="E125" s="20" t="inlineStr">
        <is>
          <t>1.000 SOL</t>
        </is>
      </c>
      <c r="F125" s="20" t="inlineStr">
        <is>
          <t>1.107 SOL</t>
        </is>
      </c>
      <c r="G125" s="22" t="inlineStr">
        <is>
          <t>0.107 SOL</t>
        </is>
      </c>
      <c r="H125" s="22" t="inlineStr">
        <is>
          <t>10.71%</t>
        </is>
      </c>
      <c r="I125" s="20" t="inlineStr">
        <is>
          <t>N/A</t>
        </is>
      </c>
      <c r="J125" s="20" t="n">
        <v>1</v>
      </c>
      <c r="K125" s="20" t="n">
        <v>1</v>
      </c>
      <c r="L125" s="20" t="inlineStr">
        <is>
          <t>15.10.2024 22:40:33</t>
        </is>
      </c>
      <c r="M125" s="20" t="inlineStr">
        <is>
          <t>1 min</t>
        </is>
      </c>
      <c r="N125" s="20" t="inlineStr">
        <is>
          <t xml:space="preserve">         88K            97K             4K</t>
        </is>
      </c>
      <c r="O125" s="20" t="inlineStr">
        <is>
          <t>6LkzKeAnQv5nMbeM2U7XtggywrUtyBuBfPkAbARDpump</t>
        </is>
      </c>
      <c r="P125" s="20">
        <f>HYPERLINK("https://dexscreener.com/solana/6LkzKeAnQv5nMbeM2U7XtggywrUtyBuBfPkAbARDpump", "View")</f>
        <v/>
      </c>
    </row>
    <row r="126">
      <c r="A126" s="15" t="inlineStr">
        <is>
          <t>$GROK</t>
        </is>
      </c>
      <c r="B126" s="16" t="n">
        <v>3171793</v>
      </c>
      <c r="C126" s="16" t="n">
        <v>3171793</v>
      </c>
      <c r="D126" s="16" t="inlineStr">
        <is>
          <t>0.000020</t>
        </is>
      </c>
      <c r="E126" s="16" t="inlineStr">
        <is>
          <t>1.000 SOL</t>
        </is>
      </c>
      <c r="F126" s="16" t="inlineStr">
        <is>
          <t>0.216 SOL</t>
        </is>
      </c>
      <c r="G126" s="24" t="inlineStr">
        <is>
          <t>-0.784 SOL</t>
        </is>
      </c>
      <c r="H126" s="24" t="inlineStr">
        <is>
          <t>-78.43%</t>
        </is>
      </c>
      <c r="I126" s="16" t="inlineStr">
        <is>
          <t>N/A</t>
        </is>
      </c>
      <c r="J126" s="16" t="n">
        <v>1</v>
      </c>
      <c r="K126" s="16" t="n">
        <v>1</v>
      </c>
      <c r="L126" s="16" t="inlineStr">
        <is>
          <t>15.10.2024 22:32:18</t>
        </is>
      </c>
      <c r="M126" s="18" t="inlineStr">
        <is>
          <t>15 sec</t>
        </is>
      </c>
      <c r="N126" s="16" t="inlineStr">
        <is>
          <t xml:space="preserve">         56K            12K             3K</t>
        </is>
      </c>
      <c r="O126" s="16" t="inlineStr">
        <is>
          <t>6Y2esZvvmkT15ksFnvYx9383Fx5wnHYrE9aJxLiRpump</t>
        </is>
      </c>
      <c r="P126" s="16">
        <f>HYPERLINK("https://dexscreener.com/solana/6Y2esZvvmkT15ksFnvYx9383Fx5wnHYrE9aJxLiRpump", "View")</f>
        <v/>
      </c>
    </row>
    <row r="127">
      <c r="A127" s="19" t="inlineStr">
        <is>
          <t>POPCORN</t>
        </is>
      </c>
      <c r="B127" s="20" t="n">
        <v>847766</v>
      </c>
      <c r="C127" s="20" t="n">
        <v>847766</v>
      </c>
      <c r="D127" s="20" t="inlineStr">
        <is>
          <t>0.000020</t>
        </is>
      </c>
      <c r="E127" s="20" t="inlineStr">
        <is>
          <t>1.000 SOL</t>
        </is>
      </c>
      <c r="F127" s="20" t="inlineStr">
        <is>
          <t>1.065 SOL</t>
        </is>
      </c>
      <c r="G127" s="22" t="inlineStr">
        <is>
          <t>0.065 SOL</t>
        </is>
      </c>
      <c r="H127" s="22" t="inlineStr">
        <is>
          <t>6.54%</t>
        </is>
      </c>
      <c r="I127" s="20" t="inlineStr">
        <is>
          <t>N/A</t>
        </is>
      </c>
      <c r="J127" s="20" t="n">
        <v>1</v>
      </c>
      <c r="K127" s="20" t="n">
        <v>1</v>
      </c>
      <c r="L127" s="20" t="inlineStr">
        <is>
          <t>15.10.2024 22:31:00</t>
        </is>
      </c>
      <c r="M127" s="18" t="inlineStr">
        <is>
          <t>18 sec</t>
        </is>
      </c>
      <c r="N127" s="20" t="inlineStr">
        <is>
          <t xml:space="preserve">        207K           221K             4K</t>
        </is>
      </c>
      <c r="O127" s="20" t="inlineStr">
        <is>
          <t>3Rp3hNx6i5oZchWAEAhoApHb71oLQrrQmo8mtyzEpump</t>
        </is>
      </c>
      <c r="P127" s="20">
        <f>HYPERLINK("https://dexscreener.com/solana/3Rp3hNx6i5oZchWAEAhoApHb71oLQrrQmo8mtyzEpump", "View")</f>
        <v/>
      </c>
    </row>
    <row r="128">
      <c r="A128" s="15" t="inlineStr">
        <is>
          <t>PvP</t>
        </is>
      </c>
      <c r="B128" s="16" t="n">
        <v>1493726</v>
      </c>
      <c r="C128" s="16" t="n">
        <v>1493726</v>
      </c>
      <c r="D128" s="16" t="inlineStr">
        <is>
          <t>0.000020</t>
        </is>
      </c>
      <c r="E128" s="16" t="inlineStr">
        <is>
          <t>1.000 SOL</t>
        </is>
      </c>
      <c r="F128" s="16" t="inlineStr">
        <is>
          <t>1.021 SOL</t>
        </is>
      </c>
      <c r="G128" s="22" t="inlineStr">
        <is>
          <t>0.021 SOL</t>
        </is>
      </c>
      <c r="H128" s="22" t="inlineStr">
        <is>
          <t>2.08%</t>
        </is>
      </c>
      <c r="I128" s="16" t="inlineStr">
        <is>
          <t>N/A</t>
        </is>
      </c>
      <c r="J128" s="16" t="n">
        <v>1</v>
      </c>
      <c r="K128" s="16" t="n">
        <v>1</v>
      </c>
      <c r="L128" s="16" t="inlineStr">
        <is>
          <t>15.10.2024 20:30:48</t>
        </is>
      </c>
      <c r="M128" s="16" t="inlineStr">
        <is>
          <t>1 min</t>
        </is>
      </c>
      <c r="N128" s="16" t="inlineStr">
        <is>
          <t xml:space="preserve">        118K           119K             5K</t>
        </is>
      </c>
      <c r="O128" s="16" t="inlineStr">
        <is>
          <t>DaPrVopnA8oUZrf5e7tz4xssL36ZJAekx7RiQzkXpump</t>
        </is>
      </c>
      <c r="P128" s="16">
        <f>HYPERLINK("https://dexscreener.com/solana/DaPrVopnA8oUZrf5e7tz4xssL36ZJAekx7RiQzkXpump", "View")</f>
        <v/>
      </c>
    </row>
    <row r="129">
      <c r="A129" s="19" t="inlineStr">
        <is>
          <t>$GROK</t>
        </is>
      </c>
      <c r="B129" s="20" t="n">
        <v>31276135</v>
      </c>
      <c r="C129" s="20" t="n">
        <v>31276135</v>
      </c>
      <c r="D129" s="20" t="inlineStr">
        <is>
          <t>0.020020</t>
        </is>
      </c>
      <c r="E129" s="20" t="inlineStr">
        <is>
          <t>2.000 SOL</t>
        </is>
      </c>
      <c r="F129" s="20" t="inlineStr">
        <is>
          <t>0.812 SOL</t>
        </is>
      </c>
      <c r="G129" s="24" t="inlineStr">
        <is>
          <t>-1.208 SOL</t>
        </is>
      </c>
      <c r="H129" s="24" t="inlineStr">
        <is>
          <t>-59.82%</t>
        </is>
      </c>
      <c r="I129" s="20" t="inlineStr">
        <is>
          <t>N/A</t>
        </is>
      </c>
      <c r="J129" s="20" t="n">
        <v>1</v>
      </c>
      <c r="K129" s="20" t="n">
        <v>1</v>
      </c>
      <c r="L129" s="20" t="inlineStr">
        <is>
          <t>15.10.2024 20:20:14</t>
        </is>
      </c>
      <c r="M129" s="20" t="inlineStr">
        <is>
          <t>3 min</t>
        </is>
      </c>
      <c r="N129" s="20" t="inlineStr">
        <is>
          <t xml:space="preserve">         11K             5K             3K</t>
        </is>
      </c>
      <c r="O129" s="20" t="inlineStr">
        <is>
          <t>817UW41dpKWFivRTDsnGZhEUMhFSArEAhnEnfAgFpump</t>
        </is>
      </c>
      <c r="P129" s="20">
        <f>HYPERLINK("https://dexscreener.com/solana/817UW41dpKWFivRTDsnGZhEUMhFSArEAhnEnfAgFpump", "View")</f>
        <v/>
      </c>
    </row>
    <row r="130">
      <c r="A130" s="15" t="inlineStr">
        <is>
          <t>DOGAI</t>
        </is>
      </c>
      <c r="B130" s="16" t="n">
        <v>6658354</v>
      </c>
      <c r="C130" s="16" t="n">
        <v>6658354</v>
      </c>
      <c r="D130" s="16" t="inlineStr">
        <is>
          <t>0.000030</t>
        </is>
      </c>
      <c r="E130" s="16" t="inlineStr">
        <is>
          <t>3.500 SOL</t>
        </is>
      </c>
      <c r="F130" s="16" t="inlineStr">
        <is>
          <t>4.048 SOL</t>
        </is>
      </c>
      <c r="G130" s="22" t="inlineStr">
        <is>
          <t>0.548 SOL</t>
        </is>
      </c>
      <c r="H130" s="22" t="inlineStr">
        <is>
          <t>15.66%</t>
        </is>
      </c>
      <c r="I130" s="16" t="inlineStr">
        <is>
          <t>N/A</t>
        </is>
      </c>
      <c r="J130" s="16" t="n">
        <v>2</v>
      </c>
      <c r="K130" s="16" t="n">
        <v>1</v>
      </c>
      <c r="L130" s="16" t="inlineStr">
        <is>
          <t>15.10.2024 20:13:17</t>
        </is>
      </c>
      <c r="M130" s="18" t="inlineStr">
        <is>
          <t>52 sec</t>
        </is>
      </c>
      <c r="N130" s="16" t="inlineStr">
        <is>
          <t xml:space="preserve">        190K           107K             2M</t>
        </is>
      </c>
      <c r="O130" s="16" t="inlineStr">
        <is>
          <t>Dogg6xWSgkF8KbsHkTWD3Et4J9a8VBLZjrASURXGiLe1</t>
        </is>
      </c>
      <c r="P130" s="16">
        <f>HYPERLINK("https://dexscreener.com/solana/Dogg6xWSgkF8KbsHkTWD3Et4J9a8VBLZjrASURXGiLe1", "View")</f>
        <v/>
      </c>
    </row>
    <row r="131">
      <c r="A131" s="19" t="inlineStr">
        <is>
          <t>REKITTY</t>
        </is>
      </c>
      <c r="B131" s="20" t="n">
        <v>49547831</v>
      </c>
      <c r="C131" s="20" t="n">
        <v>49547831</v>
      </c>
      <c r="D131" s="20" t="inlineStr">
        <is>
          <t>0.007520</t>
        </is>
      </c>
      <c r="E131" s="20" t="inlineStr">
        <is>
          <t>2.647 SOL</t>
        </is>
      </c>
      <c r="F131" s="20" t="inlineStr">
        <is>
          <t>1.772 SOL</t>
        </is>
      </c>
      <c r="G131" s="21" t="inlineStr">
        <is>
          <t>-0.883 SOL</t>
        </is>
      </c>
      <c r="H131" s="21" t="inlineStr">
        <is>
          <t>-33.26%</t>
        </is>
      </c>
      <c r="I131" s="20" t="inlineStr">
        <is>
          <t>N/A</t>
        </is>
      </c>
      <c r="J131" s="20" t="n">
        <v>1</v>
      </c>
      <c r="K131" s="20" t="n">
        <v>1</v>
      </c>
      <c r="L131" s="20" t="inlineStr">
        <is>
          <t>15.10.2024 18:19:42</t>
        </is>
      </c>
      <c r="M131" s="20" t="inlineStr">
        <is>
          <t>3 min</t>
        </is>
      </c>
      <c r="N131" s="20" t="inlineStr">
        <is>
          <t xml:space="preserve">        N/A           N/A           N/A</t>
        </is>
      </c>
      <c r="O131" s="20" t="inlineStr">
        <is>
          <t>63m8jS5GJ4wsrwJ3CovCscmAADFsv2GYPMBfQZxqpump</t>
        </is>
      </c>
      <c r="P131" s="20">
        <f>HYPERLINK("https://photon-sol.tinyastro.io/en/lp/63m8jS5GJ4wsrwJ3CovCscmAADFsv2GYPMBfQZxqpump?handle=676050794bc1b1657a56b", "View")</f>
        <v/>
      </c>
    </row>
    <row r="132">
      <c r="A132" s="15" t="inlineStr">
        <is>
          <t>KAPI</t>
        </is>
      </c>
      <c r="B132" s="16" t="n">
        <v>12456450</v>
      </c>
      <c r="C132" s="16" t="n">
        <v>12456450</v>
      </c>
      <c r="D132" s="16" t="inlineStr">
        <is>
          <t>0.020070</t>
        </is>
      </c>
      <c r="E132" s="16" t="inlineStr">
        <is>
          <t>4.000 SOL</t>
        </is>
      </c>
      <c r="F132" s="16" t="inlineStr">
        <is>
          <t>6.946 SOL</t>
        </is>
      </c>
      <c r="G132" s="23" t="inlineStr">
        <is>
          <t>2.926 SOL</t>
        </is>
      </c>
      <c r="H132" s="23" t="inlineStr">
        <is>
          <t>72.79%</t>
        </is>
      </c>
      <c r="I132" s="16" t="inlineStr">
        <is>
          <t>N/A</t>
        </is>
      </c>
      <c r="J132" s="16" t="n">
        <v>2</v>
      </c>
      <c r="K132" s="16" t="n">
        <v>5</v>
      </c>
      <c r="L132" s="16" t="inlineStr">
        <is>
          <t>15.10.2024 17:03:34</t>
        </is>
      </c>
      <c r="M132" s="16" t="inlineStr">
        <is>
          <t>2 min</t>
        </is>
      </c>
      <c r="N132" s="16" t="inlineStr">
        <is>
          <t xml:space="preserve">         37K            53K             4K</t>
        </is>
      </c>
      <c r="O132" s="16" t="inlineStr">
        <is>
          <t>EUqJxtA3Ff2Yq1PBBCAikREf6UKZ78BV7g92SvUnP51U</t>
        </is>
      </c>
      <c r="P132" s="16">
        <f>HYPERLINK("https://dexscreener.com/solana/EUqJxtA3Ff2Yq1PBBCAikREf6UKZ78BV7g92SvUnP51U", "View")</f>
        <v/>
      </c>
    </row>
    <row r="133">
      <c r="A133" s="19" t="inlineStr">
        <is>
          <t>DolanAI</t>
        </is>
      </c>
      <c r="B133" s="20" t="n">
        <v>828430</v>
      </c>
      <c r="C133" s="20" t="n">
        <v>828430</v>
      </c>
      <c r="D133" s="20" t="inlineStr">
        <is>
          <t>0.015030</t>
        </is>
      </c>
      <c r="E133" s="20" t="inlineStr">
        <is>
          <t>2.000 SOL</t>
        </is>
      </c>
      <c r="F133" s="20" t="inlineStr">
        <is>
          <t>2.075 SOL</t>
        </is>
      </c>
      <c r="G133" s="22" t="inlineStr">
        <is>
          <t>0.060 SOL</t>
        </is>
      </c>
      <c r="H133" s="22" t="inlineStr">
        <is>
          <t>2.97%</t>
        </is>
      </c>
      <c r="I133" s="20" t="inlineStr">
        <is>
          <t>N/A</t>
        </is>
      </c>
      <c r="J133" s="20" t="n">
        <v>1</v>
      </c>
      <c r="K133" s="20" t="n">
        <v>2</v>
      </c>
      <c r="L133" s="20" t="inlineStr">
        <is>
          <t>15.10.2024 16:36:33</t>
        </is>
      </c>
      <c r="M133" s="20" t="inlineStr">
        <is>
          <t>3 min</t>
        </is>
      </c>
      <c r="N133" s="20" t="inlineStr">
        <is>
          <t xml:space="preserve">        423K           436K             4K</t>
        </is>
      </c>
      <c r="O133" s="20" t="inlineStr">
        <is>
          <t>tkKmj693DMw2HideDFzBuscKH3Jpj5tyNzWo5VKpump</t>
        </is>
      </c>
      <c r="P133" s="20">
        <f>HYPERLINK("https://dexscreener.com/solana/tkKmj693DMw2HideDFzBuscKH3Jpj5tyNzWo5VKpump", "View")</f>
        <v/>
      </c>
    </row>
    <row r="134">
      <c r="A134" s="15" t="inlineStr">
        <is>
          <t>1SOL</t>
        </is>
      </c>
      <c r="B134" s="16" t="n">
        <v>1824916</v>
      </c>
      <c r="C134" s="16" t="n">
        <v>1824916</v>
      </c>
      <c r="D134" s="16" t="inlineStr">
        <is>
          <t>0.000020</t>
        </is>
      </c>
      <c r="E134" s="16" t="inlineStr">
        <is>
          <t>2.000 SOL</t>
        </is>
      </c>
      <c r="F134" s="16" t="inlineStr">
        <is>
          <t>1.574 SOL</t>
        </is>
      </c>
      <c r="G134" s="21" t="inlineStr">
        <is>
          <t>-0.426 SOL</t>
        </is>
      </c>
      <c r="H134" s="21" t="inlineStr">
        <is>
          <t>-21.32%</t>
        </is>
      </c>
      <c r="I134" s="16" t="inlineStr">
        <is>
          <t>N/A</t>
        </is>
      </c>
      <c r="J134" s="16" t="n">
        <v>1</v>
      </c>
      <c r="K134" s="16" t="n">
        <v>1</v>
      </c>
      <c r="L134" s="16" t="inlineStr">
        <is>
          <t>15.10.2024 16:18:13</t>
        </is>
      </c>
      <c r="M134" s="16" t="inlineStr">
        <is>
          <t>5 min</t>
        </is>
      </c>
      <c r="N134" s="16" t="inlineStr">
        <is>
          <t xml:space="preserve">        193K           151K            22K</t>
        </is>
      </c>
      <c r="O134" s="16" t="inlineStr">
        <is>
          <t>GYeGsWZ2q7T4YWrRYVYCV1xvg6n9d1AAoMoPwqppump</t>
        </is>
      </c>
      <c r="P134" s="16">
        <f>HYPERLINK("https://dexscreener.com/solana/GYeGsWZ2q7T4YWrRYVYCV1xvg6n9d1AAoMoPwqppump", "View")</f>
        <v/>
      </c>
    </row>
    <row r="135">
      <c r="A135" s="19" t="inlineStr">
        <is>
          <t>GOAT</t>
        </is>
      </c>
      <c r="B135" s="20" t="n">
        <v>4507718</v>
      </c>
      <c r="C135" s="20" t="n">
        <v>4507718</v>
      </c>
      <c r="D135" s="20" t="inlineStr">
        <is>
          <t>0.015020</t>
        </is>
      </c>
      <c r="E135" s="20" t="inlineStr">
        <is>
          <t>2.000 SOL</t>
        </is>
      </c>
      <c r="F135" s="20" t="inlineStr">
        <is>
          <t>2.259 SOL</t>
        </is>
      </c>
      <c r="G135" s="22" t="inlineStr">
        <is>
          <t>0.244 SOL</t>
        </is>
      </c>
      <c r="H135" s="22" t="inlineStr">
        <is>
          <t>12.12%</t>
        </is>
      </c>
      <c r="I135" s="20" t="inlineStr">
        <is>
          <t>N/A</t>
        </is>
      </c>
      <c r="J135" s="20" t="n">
        <v>1</v>
      </c>
      <c r="K135" s="20" t="n">
        <v>1</v>
      </c>
      <c r="L135" s="20" t="inlineStr">
        <is>
          <t>15.10.2024 15:52:19</t>
        </is>
      </c>
      <c r="M135" s="20" t="inlineStr">
        <is>
          <t>1 min</t>
        </is>
      </c>
      <c r="N135" s="20" t="inlineStr">
        <is>
          <t xml:space="preserve">         77K            88K             4K</t>
        </is>
      </c>
      <c r="O135" s="20" t="inlineStr">
        <is>
          <t>GQtWzUGy4E4cjayPkQBdorLBxSQxHSAJCj78Gr22wbgz</t>
        </is>
      </c>
      <c r="P135" s="20">
        <f>HYPERLINK("https://dexscreener.com/solana/GQtWzUGy4E4cjayPkQBdorLBxSQxHSAJCj78Gr22wbgz", "View")</f>
        <v/>
      </c>
    </row>
    <row r="136">
      <c r="A136" s="15" t="inlineStr">
        <is>
          <t>UPTOBER</t>
        </is>
      </c>
      <c r="B136" s="16" t="n">
        <v>8936640</v>
      </c>
      <c r="C136" s="16" t="n">
        <v>8936640</v>
      </c>
      <c r="D136" s="16" t="inlineStr">
        <is>
          <t>0.015020</t>
        </is>
      </c>
      <c r="E136" s="16" t="inlineStr">
        <is>
          <t>2.000 SOL</t>
        </is>
      </c>
      <c r="F136" s="16" t="inlineStr">
        <is>
          <t>1.132 SOL</t>
        </is>
      </c>
      <c r="G136" s="21" t="inlineStr">
        <is>
          <t>-0.883 SOL</t>
        </is>
      </c>
      <c r="H136" s="21" t="inlineStr">
        <is>
          <t>-43.82%</t>
        </is>
      </c>
      <c r="I136" s="16" t="inlineStr">
        <is>
          <t>N/A</t>
        </is>
      </c>
      <c r="J136" s="16" t="n">
        <v>1</v>
      </c>
      <c r="K136" s="16" t="n">
        <v>1</v>
      </c>
      <c r="L136" s="16" t="inlineStr">
        <is>
          <t>15.10.2024 15:37:40</t>
        </is>
      </c>
      <c r="M136" s="18" t="inlineStr">
        <is>
          <t>51 sec</t>
        </is>
      </c>
      <c r="N136" s="16" t="inlineStr">
        <is>
          <t xml:space="preserve">        N/A           N/A           N/A</t>
        </is>
      </c>
      <c r="O136" s="16" t="inlineStr">
        <is>
          <t>8dyFJwU2yoi236XVqnCg5wJVAg4pDz6mhoGy2NmJ1oSZ</t>
        </is>
      </c>
      <c r="P136" s="16">
        <f>HYPERLINK("https://dexscreener.com/solana/8dyFJwU2yoi236XVqnCg5wJVAg4pDz6mhoGy2NmJ1oSZ", "View")</f>
        <v/>
      </c>
    </row>
    <row r="137">
      <c r="A137" s="19" t="inlineStr">
        <is>
          <t>Choccy</t>
        </is>
      </c>
      <c r="B137" s="20" t="n">
        <v>7313652</v>
      </c>
      <c r="C137" s="20" t="n">
        <v>7313652</v>
      </c>
      <c r="D137" s="20" t="inlineStr">
        <is>
          <t>0.015040</t>
        </is>
      </c>
      <c r="E137" s="20" t="inlineStr">
        <is>
          <t>4.000 SOL</t>
        </is>
      </c>
      <c r="F137" s="20" t="inlineStr">
        <is>
          <t>5.118 SOL</t>
        </is>
      </c>
      <c r="G137" s="22" t="inlineStr">
        <is>
          <t>1.103 SOL</t>
        </is>
      </c>
      <c r="H137" s="22" t="inlineStr">
        <is>
          <t>27.46%</t>
        </is>
      </c>
      <c r="I137" s="20" t="inlineStr">
        <is>
          <t>N/A</t>
        </is>
      </c>
      <c r="J137" s="20" t="n">
        <v>2</v>
      </c>
      <c r="K137" s="20" t="n">
        <v>2</v>
      </c>
      <c r="L137" s="20" t="inlineStr">
        <is>
          <t>15.10.2024 15:29:39</t>
        </is>
      </c>
      <c r="M137" s="20" t="inlineStr">
        <is>
          <t>14 min</t>
        </is>
      </c>
      <c r="N137" s="20" t="inlineStr">
        <is>
          <t xml:space="preserve">        105K           119K            36K</t>
        </is>
      </c>
      <c r="O137" s="20" t="inlineStr">
        <is>
          <t>9LZmD16W9Mw7jJAg8WG5EBpkCoLYJsTPopR6VnTCpump</t>
        </is>
      </c>
      <c r="P137" s="20">
        <f>HYPERLINK("https://dexscreener.com/solana/9LZmD16W9Mw7jJAg8WG5EBpkCoLYJsTPopR6VnTCpump", "View")</f>
        <v/>
      </c>
    </row>
    <row r="138">
      <c r="A138" s="15" t="inlineStr">
        <is>
          <t>BoDi</t>
        </is>
      </c>
      <c r="B138" s="16" t="n">
        <v>4755490</v>
      </c>
      <c r="C138" s="16" t="n">
        <v>4755490</v>
      </c>
      <c r="D138" s="16" t="inlineStr">
        <is>
          <t>0.090080</t>
        </is>
      </c>
      <c r="E138" s="16" t="inlineStr">
        <is>
          <t>12.000 SOL</t>
        </is>
      </c>
      <c r="F138" s="16" t="inlineStr">
        <is>
          <t>12.466 SOL</t>
        </is>
      </c>
      <c r="G138" s="22" t="inlineStr">
        <is>
          <t>0.376 SOL</t>
        </is>
      </c>
      <c r="H138" s="22" t="inlineStr">
        <is>
          <t>3.11%</t>
        </is>
      </c>
      <c r="I138" s="16" t="inlineStr">
        <is>
          <t>N/A</t>
        </is>
      </c>
      <c r="J138" s="16" t="n">
        <v>6</v>
      </c>
      <c r="K138" s="16" t="n">
        <v>5</v>
      </c>
      <c r="L138" s="16" t="inlineStr">
        <is>
          <t>15.10.2024 15:11:58</t>
        </is>
      </c>
      <c r="M138" s="16" t="inlineStr">
        <is>
          <t>50 min</t>
        </is>
      </c>
      <c r="N138" s="16" t="inlineStr">
        <is>
          <t xml:space="preserve">          1M           228K            18K</t>
        </is>
      </c>
      <c r="O138" s="16" t="inlineStr">
        <is>
          <t>82QjqWG4Fyk2FGQF8j1qzKRdr6416J6KLWtmeWbSpump</t>
        </is>
      </c>
      <c r="P138" s="16">
        <f>HYPERLINK("https://dexscreener.com/solana/82QjqWG4Fyk2FGQF8j1qzKRdr6416J6KLWtmeWbSpump", "View")</f>
        <v/>
      </c>
    </row>
    <row r="139">
      <c r="A139" s="19" t="inlineStr">
        <is>
          <t>TRST</t>
        </is>
      </c>
      <c r="B139" s="20" t="n">
        <v>9053169</v>
      </c>
      <c r="C139" s="20" t="n">
        <v>9053169</v>
      </c>
      <c r="D139" s="20" t="inlineStr">
        <is>
          <t>0.007520</t>
        </is>
      </c>
      <c r="E139" s="20" t="inlineStr">
        <is>
          <t>2.000 SOL</t>
        </is>
      </c>
      <c r="F139" s="20" t="inlineStr">
        <is>
          <t>2.006 SOL</t>
        </is>
      </c>
      <c r="G139" s="21" t="inlineStr">
        <is>
          <t>-0.001 SOL</t>
        </is>
      </c>
      <c r="H139" s="21" t="inlineStr">
        <is>
          <t>-0.07%</t>
        </is>
      </c>
      <c r="I139" s="20" t="inlineStr">
        <is>
          <t>N/A</t>
        </is>
      </c>
      <c r="J139" s="20" t="n">
        <v>1</v>
      </c>
      <c r="K139" s="20" t="n">
        <v>1</v>
      </c>
      <c r="L139" s="20" t="inlineStr">
        <is>
          <t>15.10.2024 14:54:49</t>
        </is>
      </c>
      <c r="M139" s="20" t="inlineStr">
        <is>
          <t>5 min</t>
        </is>
      </c>
      <c r="N139" s="20" t="inlineStr">
        <is>
          <t xml:space="preserve">         36K            36K           238K</t>
        </is>
      </c>
      <c r="O139" s="20" t="inlineStr">
        <is>
          <t>6oq8ZYYaZJX9V8bxaz46396zRNBcpjRdJpkj3t6Qpump</t>
        </is>
      </c>
      <c r="P139" s="20">
        <f>HYPERLINK("https://dexscreener.com/solana/6oq8ZYYaZJX9V8bxaz46396zRNBcpjRdJpkj3t6Qpump", "View")</f>
        <v/>
      </c>
    </row>
    <row r="140">
      <c r="A140" s="15" t="inlineStr">
        <is>
          <t>HACHI</t>
        </is>
      </c>
      <c r="B140" s="16" t="n">
        <v>744389</v>
      </c>
      <c r="C140" s="16" t="n">
        <v>744389</v>
      </c>
      <c r="D140" s="16" t="inlineStr">
        <is>
          <t>0.000020</t>
        </is>
      </c>
      <c r="E140" s="16" t="inlineStr">
        <is>
          <t>2.000 SOL</t>
        </is>
      </c>
      <c r="F140" s="16" t="inlineStr">
        <is>
          <t>2.286 SOL</t>
        </is>
      </c>
      <c r="G140" s="22" t="inlineStr">
        <is>
          <t>0.286 SOL</t>
        </is>
      </c>
      <c r="H140" s="22" t="inlineStr">
        <is>
          <t>14.32%</t>
        </is>
      </c>
      <c r="I140" s="16" t="inlineStr">
        <is>
          <t>N/A</t>
        </is>
      </c>
      <c r="J140" s="16" t="n">
        <v>1</v>
      </c>
      <c r="K140" s="16" t="n">
        <v>1</v>
      </c>
      <c r="L140" s="16" t="inlineStr">
        <is>
          <t>15.10.2024 14:00:24</t>
        </is>
      </c>
      <c r="M140" s="16" t="inlineStr">
        <is>
          <t>1 min</t>
        </is>
      </c>
      <c r="N140" s="16" t="inlineStr">
        <is>
          <t xml:space="preserve">        472K           539K             2M</t>
        </is>
      </c>
      <c r="O140" s="16" t="inlineStr">
        <is>
          <t>4amstKcbziHCqwev9esMtRGDTdjHSviiNXT7WtajgjUq</t>
        </is>
      </c>
      <c r="P140" s="16">
        <f>HYPERLINK("https://dexscreener.com/solana/4amstKcbziHCqwev9esMtRGDTdjHSviiNXT7WtajgjUq", "View")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125"/>
  <sheetViews>
    <sheetView workbookViewId="0">
      <selection activeCell="A1" sqref="A1"/>
    </sheetView>
  </sheetViews>
  <sheetFormatPr baseColWidth="8" defaultRowHeight="15"/>
  <cols>
    <col width="46" customWidth="1" min="1" max="1"/>
    <col width="14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HYPERLINK("https://gmgn.ai/sol/address/DCBzkdY6XtSMNgqeppLtKoAcTYTNKLf6FVtYy5LZvB2G", "GMGN")</f>
        <v/>
      </c>
    </row>
    <row r="2">
      <c r="A2" s="3" t="inlineStr">
        <is>
          <t>DCBzkdY6XtSMNgqeppLtKoAcTYTNKLf6FVtYy5LZvB2G</t>
        </is>
      </c>
      <c r="B2" s="3" t="inlineStr">
        <is>
          <t>10.53 SOL</t>
        </is>
      </c>
      <c r="C2" s="3" t="inlineStr">
        <is>
          <t>10%</t>
        </is>
      </c>
      <c r="D2" s="3" t="inlineStr">
        <is>
          <t>-11%</t>
        </is>
      </c>
      <c r="E2" s="3" t="inlineStr">
        <is>
          <t>-84.66 SOL</t>
        </is>
      </c>
      <c r="F2" s="3" t="inlineStr">
        <is>
          <t>1 (1%)</t>
        </is>
      </c>
      <c r="G2" s="3" t="inlineStr">
        <is>
          <t>2 (2%)</t>
        </is>
      </c>
      <c r="H2" s="3" t="n">
        <v>106</v>
      </c>
      <c r="I2" s="3" t="n">
        <v>21</v>
      </c>
      <c r="J2" s="3" t="inlineStr">
        <is>
          <t>23 days</t>
        </is>
      </c>
      <c r="K2" s="3" t="inlineStr">
        <is>
          <t>5 h</t>
        </is>
      </c>
      <c r="L2" s="3" t="n">
        <v>14</v>
      </c>
      <c r="M2" s="3" t="n">
        <v>134</v>
      </c>
      <c r="N2" s="3">
        <f>HYPERLINK("https://solscan.io/account/DCBzkdY6XtSMNgqeppLtKoAcTYTNKLf6FVtYy5LZvB2G", "Solscan")</f>
        <v/>
      </c>
    </row>
    <row r="3">
      <c r="A3" s="6" t="inlineStr">
        <is>
          <t>Median ROI</t>
        </is>
      </c>
      <c r="B3" s="5" t="inlineStr">
        <is>
          <t>-100.00%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HYPERLINK("https://birdeye.so/profile/DCBzkdY6XtSMNgqeppLtKoAcTYTNKLf6FVtYy5LZvB2G", "Birdeye")</f>
        <v/>
      </c>
    </row>
    <row r="4">
      <c r="A4" s="6" t="inlineStr">
        <is>
          <t>Rockets percent</t>
        </is>
      </c>
      <c r="B4" s="3" t="inlineStr">
        <is>
          <t>6%</t>
        </is>
      </c>
      <c r="C4" s="3" t="inlineStr"/>
      <c r="D4" s="3" t="inlineStr">
        <is>
          <t>100%</t>
        </is>
      </c>
      <c r="E4" s="3" t="inlineStr">
        <is>
          <t>738.74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105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4.5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3</v>
      </c>
      <c r="D10" s="6" t="n">
        <v>2</v>
      </c>
      <c r="E10" s="6" t="n">
        <v>3</v>
      </c>
      <c r="F10" s="6" t="n">
        <v>2</v>
      </c>
      <c r="G10" s="6" t="n">
        <v>93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2.8%</t>
        </is>
      </c>
      <c r="C11" s="6" t="inlineStr">
        <is>
          <t>2.8%</t>
        </is>
      </c>
      <c r="D11" s="6" t="inlineStr">
        <is>
          <t>1.9%</t>
        </is>
      </c>
      <c r="E11" s="6" t="inlineStr">
        <is>
          <t>2.8%</t>
        </is>
      </c>
      <c r="F11" s="6" t="inlineStr">
        <is>
          <t>1.9%</t>
        </is>
      </c>
      <c r="G11" s="6" t="inlineStr">
        <is>
          <t>87.7%</t>
        </is>
      </c>
      <c r="H11" s="3" t="n"/>
      <c r="I11" s="3" t="inlineStr">
        <is>
          <t>5k-30k</t>
        </is>
      </c>
      <c r="J11" s="3" t="inlineStr">
        <is>
          <t>13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519.4 SOL</t>
        </is>
      </c>
      <c r="C12" s="6" t="inlineStr">
        <is>
          <t>33.3 SOL</t>
        </is>
      </c>
      <c r="D12" s="6" t="inlineStr">
        <is>
          <t>5.3 SOL</t>
        </is>
      </c>
      <c r="E12" s="6" t="inlineStr">
        <is>
          <t>6.0 SOL</t>
        </is>
      </c>
      <c r="F12" s="6" t="inlineStr">
        <is>
          <t>-1.1 SOL</t>
        </is>
      </c>
      <c r="G12" s="6" t="inlineStr">
        <is>
          <t>-647.6 SOL</t>
        </is>
      </c>
      <c r="H12" s="3" t="n"/>
      <c r="I12" s="3" t="inlineStr">
        <is>
          <t>30k-100k</t>
        </is>
      </c>
      <c r="J12" s="3" t="inlineStr">
        <is>
          <t>15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12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60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365.0K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AIGOD</t>
        </is>
      </c>
      <c r="B20" s="16" t="n">
        <v>11594782</v>
      </c>
      <c r="C20" s="16" t="n">
        <v>0</v>
      </c>
      <c r="D20" s="16" t="inlineStr">
        <is>
          <t>0.120030</t>
        </is>
      </c>
      <c r="E20" s="16" t="inlineStr">
        <is>
          <t>36.850 SOL</t>
        </is>
      </c>
      <c r="F20" s="16" t="inlineStr">
        <is>
          <t>0.000 SOL</t>
        </is>
      </c>
      <c r="G20" s="17" t="inlineStr">
        <is>
          <t>-36.970 SOL</t>
        </is>
      </c>
      <c r="H20" s="17" t="inlineStr">
        <is>
          <t>0.00%</t>
        </is>
      </c>
      <c r="I20" s="16" t="inlineStr">
        <is>
          <t>11,594,782</t>
        </is>
      </c>
      <c r="J20" s="16" t="n">
        <v>126</v>
      </c>
      <c r="K20" s="16" t="n">
        <v>0</v>
      </c>
      <c r="L20" s="16" t="inlineStr">
        <is>
          <t>30.10.2024 18:37:39</t>
        </is>
      </c>
      <c r="M20" s="16" t="inlineStr">
        <is>
          <t>6 hours</t>
        </is>
      </c>
      <c r="N20" s="16" t="inlineStr">
        <is>
          <t xml:space="preserve">        550K           523K           504K</t>
        </is>
      </c>
      <c r="O20" s="16" t="inlineStr">
        <is>
          <t>AwptL2WRgSKXYpgg7vkKKw5GmRr8SjW8vDYFoYoUpump</t>
        </is>
      </c>
      <c r="P20" s="16">
        <f>HYPERLINK("https://dexscreener.com/solana/AwptL2WRgSKXYpgg7vkKKw5GmRr8SjW8vDYFoYoUpump", "View")</f>
        <v/>
      </c>
    </row>
    <row r="21">
      <c r="A21" s="19" t="inlineStr">
        <is>
          <t>zuo</t>
        </is>
      </c>
      <c r="B21" s="20" t="n">
        <v>2026975</v>
      </c>
      <c r="C21" s="20" t="n">
        <v>0</v>
      </c>
      <c r="D21" s="20" t="inlineStr">
        <is>
          <t>0.000010</t>
        </is>
      </c>
      <c r="E21" s="20" t="inlineStr">
        <is>
          <t>5.000 SOL</t>
        </is>
      </c>
      <c r="F21" s="20" t="inlineStr">
        <is>
          <t>0.000 SOL</t>
        </is>
      </c>
      <c r="G21" s="17" t="inlineStr">
        <is>
          <t>-5.000 SOL</t>
        </is>
      </c>
      <c r="H21" s="17" t="inlineStr">
        <is>
          <t>0.00%</t>
        </is>
      </c>
      <c r="I21" s="20" t="inlineStr">
        <is>
          <t>2,026,975</t>
        </is>
      </c>
      <c r="J21" s="20" t="n">
        <v>1</v>
      </c>
      <c r="K21" s="20" t="n">
        <v>0</v>
      </c>
      <c r="L21" s="20" t="inlineStr">
        <is>
          <t>30.10.2024 16:19:20</t>
        </is>
      </c>
      <c r="M21" s="18" t="inlineStr">
        <is>
          <t>0 sec</t>
        </is>
      </c>
      <c r="N21" s="20" t="inlineStr">
        <is>
          <t xml:space="preserve">        434K           434K           615K</t>
        </is>
      </c>
      <c r="O21" s="20" t="inlineStr">
        <is>
          <t>7DY9fEwtNLxQfc3SEUQwWvUou7fVWk8mRwZazXSgpump</t>
        </is>
      </c>
      <c r="P21" s="20">
        <f>HYPERLINK("https://dexscreener.com/solana/7DY9fEwtNLxQfc3SEUQwWvUou7fVWk8mRwZazXSgpump", "View")</f>
        <v/>
      </c>
    </row>
    <row r="22">
      <c r="A22" s="15" t="inlineStr">
        <is>
          <t>MRBEAST</t>
        </is>
      </c>
      <c r="B22" s="16" t="n">
        <v>6926567</v>
      </c>
      <c r="C22" s="16" t="n">
        <v>3463284</v>
      </c>
      <c r="D22" s="16" t="inlineStr">
        <is>
          <t>0.001020</t>
        </is>
      </c>
      <c r="E22" s="16" t="inlineStr">
        <is>
          <t>3.000 SOL</t>
        </is>
      </c>
      <c r="F22" s="16" t="inlineStr">
        <is>
          <t>4.915 SOL</t>
        </is>
      </c>
      <c r="G22" s="23" t="inlineStr">
        <is>
          <t>1.914 SOL</t>
        </is>
      </c>
      <c r="H22" s="23" t="inlineStr">
        <is>
          <t>63.78%</t>
        </is>
      </c>
      <c r="I22" s="16" t="inlineStr">
        <is>
          <t>N/A</t>
        </is>
      </c>
      <c r="J22" s="16" t="n">
        <v>3</v>
      </c>
      <c r="K22" s="16" t="n">
        <v>1</v>
      </c>
      <c r="L22" s="16" t="inlineStr">
        <is>
          <t>30.10.2024 15:17:21</t>
        </is>
      </c>
      <c r="M22" s="16" t="inlineStr">
        <is>
          <t>6 min</t>
        </is>
      </c>
      <c r="N22" s="16" t="inlineStr">
        <is>
          <t xml:space="preserve">         70K           249K            12K</t>
        </is>
      </c>
      <c r="O22" s="16" t="inlineStr">
        <is>
          <t>54DMrvFXRR6yNXum3gSCLcSi9ebTGpJ5ZLFUWmN1pump</t>
        </is>
      </c>
      <c r="P22" s="16">
        <f>HYPERLINK("https://dexscreener.com/solana/54DMrvFXRR6yNXum3gSCLcSi9ebTGpJ5ZLFUWmN1pump", "View")</f>
        <v/>
      </c>
    </row>
    <row r="23">
      <c r="A23" s="19" t="inlineStr">
        <is>
          <t>tutu</t>
        </is>
      </c>
      <c r="B23" s="20" t="n">
        <v>27273953</v>
      </c>
      <c r="C23" s="20" t="n">
        <v>0</v>
      </c>
      <c r="D23" s="20" t="inlineStr">
        <is>
          <t>0.000030</t>
        </is>
      </c>
      <c r="E23" s="20" t="inlineStr">
        <is>
          <t>22.000 SOL</t>
        </is>
      </c>
      <c r="F23" s="20" t="inlineStr">
        <is>
          <t>0.000 SOL</t>
        </is>
      </c>
      <c r="G23" s="17" t="inlineStr">
        <is>
          <t>-22.000 SOL</t>
        </is>
      </c>
      <c r="H23" s="17" t="inlineStr">
        <is>
          <t>0.00%</t>
        </is>
      </c>
      <c r="I23" s="20" t="inlineStr">
        <is>
          <t>27,273,953</t>
        </is>
      </c>
      <c r="J23" s="20" t="n">
        <v>6</v>
      </c>
      <c r="K23" s="20" t="n">
        <v>0</v>
      </c>
      <c r="L23" s="20" t="inlineStr">
        <is>
          <t>30.10.2024 15:02:37</t>
        </is>
      </c>
      <c r="M23" s="20" t="inlineStr">
        <is>
          <t>11 min</t>
        </is>
      </c>
      <c r="N23" s="20" t="inlineStr">
        <is>
          <t xml:space="preserve">         44K           181K             6K</t>
        </is>
      </c>
      <c r="O23" s="20" t="inlineStr">
        <is>
          <t>3M85pJDvorLLtdq9zNcB2r5N36JvBvPpSFrB7pEnpump</t>
        </is>
      </c>
      <c r="P23" s="20">
        <f>HYPERLINK("https://dexscreener.com/solana/3M85pJDvorLLtdq9zNcB2r5N36JvBvPpSFrB7pEnpump", "View")</f>
        <v/>
      </c>
    </row>
    <row r="24">
      <c r="A24" s="15" t="inlineStr">
        <is>
          <t>office</t>
        </is>
      </c>
      <c r="B24" s="16" t="n">
        <v>6037039</v>
      </c>
      <c r="C24" s="16" t="n">
        <v>0</v>
      </c>
      <c r="D24" s="16" t="inlineStr">
        <is>
          <t>0.000010</t>
        </is>
      </c>
      <c r="E24" s="16" t="inlineStr">
        <is>
          <t>1.002 SOL</t>
        </is>
      </c>
      <c r="F24" s="16" t="inlineStr">
        <is>
          <t>0.000 SOL</t>
        </is>
      </c>
      <c r="G24" s="17" t="inlineStr">
        <is>
          <t>-1.002 SOL</t>
        </is>
      </c>
      <c r="H24" s="17" t="inlineStr">
        <is>
          <t>0.00%</t>
        </is>
      </c>
      <c r="I24" s="16" t="inlineStr">
        <is>
          <t>6,037,039</t>
        </is>
      </c>
      <c r="J24" s="16" t="n">
        <v>1</v>
      </c>
      <c r="K24" s="16" t="n">
        <v>0</v>
      </c>
      <c r="L24" s="16" t="inlineStr">
        <is>
          <t>30.10.2024 14:53:15</t>
        </is>
      </c>
      <c r="M24" s="18" t="inlineStr">
        <is>
          <t>0 sec</t>
        </is>
      </c>
      <c r="N24" s="16" t="inlineStr">
        <is>
          <t xml:space="preserve">         30K            30K             7K</t>
        </is>
      </c>
      <c r="O24" s="16" t="inlineStr">
        <is>
          <t>4DBAGjeZHQpehUq7o74XDkHSAor1apj7gpfTu7oqpump</t>
        </is>
      </c>
      <c r="P24" s="16">
        <f>HYPERLINK("https://photon-sol.tinyastro.io/en/lp/4DBAGjeZHQpehUq7o74XDkHSAor1apj7gpfTu7oqpump?handle=676050794bc1b1657a56b", "View")</f>
        <v/>
      </c>
    </row>
    <row r="25">
      <c r="A25" s="19" t="inlineStr">
        <is>
          <t>TOSHI</t>
        </is>
      </c>
      <c r="B25" s="20" t="n">
        <v>1510724</v>
      </c>
      <c r="C25" s="20" t="n">
        <v>0</v>
      </c>
      <c r="D25" s="20" t="inlineStr">
        <is>
          <t>0.000010</t>
        </is>
      </c>
      <c r="E25" s="20" t="inlineStr">
        <is>
          <t>5.000 SOL</t>
        </is>
      </c>
      <c r="F25" s="20" t="inlineStr">
        <is>
          <t>0.000 SOL</t>
        </is>
      </c>
      <c r="G25" s="17" t="inlineStr">
        <is>
          <t>-5.000 SOL</t>
        </is>
      </c>
      <c r="H25" s="17" t="inlineStr">
        <is>
          <t>0.00%</t>
        </is>
      </c>
      <c r="I25" s="20" t="inlineStr">
        <is>
          <t>1,510,724</t>
        </is>
      </c>
      <c r="J25" s="20" t="n">
        <v>1</v>
      </c>
      <c r="K25" s="20" t="n">
        <v>0</v>
      </c>
      <c r="L25" s="20" t="inlineStr">
        <is>
          <t>30.10.2024 12:47:15</t>
        </is>
      </c>
      <c r="M25" s="18" t="inlineStr">
        <is>
          <t>0 sec</t>
        </is>
      </c>
      <c r="N25" s="20" t="inlineStr">
        <is>
          <t xml:space="preserve">        536K           536K           430K</t>
        </is>
      </c>
      <c r="O25" s="20" t="inlineStr">
        <is>
          <t>BE9WCtE9p36RX4kmsN5VDd8MSc5QwJQcARbSL3R8pump</t>
        </is>
      </c>
      <c r="P25" s="20">
        <f>HYPERLINK("https://dexscreener.com/solana/BE9WCtE9p36RX4kmsN5VDd8MSc5QwJQcARbSL3R8pump", "View")</f>
        <v/>
      </c>
    </row>
    <row r="26">
      <c r="A26" s="15" t="inlineStr">
        <is>
          <t>BFSSFG</t>
        </is>
      </c>
      <c r="B26" s="16" t="n">
        <v>17854811</v>
      </c>
      <c r="C26" s="16" t="n">
        <v>0</v>
      </c>
      <c r="D26" s="16" t="inlineStr">
        <is>
          <t>0.000010</t>
        </is>
      </c>
      <c r="E26" s="16" t="inlineStr">
        <is>
          <t>1.002 SOL</t>
        </is>
      </c>
      <c r="F26" s="16" t="inlineStr">
        <is>
          <t>0.000 SOL</t>
        </is>
      </c>
      <c r="G26" s="17" t="inlineStr">
        <is>
          <t>-1.002 SOL</t>
        </is>
      </c>
      <c r="H26" s="17" t="inlineStr">
        <is>
          <t>0.00%</t>
        </is>
      </c>
      <c r="I26" s="16" t="inlineStr">
        <is>
          <t>17,854,811</t>
        </is>
      </c>
      <c r="J26" s="16" t="n">
        <v>1</v>
      </c>
      <c r="K26" s="16" t="n">
        <v>0</v>
      </c>
      <c r="L26" s="16" t="inlineStr">
        <is>
          <t>30.10.2024 12:46:13</t>
        </is>
      </c>
      <c r="M26" s="18" t="inlineStr">
        <is>
          <t>0 sec</t>
        </is>
      </c>
      <c r="N26" s="16" t="inlineStr">
        <is>
          <t xml:space="preserve">         11K            11K             6K</t>
        </is>
      </c>
      <c r="O26" s="16" t="inlineStr">
        <is>
          <t>HYncrGAc1Sy99pKPk25TN8TzRWdn9UhAupc36NN3pump</t>
        </is>
      </c>
      <c r="P26" s="16">
        <f>HYPERLINK("https://photon-sol.tinyastro.io/en/lp/HYncrGAc1Sy99pKPk25TN8TzRWdn9UhAupc36NN3pump?handle=676050794bc1b1657a56b", "View")</f>
        <v/>
      </c>
    </row>
    <row r="27">
      <c r="A27" s="19" t="inlineStr">
        <is>
          <t>NUTBUTT</t>
        </is>
      </c>
      <c r="B27" s="20" t="n">
        <v>1430482</v>
      </c>
      <c r="C27" s="20" t="n">
        <v>0</v>
      </c>
      <c r="D27" s="20" t="inlineStr">
        <is>
          <t>0.000010</t>
        </is>
      </c>
      <c r="E27" s="20" t="inlineStr">
        <is>
          <t>5.500 SOL</t>
        </is>
      </c>
      <c r="F27" s="20" t="inlineStr">
        <is>
          <t>0.000 SOL</t>
        </is>
      </c>
      <c r="G27" s="17" t="inlineStr">
        <is>
          <t>-5.500 SOL</t>
        </is>
      </c>
      <c r="H27" s="17" t="inlineStr">
        <is>
          <t>0.00%</t>
        </is>
      </c>
      <c r="I27" s="20" t="inlineStr">
        <is>
          <t>1,430,482</t>
        </is>
      </c>
      <c r="J27" s="20" t="n">
        <v>2</v>
      </c>
      <c r="K27" s="20" t="n">
        <v>0</v>
      </c>
      <c r="L27" s="20" t="inlineStr">
        <is>
          <t>30.10.2024 09:29:51</t>
        </is>
      </c>
      <c r="M27" s="20" t="inlineStr">
        <is>
          <t>1 min</t>
        </is>
      </c>
      <c r="N27" s="20" t="inlineStr">
        <is>
          <t xml:space="preserve">        636K           680K           657K</t>
        </is>
      </c>
      <c r="O27" s="20" t="inlineStr">
        <is>
          <t>CFBYjzT357obRmihT9F5uyCY3kqgksRvXKM3RJN1pump</t>
        </is>
      </c>
      <c r="P27" s="20">
        <f>HYPERLINK("https://dexscreener.com/solana/CFBYjzT357obRmihT9F5uyCY3kqgksRvXKM3RJN1pump", "View")</f>
        <v/>
      </c>
    </row>
    <row r="28">
      <c r="A28" s="15" t="inlineStr">
        <is>
          <t>BTCAT</t>
        </is>
      </c>
      <c r="B28" s="16" t="n">
        <v>347613</v>
      </c>
      <c r="C28" s="16" t="n">
        <v>0</v>
      </c>
      <c r="D28" s="16" t="inlineStr">
        <is>
          <t>0.006660</t>
        </is>
      </c>
      <c r="E28" s="16" t="inlineStr">
        <is>
          <t>6.000 SOL</t>
        </is>
      </c>
      <c r="F28" s="16" t="inlineStr">
        <is>
          <t>0.000 SOL</t>
        </is>
      </c>
      <c r="G28" s="17" t="inlineStr">
        <is>
          <t>-6.007 SOL</t>
        </is>
      </c>
      <c r="H28" s="17" t="inlineStr">
        <is>
          <t>0.00%</t>
        </is>
      </c>
      <c r="I28" s="16" t="inlineStr">
        <is>
          <t>347,613</t>
        </is>
      </c>
      <c r="J28" s="16" t="n">
        <v>2</v>
      </c>
      <c r="K28" s="16" t="n">
        <v>0</v>
      </c>
      <c r="L28" s="16" t="inlineStr">
        <is>
          <t>30.10.2024 07:09:51</t>
        </is>
      </c>
      <c r="M28" s="16" t="inlineStr">
        <is>
          <t>12 days</t>
        </is>
      </c>
      <c r="N28" s="16" t="inlineStr">
        <is>
          <t xml:space="preserve">          4M             3M             6M</t>
        </is>
      </c>
      <c r="O28" s="16" t="inlineStr">
        <is>
          <t>3XFiHA2gexzBjqtM5Z7FjJhP6f28D2m79UihBCfkpump</t>
        </is>
      </c>
      <c r="P28" s="16">
        <f>HYPERLINK("https://dexscreener.com/solana/3XFiHA2gexzBjqtM5Z7FjJhP6f28D2m79UihBCfkpump", "View")</f>
        <v/>
      </c>
    </row>
    <row r="29">
      <c r="A29" s="19" t="inlineStr">
        <is>
          <t>Agent 1</t>
        </is>
      </c>
      <c r="B29" s="20" t="n">
        <v>14905108</v>
      </c>
      <c r="C29" s="20" t="n">
        <v>14905108</v>
      </c>
      <c r="D29" s="20" t="inlineStr">
        <is>
          <t>0.000860</t>
        </is>
      </c>
      <c r="E29" s="20" t="inlineStr">
        <is>
          <t>4.002 SOL</t>
        </is>
      </c>
      <c r="F29" s="20" t="inlineStr">
        <is>
          <t>0.669 SOL</t>
        </is>
      </c>
      <c r="G29" s="24" t="inlineStr">
        <is>
          <t>-3.333 SOL</t>
        </is>
      </c>
      <c r="H29" s="24" t="inlineStr">
        <is>
          <t>-83.28%</t>
        </is>
      </c>
      <c r="I29" s="20" t="inlineStr">
        <is>
          <t>N/A</t>
        </is>
      </c>
      <c r="J29" s="20" t="n">
        <v>4</v>
      </c>
      <c r="K29" s="20" t="n">
        <v>1</v>
      </c>
      <c r="L29" s="20" t="inlineStr">
        <is>
          <t>30.10.2024 00:52:08</t>
        </is>
      </c>
      <c r="M29" s="20" t="inlineStr">
        <is>
          <t>9 days</t>
        </is>
      </c>
      <c r="N29" s="20" t="inlineStr">
        <is>
          <t xml:space="preserve">         39K            58K             8K</t>
        </is>
      </c>
      <c r="O29" s="20" t="inlineStr">
        <is>
          <t>3iez1rM9YmsdU3SdMwY8pf9RNXkvH3Ee4JeoH5mXpump</t>
        </is>
      </c>
      <c r="P29" s="20">
        <f>HYPERLINK("https://photon-sol.tinyastro.io/en/lp/3iez1rM9YmsdU3SdMwY8pf9RNXkvH3Ee4JeoH5mXpump?handle=676050794bc1b1657a56b", "View")</f>
        <v/>
      </c>
    </row>
    <row r="30">
      <c r="A30" s="15" t="inlineStr">
        <is>
          <t>CELL</t>
        </is>
      </c>
      <c r="B30" s="16" t="n">
        <v>2543884</v>
      </c>
      <c r="C30" s="16" t="n">
        <v>0</v>
      </c>
      <c r="D30" s="16" t="inlineStr">
        <is>
          <t>0.000760</t>
        </is>
      </c>
      <c r="E30" s="16" t="inlineStr">
        <is>
          <t>1.000 SOL</t>
        </is>
      </c>
      <c r="F30" s="16" t="inlineStr">
        <is>
          <t>0.000 SOL</t>
        </is>
      </c>
      <c r="G30" s="17" t="inlineStr">
        <is>
          <t>-1.001 SOL</t>
        </is>
      </c>
      <c r="H30" s="17" t="inlineStr">
        <is>
          <t>0.00%</t>
        </is>
      </c>
      <c r="I30" s="16" t="inlineStr">
        <is>
          <t>2,543,884</t>
        </is>
      </c>
      <c r="J30" s="16" t="n">
        <v>1</v>
      </c>
      <c r="K30" s="16" t="n">
        <v>0</v>
      </c>
      <c r="L30" s="16" t="inlineStr">
        <is>
          <t>30.10.2024 00:29:36</t>
        </is>
      </c>
      <c r="M30" s="18" t="inlineStr">
        <is>
          <t>0 sec</t>
        </is>
      </c>
      <c r="N30" s="16" t="inlineStr">
        <is>
          <t xml:space="preserve">         68K            68K            11K</t>
        </is>
      </c>
      <c r="O30" s="16" t="inlineStr">
        <is>
          <t>9KhBNo1FoYyWbU8WdrPVzA1z1MVSEZ9VCVBEqWzrpump</t>
        </is>
      </c>
      <c r="P30" s="16">
        <f>HYPERLINK("https://dexscreener.com/solana/9KhBNo1FoYyWbU8WdrPVzA1z1MVSEZ9VCVBEqWzrpump", "View")</f>
        <v/>
      </c>
    </row>
    <row r="31">
      <c r="A31" s="19" t="inlineStr">
        <is>
          <t>YOUSIM</t>
        </is>
      </c>
      <c r="B31" s="20" t="n">
        <v>2776624</v>
      </c>
      <c r="C31" s="20" t="n">
        <v>0</v>
      </c>
      <c r="D31" s="20" t="inlineStr">
        <is>
          <t>0.000870</t>
        </is>
      </c>
      <c r="E31" s="20" t="inlineStr">
        <is>
          <t>31.001 SOL</t>
        </is>
      </c>
      <c r="F31" s="20" t="inlineStr">
        <is>
          <t>0.000 SOL</t>
        </is>
      </c>
      <c r="G31" s="17" t="inlineStr">
        <is>
          <t>-31.002 SOL</t>
        </is>
      </c>
      <c r="H31" s="17" t="inlineStr">
        <is>
          <t>0.00%</t>
        </is>
      </c>
      <c r="I31" s="20" t="inlineStr">
        <is>
          <t>2,776,624</t>
        </is>
      </c>
      <c r="J31" s="20" t="n">
        <v>8</v>
      </c>
      <c r="K31" s="20" t="n">
        <v>0</v>
      </c>
      <c r="L31" s="20" t="inlineStr">
        <is>
          <t>29.10.2024 23:57:42</t>
        </is>
      </c>
      <c r="M31" s="20" t="inlineStr">
        <is>
          <t>5 days</t>
        </is>
      </c>
      <c r="N31" s="20" t="inlineStr">
        <is>
          <t xml:space="preserve">         15M             3M            10M</t>
        </is>
      </c>
      <c r="O31" s="20" t="inlineStr">
        <is>
          <t>66gsTs88mXJ5L4AtJnWqFW6H2L5YQDRy4W41y6zbpump</t>
        </is>
      </c>
      <c r="P31" s="20">
        <f>HYPERLINK("https://dexscreener.com/solana/66gsTs88mXJ5L4AtJnWqFW6H2L5YQDRy4W41y6zbpump", "View")</f>
        <v/>
      </c>
    </row>
    <row r="32">
      <c r="A32" s="15" t="inlineStr">
        <is>
          <t>Zeus</t>
        </is>
      </c>
      <c r="B32" s="16" t="n">
        <v>5040351</v>
      </c>
      <c r="C32" s="16" t="n">
        <v>0</v>
      </c>
      <c r="D32" s="16" t="inlineStr">
        <is>
          <t>0.001000</t>
        </is>
      </c>
      <c r="E32" s="16" t="inlineStr">
        <is>
          <t>0.990 SOL</t>
        </is>
      </c>
      <c r="F32" s="16" t="inlineStr">
        <is>
          <t>0.000 SOL</t>
        </is>
      </c>
      <c r="G32" s="17" t="inlineStr">
        <is>
          <t>-0.991 SOL</t>
        </is>
      </c>
      <c r="H32" s="17" t="inlineStr">
        <is>
          <t>0.00%</t>
        </is>
      </c>
      <c r="I32" s="16" t="inlineStr">
        <is>
          <t>5,040,351</t>
        </is>
      </c>
      <c r="J32" s="16" t="n">
        <v>1</v>
      </c>
      <c r="K32" s="16" t="n">
        <v>0</v>
      </c>
      <c r="L32" s="16" t="inlineStr">
        <is>
          <t>29.10.2024 17:23:14</t>
        </is>
      </c>
      <c r="M32" s="18" t="inlineStr">
        <is>
          <t>0 sec</t>
        </is>
      </c>
      <c r="N32" s="16" t="inlineStr">
        <is>
          <t xml:space="preserve">         35K            35K            18K</t>
        </is>
      </c>
      <c r="O32" s="16" t="inlineStr">
        <is>
          <t>DRywkq2ibSwgoZEdfLTzSFshcBnLffa6ge9RPyGepump</t>
        </is>
      </c>
      <c r="P32" s="16">
        <f>HYPERLINK("https://dexscreener.com/solana/DRywkq2ibSwgoZEdfLTzSFshcBnLffa6ge9RPyGepump", "View")</f>
        <v/>
      </c>
    </row>
    <row r="33">
      <c r="A33" s="19" t="inlineStr">
        <is>
          <t>HR</t>
        </is>
      </c>
      <c r="B33" s="20" t="n">
        <v>15127383</v>
      </c>
      <c r="C33" s="20" t="n">
        <v>0</v>
      </c>
      <c r="D33" s="20" t="inlineStr">
        <is>
          <t>0.000010</t>
        </is>
      </c>
      <c r="E33" s="20" t="inlineStr">
        <is>
          <t>1.002 SOL</t>
        </is>
      </c>
      <c r="F33" s="20" t="inlineStr">
        <is>
          <t>0.000 SOL</t>
        </is>
      </c>
      <c r="G33" s="17" t="inlineStr">
        <is>
          <t>-1.002 SOL</t>
        </is>
      </c>
      <c r="H33" s="17" t="inlineStr">
        <is>
          <t>0.00%</t>
        </is>
      </c>
      <c r="I33" s="20" t="inlineStr">
        <is>
          <t>15,127,383</t>
        </is>
      </c>
      <c r="J33" s="20" t="n">
        <v>1</v>
      </c>
      <c r="K33" s="20" t="n">
        <v>0</v>
      </c>
      <c r="L33" s="20" t="inlineStr">
        <is>
          <t>29.10.2024 17:16:40</t>
        </is>
      </c>
      <c r="M33" s="18" t="inlineStr">
        <is>
          <t>0 sec</t>
        </is>
      </c>
      <c r="N33" s="20" t="inlineStr">
        <is>
          <t xml:space="preserve">         12K            12K             5K</t>
        </is>
      </c>
      <c r="O33" s="20" t="inlineStr">
        <is>
          <t>Bv9ph8667bzzUYsNYKxetKNsBxfzK5JFF7LKLnuYQsY8</t>
        </is>
      </c>
      <c r="P33" s="20">
        <f>HYPERLINK("https://photon-sol.tinyastro.io/en/lp/Bv9ph8667bzzUYsNYKxetKNsBxfzK5JFF7LKLnuYQsY8?handle=676050794bc1b1657a56b", "View")</f>
        <v/>
      </c>
    </row>
    <row r="34">
      <c r="A34" s="15" t="inlineStr">
        <is>
          <t>ddog</t>
        </is>
      </c>
      <c r="B34" s="16" t="n">
        <v>667141</v>
      </c>
      <c r="C34" s="16" t="n">
        <v>0</v>
      </c>
      <c r="D34" s="16" t="inlineStr">
        <is>
          <t>0.000010</t>
        </is>
      </c>
      <c r="E34" s="16" t="inlineStr">
        <is>
          <t>0.200 SOL</t>
        </is>
      </c>
      <c r="F34" s="16" t="inlineStr">
        <is>
          <t>0.000 SOL</t>
        </is>
      </c>
      <c r="G34" s="17" t="inlineStr">
        <is>
          <t>-0.200 SOL</t>
        </is>
      </c>
      <c r="H34" s="17" t="inlineStr">
        <is>
          <t>0.00%</t>
        </is>
      </c>
      <c r="I34" s="16" t="inlineStr">
        <is>
          <t>667,141</t>
        </is>
      </c>
      <c r="J34" s="16" t="n">
        <v>1</v>
      </c>
      <c r="K34" s="16" t="n">
        <v>0</v>
      </c>
      <c r="L34" s="16" t="inlineStr">
        <is>
          <t>29.10.2024 16:32:14</t>
        </is>
      </c>
      <c r="M34" s="18" t="inlineStr">
        <is>
          <t>0 sec</t>
        </is>
      </c>
      <c r="N34" s="16" t="inlineStr">
        <is>
          <t xml:space="preserve">         53K            53K             8K</t>
        </is>
      </c>
      <c r="O34" s="16" t="inlineStr">
        <is>
          <t>EJdD2Tx4MWzbhjMRAHpTPt7xHTr9wKyDqQtnXH2wpump</t>
        </is>
      </c>
      <c r="P34" s="16">
        <f>HYPERLINK("https://dexscreener.com/solana/EJdD2Tx4MWzbhjMRAHpTPt7xHTr9wKyDqQtnXH2wpump", "View")</f>
        <v/>
      </c>
    </row>
    <row r="35">
      <c r="A35" s="19" t="inlineStr">
        <is>
          <t>LUCE</t>
        </is>
      </c>
      <c r="B35" s="20" t="n">
        <v>147515</v>
      </c>
      <c r="C35" s="20" t="n">
        <v>0</v>
      </c>
      <c r="D35" s="20" t="inlineStr">
        <is>
          <t>0.000010</t>
        </is>
      </c>
      <c r="E35" s="20" t="inlineStr">
        <is>
          <t>5.001 SOL</t>
        </is>
      </c>
      <c r="F35" s="20" t="inlineStr">
        <is>
          <t>0.000 SOL</t>
        </is>
      </c>
      <c r="G35" s="17" t="inlineStr">
        <is>
          <t>-5.001 SOL</t>
        </is>
      </c>
      <c r="H35" s="17" t="inlineStr">
        <is>
          <t>0.00%</t>
        </is>
      </c>
      <c r="I35" s="20" t="inlineStr">
        <is>
          <t>147,515</t>
        </is>
      </c>
      <c r="J35" s="20" t="n">
        <v>2</v>
      </c>
      <c r="K35" s="20" t="n">
        <v>0</v>
      </c>
      <c r="L35" s="20" t="inlineStr">
        <is>
          <t>29.10.2024 15:04:53</t>
        </is>
      </c>
      <c r="M35" s="20" t="inlineStr">
        <is>
          <t>22 hours</t>
        </is>
      </c>
      <c r="N35" s="20" t="inlineStr">
        <is>
          <t xml:space="preserve">         59M             6M            57M</t>
        </is>
      </c>
      <c r="O35" s="20" t="inlineStr">
        <is>
          <t>CBdCxKo9QavR9hfShgpEBG3zekorAeD7W1jfq2o3pump</t>
        </is>
      </c>
      <c r="P35" s="20">
        <f>HYPERLINK("https://dexscreener.com/solana/CBdCxKo9QavR9hfShgpEBG3zekorAeD7W1jfq2o3pump", "View")</f>
        <v/>
      </c>
    </row>
    <row r="36">
      <c r="A36" s="15" t="inlineStr">
        <is>
          <t>FRIDGE</t>
        </is>
      </c>
      <c r="B36" s="16" t="n">
        <v>13092</v>
      </c>
      <c r="C36" s="16" t="n">
        <v>0</v>
      </c>
      <c r="D36" s="16" t="inlineStr">
        <is>
          <t>0.000010</t>
        </is>
      </c>
      <c r="E36" s="16" t="inlineStr">
        <is>
          <t>0.300 SOL</t>
        </is>
      </c>
      <c r="F36" s="16" t="inlineStr">
        <is>
          <t>0.000 SOL</t>
        </is>
      </c>
      <c r="G36" s="17" t="inlineStr">
        <is>
          <t>-0.300 SOL</t>
        </is>
      </c>
      <c r="H36" s="17" t="inlineStr">
        <is>
          <t>0.00%</t>
        </is>
      </c>
      <c r="I36" s="16" t="inlineStr">
        <is>
          <t>13,092</t>
        </is>
      </c>
      <c r="J36" s="16" t="n">
        <v>1</v>
      </c>
      <c r="K36" s="16" t="n">
        <v>0</v>
      </c>
      <c r="L36" s="16" t="inlineStr">
        <is>
          <t>29.10.2024 12:41:16</t>
        </is>
      </c>
      <c r="M36" s="18" t="inlineStr">
        <is>
          <t>0 sec</t>
        </is>
      </c>
      <c r="N36" s="16" t="inlineStr">
        <is>
          <t xml:space="preserve">          4M             4M             2M</t>
        </is>
      </c>
      <c r="O36" s="16" t="inlineStr">
        <is>
          <t>EswvJvhPy8A8rWPdLJ5ATYW6cY5x483oS4QWWroZpump</t>
        </is>
      </c>
      <c r="P36" s="16">
        <f>HYPERLINK("https://dexscreener.com/solana/EswvJvhPy8A8rWPdLJ5ATYW6cY5x483oS4QWWroZpump", "View")</f>
        <v/>
      </c>
    </row>
    <row r="37">
      <c r="A37" s="19" t="inlineStr">
        <is>
          <t>DARK LUCE</t>
        </is>
      </c>
      <c r="B37" s="20" t="n">
        <v>6627577</v>
      </c>
      <c r="C37" s="20" t="n">
        <v>0</v>
      </c>
      <c r="D37" s="20" t="inlineStr">
        <is>
          <t>0.000010</t>
        </is>
      </c>
      <c r="E37" s="20" t="inlineStr">
        <is>
          <t>0.702 SOL</t>
        </is>
      </c>
      <c r="F37" s="20" t="inlineStr">
        <is>
          <t>0.000 SOL</t>
        </is>
      </c>
      <c r="G37" s="17" t="inlineStr">
        <is>
          <t>-0.702 SOL</t>
        </is>
      </c>
      <c r="H37" s="17" t="inlineStr">
        <is>
          <t>0.00%</t>
        </is>
      </c>
      <c r="I37" s="20" t="inlineStr">
        <is>
          <t>6,627,577</t>
        </is>
      </c>
      <c r="J37" s="20" t="n">
        <v>2</v>
      </c>
      <c r="K37" s="20" t="n">
        <v>0</v>
      </c>
      <c r="L37" s="20" t="inlineStr">
        <is>
          <t>29.10.2024 09:08:04</t>
        </is>
      </c>
      <c r="M37" s="18" t="inlineStr">
        <is>
          <t>41 sec</t>
        </is>
      </c>
      <c r="N37" s="20" t="inlineStr">
        <is>
          <t xml:space="preserve">         14K            25K             6K</t>
        </is>
      </c>
      <c r="O37" s="20" t="inlineStr">
        <is>
          <t>BrgsAX2nx5tT3VxCPvmUu1yWKguFw58Kjqz4vAWQpump</t>
        </is>
      </c>
      <c r="P37" s="20">
        <f>HYPERLINK("https://photon-sol.tinyastro.io/en/lp/BrgsAX2nx5tT3VxCPvmUu1yWKguFw58Kjqz4vAWQpump?handle=676050794bc1b1657a56b", "View")</f>
        <v/>
      </c>
    </row>
    <row r="38">
      <c r="A38" s="15" t="inlineStr">
        <is>
          <t>Voldemort</t>
        </is>
      </c>
      <c r="B38" s="16" t="n">
        <v>163707506</v>
      </c>
      <c r="C38" s="16" t="n">
        <v>0</v>
      </c>
      <c r="D38" s="16" t="inlineStr">
        <is>
          <t>0.000030</t>
        </is>
      </c>
      <c r="E38" s="16" t="inlineStr">
        <is>
          <t>6.000 SOL</t>
        </is>
      </c>
      <c r="F38" s="16" t="inlineStr">
        <is>
          <t>0.000 SOL</t>
        </is>
      </c>
      <c r="G38" s="17" t="inlineStr">
        <is>
          <t>-6.000 SOL</t>
        </is>
      </c>
      <c r="H38" s="17" t="inlineStr">
        <is>
          <t>0.00%</t>
        </is>
      </c>
      <c r="I38" s="16" t="inlineStr">
        <is>
          <t>163,707,506</t>
        </is>
      </c>
      <c r="J38" s="16" t="n">
        <v>6</v>
      </c>
      <c r="K38" s="16" t="n">
        <v>0</v>
      </c>
      <c r="L38" s="16" t="inlineStr">
        <is>
          <t>29.10.2024 06:16:25</t>
        </is>
      </c>
      <c r="M38" s="18" t="inlineStr">
        <is>
          <t>42 sec</t>
        </is>
      </c>
      <c r="N38" s="16" t="inlineStr">
        <is>
          <t xml:space="preserve">         15K            44K            19K</t>
        </is>
      </c>
      <c r="O38" s="16" t="inlineStr">
        <is>
          <t>3Pi9Ppau53J8tSu3KRhPv9SyPxNzZpmZqSPNFS4fUGEQ</t>
        </is>
      </c>
      <c r="P38" s="16">
        <f>HYPERLINK("https://dexscreener.com/solana/3Pi9Ppau53J8tSu3KRhPv9SyPxNzZpmZqSPNFS4fUGEQ", "View")</f>
        <v/>
      </c>
    </row>
    <row r="39">
      <c r="A39" s="19" t="inlineStr">
        <is>
          <t>NOGAMBLING</t>
        </is>
      </c>
      <c r="B39" s="20" t="n">
        <v>1682003</v>
      </c>
      <c r="C39" s="20" t="n">
        <v>0</v>
      </c>
      <c r="D39" s="20" t="inlineStr">
        <is>
          <t>0.000020</t>
        </is>
      </c>
      <c r="E39" s="20" t="inlineStr">
        <is>
          <t>3.000 SOL</t>
        </is>
      </c>
      <c r="F39" s="20" t="inlineStr">
        <is>
          <t>0.000 SOL</t>
        </is>
      </c>
      <c r="G39" s="17" t="inlineStr">
        <is>
          <t>-3.000 SOL</t>
        </is>
      </c>
      <c r="H39" s="17" t="inlineStr">
        <is>
          <t>0.00%</t>
        </is>
      </c>
      <c r="I39" s="20" t="inlineStr">
        <is>
          <t>1,682,003</t>
        </is>
      </c>
      <c r="J39" s="20" t="n">
        <v>3</v>
      </c>
      <c r="K39" s="20" t="n">
        <v>0</v>
      </c>
      <c r="L39" s="20" t="inlineStr">
        <is>
          <t>29.10.2024 05:24:39</t>
        </is>
      </c>
      <c r="M39" s="18" t="inlineStr">
        <is>
          <t>1 sec</t>
        </is>
      </c>
      <c r="N39" s="20" t="inlineStr">
        <is>
          <t xml:space="preserve">        306K           325K           506K</t>
        </is>
      </c>
      <c r="O39" s="20" t="inlineStr">
        <is>
          <t>2odHeumkiJx46YyNHeZvDjMwsoNhpAgFQuipT96npump</t>
        </is>
      </c>
      <c r="P39" s="20">
        <f>HYPERLINK("https://dexscreener.com/solana/2odHeumkiJx46YyNHeZvDjMwsoNhpAgFQuipT96npump", "View")</f>
        <v/>
      </c>
    </row>
    <row r="40">
      <c r="A40" s="15" t="inlineStr">
        <is>
          <t>FEET</t>
        </is>
      </c>
      <c r="B40" s="16" t="n">
        <v>2037632</v>
      </c>
      <c r="C40" s="16" t="n">
        <v>0</v>
      </c>
      <c r="D40" s="16" t="inlineStr">
        <is>
          <t>0.056020</t>
        </is>
      </c>
      <c r="E40" s="16" t="inlineStr">
        <is>
          <t>22.887 SOL</t>
        </is>
      </c>
      <c r="F40" s="16" t="inlineStr">
        <is>
          <t>0.000 SOL</t>
        </is>
      </c>
      <c r="G40" s="17" t="inlineStr">
        <is>
          <t>-22.944 SOL</t>
        </is>
      </c>
      <c r="H40" s="17" t="inlineStr">
        <is>
          <t>0.00%</t>
        </is>
      </c>
      <c r="I40" s="16" t="inlineStr">
        <is>
          <t>2,037,632</t>
        </is>
      </c>
      <c r="J40" s="16" t="n">
        <v>60</v>
      </c>
      <c r="K40" s="16" t="n">
        <v>0</v>
      </c>
      <c r="L40" s="16" t="inlineStr">
        <is>
          <t>28.10.2024 23:08:06</t>
        </is>
      </c>
      <c r="M40" s="16" t="inlineStr">
        <is>
          <t>4 hours</t>
        </is>
      </c>
      <c r="N40" s="16" t="inlineStr">
        <is>
          <t xml:space="preserve">          2M             2M             4M</t>
        </is>
      </c>
      <c r="O40" s="16" t="inlineStr">
        <is>
          <t>47uYAPNpAMJrLLxQZ7QQ9F1T6XBHqfPHLTfLsCCapump</t>
        </is>
      </c>
      <c r="P40" s="16">
        <f>HYPERLINK("https://dexscreener.com/solana/47uYAPNpAMJrLLxQZ7QQ9F1T6XBHqfPHLTfLsCCapump", "View")</f>
        <v/>
      </c>
    </row>
    <row r="41">
      <c r="A41" s="19" t="inlineStr">
        <is>
          <t>Lucefer</t>
        </is>
      </c>
      <c r="B41" s="20" t="n">
        <v>26950487</v>
      </c>
      <c r="C41" s="20" t="n">
        <v>0</v>
      </c>
      <c r="D41" s="20" t="inlineStr">
        <is>
          <t>0.000010</t>
        </is>
      </c>
      <c r="E41" s="20" t="inlineStr">
        <is>
          <t>1.502 SOL</t>
        </is>
      </c>
      <c r="F41" s="20" t="inlineStr">
        <is>
          <t>0.000 SOL</t>
        </is>
      </c>
      <c r="G41" s="17" t="inlineStr">
        <is>
          <t>-1.502 SOL</t>
        </is>
      </c>
      <c r="H41" s="17" t="inlineStr">
        <is>
          <t>0.00%</t>
        </is>
      </c>
      <c r="I41" s="20" t="inlineStr">
        <is>
          <t>26,950,487</t>
        </is>
      </c>
      <c r="J41" s="20" t="n">
        <v>2</v>
      </c>
      <c r="K41" s="20" t="n">
        <v>0</v>
      </c>
      <c r="L41" s="20" t="inlineStr">
        <is>
          <t>28.10.2024 18:50:46</t>
        </is>
      </c>
      <c r="M41" s="20" t="inlineStr">
        <is>
          <t>2 min</t>
        </is>
      </c>
      <c r="N41" s="20" t="inlineStr">
        <is>
          <t xml:space="preserve">          8K            13K             6K</t>
        </is>
      </c>
      <c r="O41" s="20" t="inlineStr">
        <is>
          <t>HiakUje6XCsnZLysBzb82uF5n6utYpJWscQ7eDMJpump</t>
        </is>
      </c>
      <c r="P41" s="20">
        <f>HYPERLINK("https://photon-sol.tinyastro.io/en/lp/HiakUje6XCsnZLysBzb82uF5n6utYpJWscQ7eDMJpump?handle=676050794bc1b1657a56b", "View")</f>
        <v/>
      </c>
    </row>
    <row r="42">
      <c r="A42" s="15" t="inlineStr">
        <is>
          <t>Nailong</t>
        </is>
      </c>
      <c r="B42" s="16" t="n">
        <v>161840</v>
      </c>
      <c r="C42" s="16" t="n">
        <v>0</v>
      </c>
      <c r="D42" s="16" t="inlineStr">
        <is>
          <t>0.000010</t>
        </is>
      </c>
      <c r="E42" s="16" t="inlineStr">
        <is>
          <t>6.000 SOL</t>
        </is>
      </c>
      <c r="F42" s="16" t="inlineStr">
        <is>
          <t>0.000 SOL</t>
        </is>
      </c>
      <c r="G42" s="17" t="inlineStr">
        <is>
          <t>-6.000 SOL</t>
        </is>
      </c>
      <c r="H42" s="17" t="inlineStr">
        <is>
          <t>0.00%</t>
        </is>
      </c>
      <c r="I42" s="16" t="inlineStr">
        <is>
          <t>161,840</t>
        </is>
      </c>
      <c r="J42" s="16" t="n">
        <v>2</v>
      </c>
      <c r="K42" s="16" t="n">
        <v>0</v>
      </c>
      <c r="L42" s="16" t="inlineStr">
        <is>
          <t>28.10.2024 18:25:04</t>
        </is>
      </c>
      <c r="M42" s="16" t="inlineStr">
        <is>
          <t>14 hours</t>
        </is>
      </c>
      <c r="N42" s="16" t="inlineStr">
        <is>
          <t xml:space="preserve">          7M             6M            10M</t>
        </is>
      </c>
      <c r="O42" s="16" t="inlineStr">
        <is>
          <t>mkvXiNBpa8uiSApe5BrhWVJaT87pJFTZxRy7zFapump</t>
        </is>
      </c>
      <c r="P42" s="16">
        <f>HYPERLINK("https://dexscreener.com/solana/mkvXiNBpa8uiSApe5BrhWVJaT87pJFTZxRy7zFapump", "View")</f>
        <v/>
      </c>
    </row>
    <row r="43">
      <c r="A43" s="19" t="inlineStr">
        <is>
          <t>CLANKER</t>
        </is>
      </c>
      <c r="B43" s="20" t="n">
        <v>1078067</v>
      </c>
      <c r="C43" s="20" t="n">
        <v>0</v>
      </c>
      <c r="D43" s="20" t="inlineStr">
        <is>
          <t>0.016720</t>
        </is>
      </c>
      <c r="E43" s="20" t="inlineStr">
        <is>
          <t>13.980 SOL</t>
        </is>
      </c>
      <c r="F43" s="20" t="inlineStr">
        <is>
          <t>0.000 SOL</t>
        </is>
      </c>
      <c r="G43" s="17" t="inlineStr">
        <is>
          <t>-13.997 SOL</t>
        </is>
      </c>
      <c r="H43" s="17" t="inlineStr">
        <is>
          <t>0.00%</t>
        </is>
      </c>
      <c r="I43" s="20" t="inlineStr">
        <is>
          <t>1,078,067</t>
        </is>
      </c>
      <c r="J43" s="20" t="n">
        <v>5</v>
      </c>
      <c r="K43" s="20" t="n">
        <v>0</v>
      </c>
      <c r="L43" s="20" t="inlineStr">
        <is>
          <t>28.10.2024 07:26:40</t>
        </is>
      </c>
      <c r="M43" s="20" t="inlineStr">
        <is>
          <t>10 days</t>
        </is>
      </c>
      <c r="N43" s="20" t="inlineStr">
        <is>
          <t xml:space="preserve">          3M             3M             3M</t>
        </is>
      </c>
      <c r="O43" s="20" t="inlineStr">
        <is>
          <t>3qq54YqAKG3TcrwNHXFSpMCWoL8gmMuPceJ4FG9npump</t>
        </is>
      </c>
      <c r="P43" s="20">
        <f>HYPERLINK("https://dexscreener.com/solana/3qq54YqAKG3TcrwNHXFSpMCWoL8gmMuPceJ4FG9npump", "View")</f>
        <v/>
      </c>
    </row>
    <row r="44">
      <c r="A44" s="15" t="inlineStr">
        <is>
          <t>GOAT</t>
        </is>
      </c>
      <c r="B44" s="16" t="n">
        <v>33969</v>
      </c>
      <c r="C44" s="16" t="n">
        <v>1012</v>
      </c>
      <c r="D44" s="16" t="inlineStr">
        <is>
          <t>0.034440</t>
        </is>
      </c>
      <c r="E44" s="16" t="inlineStr">
        <is>
          <t>3.100 SOL</t>
        </is>
      </c>
      <c r="F44" s="16" t="inlineStr">
        <is>
          <t>3.240 SOL</t>
        </is>
      </c>
      <c r="G44" s="22" t="inlineStr">
        <is>
          <t>0.105 SOL</t>
        </is>
      </c>
      <c r="H44" s="22" t="inlineStr">
        <is>
          <t>3.36%</t>
        </is>
      </c>
      <c r="I44" s="16" t="inlineStr">
        <is>
          <t>N/A</t>
        </is>
      </c>
      <c r="J44" s="16" t="n">
        <v>4</v>
      </c>
      <c r="K44" s="16" t="n">
        <v>1</v>
      </c>
      <c r="L44" s="16" t="inlineStr">
        <is>
          <t>27.10.2024 22:06:44</t>
        </is>
      </c>
      <c r="M44" s="16" t="inlineStr">
        <is>
          <t>16 days</t>
        </is>
      </c>
      <c r="N44" s="16" t="inlineStr">
        <is>
          <t xml:space="preserve">        591M            10M           569M</t>
        </is>
      </c>
      <c r="O44" s="16" t="inlineStr">
        <is>
          <t>CzLSujWBLFsSjncfkh59rUFqvafWcY5tzedWJSuypump</t>
        </is>
      </c>
      <c r="P44" s="16">
        <f>HYPERLINK("https://dexscreener.com/solana/CzLSujWBLFsSjncfkh59rUFqvafWcY5tzedWJSuypump", "View")</f>
        <v/>
      </c>
    </row>
    <row r="45">
      <c r="A45" s="19" t="inlineStr">
        <is>
          <t>DOGAI</t>
        </is>
      </c>
      <c r="B45" s="20" t="n">
        <v>104417</v>
      </c>
      <c r="C45" s="20" t="n">
        <v>0</v>
      </c>
      <c r="D45" s="20" t="inlineStr">
        <is>
          <t>0.000010</t>
        </is>
      </c>
      <c r="E45" s="20" t="inlineStr">
        <is>
          <t>5.000 SOL</t>
        </is>
      </c>
      <c r="F45" s="20" t="inlineStr">
        <is>
          <t>0.000 SOL</t>
        </is>
      </c>
      <c r="G45" s="17" t="inlineStr">
        <is>
          <t>-5.000 SOL</t>
        </is>
      </c>
      <c r="H45" s="17" t="inlineStr">
        <is>
          <t>0.00%</t>
        </is>
      </c>
      <c r="I45" s="20" t="inlineStr">
        <is>
          <t>104,417</t>
        </is>
      </c>
      <c r="J45" s="20" t="n">
        <v>1</v>
      </c>
      <c r="K45" s="20" t="n">
        <v>0</v>
      </c>
      <c r="L45" s="20" t="inlineStr">
        <is>
          <t>27.10.2024 17:37:23</t>
        </is>
      </c>
      <c r="M45" s="18" t="inlineStr">
        <is>
          <t>0 sec</t>
        </is>
      </c>
      <c r="N45" s="20" t="inlineStr">
        <is>
          <t xml:space="preserve">          8M             8M             2M</t>
        </is>
      </c>
      <c r="O45" s="20" t="inlineStr">
        <is>
          <t>Dogg6xWSgkF8KbsHkTWD3Et4J9a8VBLZjrASURXGiLe1</t>
        </is>
      </c>
      <c r="P45" s="20">
        <f>HYPERLINK("https://dexscreener.com/solana/Dogg6xWSgkF8KbsHkTWD3Et4J9a8VBLZjrASURXGiLe1", "View")</f>
        <v/>
      </c>
    </row>
    <row r="46">
      <c r="A46" s="15" t="inlineStr">
        <is>
          <t>clown</t>
        </is>
      </c>
      <c r="B46" s="16" t="n">
        <v>1552140</v>
      </c>
      <c r="C46" s="16" t="n">
        <v>0</v>
      </c>
      <c r="D46" s="16" t="inlineStr">
        <is>
          <t>0.000010</t>
        </is>
      </c>
      <c r="E46" s="16" t="inlineStr">
        <is>
          <t>5.000 SOL</t>
        </is>
      </c>
      <c r="F46" s="16" t="inlineStr">
        <is>
          <t>0.000 SOL</t>
        </is>
      </c>
      <c r="G46" s="17" t="inlineStr">
        <is>
          <t>-5.000 SOL</t>
        </is>
      </c>
      <c r="H46" s="17" t="inlineStr">
        <is>
          <t>0.00%</t>
        </is>
      </c>
      <c r="I46" s="16" t="inlineStr">
        <is>
          <t>1,552,140</t>
        </is>
      </c>
      <c r="J46" s="16" t="n">
        <v>1</v>
      </c>
      <c r="K46" s="16" t="n">
        <v>0</v>
      </c>
      <c r="L46" s="16" t="inlineStr">
        <is>
          <t>27.10.2024 11:08:53</t>
        </is>
      </c>
      <c r="M46" s="18" t="inlineStr">
        <is>
          <t>0 sec</t>
        </is>
      </c>
      <c r="N46" s="16" t="inlineStr">
        <is>
          <t xml:space="preserve">        565K           565K            36K</t>
        </is>
      </c>
      <c r="O46" s="16" t="inlineStr">
        <is>
          <t>FLcPDfEdzwB1Z3NgMB1FWqbiUhCLMXUzKt6i5C1Ypump</t>
        </is>
      </c>
      <c r="P46" s="16">
        <f>HYPERLINK("https://dexscreener.com/solana/FLcPDfEdzwB1Z3NgMB1FWqbiUhCLMXUzKt6i5C1Ypump", "View")</f>
        <v/>
      </c>
    </row>
    <row r="47">
      <c r="A47" s="19" t="inlineStr">
        <is>
          <t>$KEK</t>
        </is>
      </c>
      <c r="B47" s="20" t="n">
        <v>1852244</v>
      </c>
      <c r="C47" s="20" t="n">
        <v>0</v>
      </c>
      <c r="D47" s="20" t="inlineStr">
        <is>
          <t>0.000020</t>
        </is>
      </c>
      <c r="E47" s="20" t="inlineStr">
        <is>
          <t>8.000 SOL</t>
        </is>
      </c>
      <c r="F47" s="20" t="inlineStr">
        <is>
          <t>0.000 SOL</t>
        </is>
      </c>
      <c r="G47" s="17" t="inlineStr">
        <is>
          <t>-8.000 SOL</t>
        </is>
      </c>
      <c r="H47" s="17" t="inlineStr">
        <is>
          <t>0.00%</t>
        </is>
      </c>
      <c r="I47" s="20" t="inlineStr">
        <is>
          <t>1,852,244</t>
        </is>
      </c>
      <c r="J47" s="20" t="n">
        <v>4</v>
      </c>
      <c r="K47" s="20" t="n">
        <v>0</v>
      </c>
      <c r="L47" s="20" t="inlineStr">
        <is>
          <t>26.10.2024 23:04:06</t>
        </is>
      </c>
      <c r="M47" s="20" t="inlineStr">
        <is>
          <t>1 days</t>
        </is>
      </c>
      <c r="N47" s="20" t="inlineStr">
        <is>
          <t xml:space="preserve">        757K           762K           300K</t>
        </is>
      </c>
      <c r="O47" s="20" t="inlineStr">
        <is>
          <t>2fZTwhbLg3xPquk8CqS3KKYbrNMbhKj7Q5zBKuT2pump</t>
        </is>
      </c>
      <c r="P47" s="20">
        <f>HYPERLINK("https://dexscreener.com/solana/2fZTwhbLg3xPquk8CqS3KKYbrNMbhKj7Q5zBKuT2pump", "View")</f>
        <v/>
      </c>
    </row>
    <row r="48">
      <c r="A48" s="15" t="inlineStr">
        <is>
          <t>MemesAI</t>
        </is>
      </c>
      <c r="B48" s="16" t="n">
        <v>4397</v>
      </c>
      <c r="C48" s="16" t="n">
        <v>0</v>
      </c>
      <c r="D48" s="16" t="inlineStr">
        <is>
          <t>0.000010</t>
        </is>
      </c>
      <c r="E48" s="16" t="inlineStr">
        <is>
          <t>1.000 SOL</t>
        </is>
      </c>
      <c r="F48" s="16" t="inlineStr">
        <is>
          <t>0.000 SOL</t>
        </is>
      </c>
      <c r="G48" s="17" t="inlineStr">
        <is>
          <t>-1.000 SOL</t>
        </is>
      </c>
      <c r="H48" s="17" t="inlineStr">
        <is>
          <t>0.00%</t>
        </is>
      </c>
      <c r="I48" s="16" t="inlineStr">
        <is>
          <t>4,397</t>
        </is>
      </c>
      <c r="J48" s="16" t="n">
        <v>1</v>
      </c>
      <c r="K48" s="16" t="n">
        <v>0</v>
      </c>
      <c r="L48" s="16" t="inlineStr">
        <is>
          <t>26.10.2024 23:00:29</t>
        </is>
      </c>
      <c r="M48" s="18" t="inlineStr">
        <is>
          <t>0 sec</t>
        </is>
      </c>
      <c r="N48" s="16" t="inlineStr">
        <is>
          <t xml:space="preserve">         40M            40M            13M</t>
        </is>
      </c>
      <c r="O48" s="16" t="inlineStr">
        <is>
          <t>39qibQxVzemuZTEvjSB7NePhw9WyyHdQCqP8xmBMpump</t>
        </is>
      </c>
      <c r="P48" s="16">
        <f>HYPERLINK("https://dexscreener.com/solana/39qibQxVzemuZTEvjSB7NePhw9WyyHdQCqP8xmBMpump", "View")</f>
        <v/>
      </c>
    </row>
    <row r="49">
      <c r="A49" s="19" t="inlineStr">
        <is>
          <t>POX</t>
        </is>
      </c>
      <c r="B49" s="20" t="n">
        <v>4559</v>
      </c>
      <c r="C49" s="20" t="n">
        <v>0</v>
      </c>
      <c r="D49" s="20" t="inlineStr">
        <is>
          <t>0.000010</t>
        </is>
      </c>
      <c r="E49" s="20" t="inlineStr">
        <is>
          <t>1.000 SOL</t>
        </is>
      </c>
      <c r="F49" s="20" t="inlineStr">
        <is>
          <t>0.000 SOL</t>
        </is>
      </c>
      <c r="G49" s="17" t="inlineStr">
        <is>
          <t>-1.000 SOL</t>
        </is>
      </c>
      <c r="H49" s="17" t="inlineStr">
        <is>
          <t>0.00%</t>
        </is>
      </c>
      <c r="I49" s="20" t="inlineStr">
        <is>
          <t>4,559</t>
        </is>
      </c>
      <c r="J49" s="20" t="n">
        <v>1</v>
      </c>
      <c r="K49" s="20" t="n">
        <v>0</v>
      </c>
      <c r="L49" s="20" t="inlineStr">
        <is>
          <t>26.10.2024 08:52:40</t>
        </is>
      </c>
      <c r="M49" s="18" t="inlineStr">
        <is>
          <t>0 sec</t>
        </is>
      </c>
      <c r="N49" s="20" t="inlineStr">
        <is>
          <t xml:space="preserve">         39M            39M            34M</t>
        </is>
      </c>
      <c r="O49" s="20" t="inlineStr">
        <is>
          <t>mpoxP5wyoR3eRW8L9bZjGPFtCsmX8WcqU5BHxFW1xkn</t>
        </is>
      </c>
      <c r="P49" s="20">
        <f>HYPERLINK("https://dexscreener.com/solana/mpoxP5wyoR3eRW8L9bZjGPFtCsmX8WcqU5BHxFW1xkn", "View")</f>
        <v/>
      </c>
    </row>
    <row r="50">
      <c r="A50" s="15" t="inlineStr">
        <is>
          <t>PIGRACING</t>
        </is>
      </c>
      <c r="B50" s="16" t="n">
        <v>1183789</v>
      </c>
      <c r="C50" s="16" t="n">
        <v>0</v>
      </c>
      <c r="D50" s="16" t="inlineStr">
        <is>
          <t>0.000010</t>
        </is>
      </c>
      <c r="E50" s="16" t="inlineStr">
        <is>
          <t>1.000 SOL</t>
        </is>
      </c>
      <c r="F50" s="16" t="inlineStr">
        <is>
          <t>0.000 SOL</t>
        </is>
      </c>
      <c r="G50" s="17" t="inlineStr">
        <is>
          <t>-1.000 SOL</t>
        </is>
      </c>
      <c r="H50" s="17" t="inlineStr">
        <is>
          <t>0.00%</t>
        </is>
      </c>
      <c r="I50" s="16" t="inlineStr">
        <is>
          <t>1,183,789</t>
        </is>
      </c>
      <c r="J50" s="16" t="n">
        <v>1</v>
      </c>
      <c r="K50" s="16" t="n">
        <v>0</v>
      </c>
      <c r="L50" s="16" t="inlineStr">
        <is>
          <t>25.10.2024 17:17:36</t>
        </is>
      </c>
      <c r="M50" s="18" t="inlineStr">
        <is>
          <t>0 sec</t>
        </is>
      </c>
      <c r="N50" s="16" t="inlineStr">
        <is>
          <t xml:space="preserve">        147K           147K             6K</t>
        </is>
      </c>
      <c r="O50" s="16" t="inlineStr">
        <is>
          <t>HDsU3aMuvVAXLf6jR78UmgwBdZ6hKP9VHAjN3vUqpump</t>
        </is>
      </c>
      <c r="P50" s="16">
        <f>HYPERLINK("https://dexscreener.com/solana/HDsU3aMuvVAXLf6jR78UmgwBdZ6hKP9VHAjN3vUqpump", "View")</f>
        <v/>
      </c>
    </row>
    <row r="51">
      <c r="A51" s="19" t="inlineStr">
        <is>
          <t>chirp</t>
        </is>
      </c>
      <c r="B51" s="20" t="n">
        <v>8333488</v>
      </c>
      <c r="C51" s="20" t="n">
        <v>0</v>
      </c>
      <c r="D51" s="20" t="inlineStr">
        <is>
          <t>0.000020</t>
        </is>
      </c>
      <c r="E51" s="20" t="inlineStr">
        <is>
          <t>12.000 SOL</t>
        </is>
      </c>
      <c r="F51" s="20" t="inlineStr">
        <is>
          <t>0.000 SOL</t>
        </is>
      </c>
      <c r="G51" s="17" t="inlineStr">
        <is>
          <t>-12.000 SOL</t>
        </is>
      </c>
      <c r="H51" s="17" t="inlineStr">
        <is>
          <t>0.00%</t>
        </is>
      </c>
      <c r="I51" s="20" t="inlineStr">
        <is>
          <t>8,333,488</t>
        </is>
      </c>
      <c r="J51" s="20" t="n">
        <v>4</v>
      </c>
      <c r="K51" s="20" t="n">
        <v>0</v>
      </c>
      <c r="L51" s="20" t="inlineStr">
        <is>
          <t>25.10.2024 17:11:15</t>
        </is>
      </c>
      <c r="M51" s="18" t="inlineStr">
        <is>
          <t>48 sec</t>
        </is>
      </c>
      <c r="N51" s="20" t="inlineStr">
        <is>
          <t xml:space="preserve">        235K           295K            59K</t>
        </is>
      </c>
      <c r="O51" s="20" t="inlineStr">
        <is>
          <t>8NfqNuQAX8a1HqxPJT4sp2iVzT2T8sGnNezqgDjupump</t>
        </is>
      </c>
      <c r="P51" s="20">
        <f>HYPERLINK("https://dexscreener.com/solana/8NfqNuQAX8a1HqxPJT4sp2iVzT2T8sGnNezqgDjupump", "View")</f>
        <v/>
      </c>
    </row>
    <row r="52">
      <c r="A52" s="15" t="inlineStr">
        <is>
          <t>Ban</t>
        </is>
      </c>
      <c r="B52" s="16" t="n">
        <v>140854</v>
      </c>
      <c r="C52" s="16" t="n">
        <v>0</v>
      </c>
      <c r="D52" s="16" t="inlineStr">
        <is>
          <t>0.000010</t>
        </is>
      </c>
      <c r="E52" s="16" t="inlineStr">
        <is>
          <t>1.000 SOL</t>
        </is>
      </c>
      <c r="F52" s="16" t="inlineStr">
        <is>
          <t>0.000 SOL</t>
        </is>
      </c>
      <c r="G52" s="17" t="inlineStr">
        <is>
          <t>-1.000 SOL</t>
        </is>
      </c>
      <c r="H52" s="17" t="inlineStr">
        <is>
          <t>0.00%</t>
        </is>
      </c>
      <c r="I52" s="16" t="inlineStr">
        <is>
          <t>140,854</t>
        </is>
      </c>
      <c r="J52" s="16" t="n">
        <v>1</v>
      </c>
      <c r="K52" s="16" t="n">
        <v>0</v>
      </c>
      <c r="L52" s="16" t="inlineStr">
        <is>
          <t>25.10.2024 16:27:35</t>
        </is>
      </c>
      <c r="M52" s="18" t="inlineStr">
        <is>
          <t>0 sec</t>
        </is>
      </c>
      <c r="N52" s="16" t="inlineStr">
        <is>
          <t xml:space="preserve">          1M             1M            25M</t>
        </is>
      </c>
      <c r="O52" s="16" t="inlineStr">
        <is>
          <t>9PR7nCP9DpcUotnDPVLUBUZKu5WAYkwrCUx9wDnSpump</t>
        </is>
      </c>
      <c r="P52" s="16">
        <f>HYPERLINK("https://dexscreener.com/solana/9PR7nCP9DpcUotnDPVLUBUZKu5WAYkwrCUx9wDnSpump", "View")</f>
        <v/>
      </c>
    </row>
    <row r="53">
      <c r="A53" s="19" t="inlineStr">
        <is>
          <t>BFPepe</t>
        </is>
      </c>
      <c r="B53" s="20" t="n">
        <v>34993132</v>
      </c>
      <c r="C53" s="20" t="n">
        <v>0</v>
      </c>
      <c r="D53" s="20" t="inlineStr">
        <is>
          <t>0.000010</t>
        </is>
      </c>
      <c r="E53" s="20" t="inlineStr">
        <is>
          <t>2.002 SOL</t>
        </is>
      </c>
      <c r="F53" s="20" t="inlineStr">
        <is>
          <t>0.000 SOL</t>
        </is>
      </c>
      <c r="G53" s="17" t="inlineStr">
        <is>
          <t>-2.002 SOL</t>
        </is>
      </c>
      <c r="H53" s="17" t="inlineStr">
        <is>
          <t>0.00%</t>
        </is>
      </c>
      <c r="I53" s="20" t="inlineStr">
        <is>
          <t>34,993,132</t>
        </is>
      </c>
      <c r="J53" s="20" t="n">
        <v>2</v>
      </c>
      <c r="K53" s="20" t="n">
        <v>0</v>
      </c>
      <c r="L53" s="20" t="inlineStr">
        <is>
          <t>25.10.2024 15:34:10</t>
        </is>
      </c>
      <c r="M53" s="20" t="inlineStr">
        <is>
          <t>5 min</t>
        </is>
      </c>
      <c r="N53" s="20" t="inlineStr">
        <is>
          <t xml:space="preserve">          9K            12K             6K</t>
        </is>
      </c>
      <c r="O53" s="20" t="inlineStr">
        <is>
          <t>3K9ibaRFhuXWKUJut4MMAjNxtwm1FtD5v7tQRQ2kpump</t>
        </is>
      </c>
      <c r="P53" s="20">
        <f>HYPERLINK("https://photon-sol.tinyastro.io/en/lp/3K9ibaRFhuXWKUJut4MMAjNxtwm1FtD5v7tQRQ2kpump?handle=676050794bc1b1657a56b", "View")</f>
        <v/>
      </c>
    </row>
    <row r="54">
      <c r="A54" s="15" t="inlineStr">
        <is>
          <t>Aletheia</t>
        </is>
      </c>
      <c r="B54" s="16" t="n">
        <v>3589055</v>
      </c>
      <c r="C54" s="16" t="n">
        <v>0</v>
      </c>
      <c r="D54" s="16" t="inlineStr">
        <is>
          <t>0.000010</t>
        </is>
      </c>
      <c r="E54" s="16" t="inlineStr">
        <is>
          <t>1.000 SOL</t>
        </is>
      </c>
      <c r="F54" s="16" t="inlineStr">
        <is>
          <t>0.000 SOL</t>
        </is>
      </c>
      <c r="G54" s="17" t="inlineStr">
        <is>
          <t>-1.000 SOL</t>
        </is>
      </c>
      <c r="H54" s="17" t="inlineStr">
        <is>
          <t>0.00%</t>
        </is>
      </c>
      <c r="I54" s="16" t="inlineStr">
        <is>
          <t>3,589,055</t>
        </is>
      </c>
      <c r="J54" s="16" t="n">
        <v>1</v>
      </c>
      <c r="K54" s="16" t="n">
        <v>0</v>
      </c>
      <c r="L54" s="16" t="inlineStr">
        <is>
          <t>25.10.2024 08:44:33</t>
        </is>
      </c>
      <c r="M54" s="18" t="inlineStr">
        <is>
          <t>0 sec</t>
        </is>
      </c>
      <c r="N54" s="16" t="inlineStr">
        <is>
          <t xml:space="preserve">         49K            49K           344K</t>
        </is>
      </c>
      <c r="O54" s="16" t="inlineStr">
        <is>
          <t>6Xx8p2WmY1Uk2GD35uxhEyuniNrVEeSu3CUThb8Upump</t>
        </is>
      </c>
      <c r="P54" s="16">
        <f>HYPERLINK("https://dexscreener.com/solana/6Xx8p2WmY1Uk2GD35uxhEyuniNrVEeSu3CUThb8Upump", "View")</f>
        <v/>
      </c>
    </row>
    <row r="55">
      <c r="A55" s="19" t="inlineStr">
        <is>
          <t>NIGGA</t>
        </is>
      </c>
      <c r="B55" s="20" t="n">
        <v>1369345</v>
      </c>
      <c r="C55" s="20" t="n">
        <v>0</v>
      </c>
      <c r="D55" s="20" t="inlineStr">
        <is>
          <t>0.000020</t>
        </is>
      </c>
      <c r="E55" s="20" t="inlineStr">
        <is>
          <t>15.000 SOL</t>
        </is>
      </c>
      <c r="F55" s="20" t="inlineStr">
        <is>
          <t>0.000 SOL</t>
        </is>
      </c>
      <c r="G55" s="17" t="inlineStr">
        <is>
          <t>-15.000 SOL</t>
        </is>
      </c>
      <c r="H55" s="17" t="inlineStr">
        <is>
          <t>0.00%</t>
        </is>
      </c>
      <c r="I55" s="20" t="inlineStr">
        <is>
          <t>1,369,345</t>
        </is>
      </c>
      <c r="J55" s="20" t="n">
        <v>3</v>
      </c>
      <c r="K55" s="20" t="n">
        <v>0</v>
      </c>
      <c r="L55" s="20" t="inlineStr">
        <is>
          <t>25.10.2024 08:35:02</t>
        </is>
      </c>
      <c r="M55" s="18" t="inlineStr">
        <is>
          <t>4 sec</t>
        </is>
      </c>
      <c r="N55" s="20" t="inlineStr">
        <is>
          <t xml:space="preserve">          2M             2M             2M</t>
        </is>
      </c>
      <c r="O55" s="20" t="inlineStr">
        <is>
          <t>7TM7nzyhef5WJfsSjFFuoU2KnP3cocBcXpY1VP8jpump</t>
        </is>
      </c>
      <c r="P55" s="20">
        <f>HYPERLINK("https://dexscreener.com/solana/7TM7nzyhef5WJfsSjFFuoU2KnP3cocBcXpY1VP8jpump", "View")</f>
        <v/>
      </c>
    </row>
    <row r="56">
      <c r="A56" s="15" t="inlineStr">
        <is>
          <t>PSTAR</t>
        </is>
      </c>
      <c r="B56" s="16" t="n">
        <v>97341</v>
      </c>
      <c r="C56" s="16" t="n">
        <v>0</v>
      </c>
      <c r="D56" s="16" t="inlineStr">
        <is>
          <t>0.000020</t>
        </is>
      </c>
      <c r="E56" s="16" t="inlineStr">
        <is>
          <t>3.000 SOL</t>
        </is>
      </c>
      <c r="F56" s="16" t="inlineStr">
        <is>
          <t>0.000 SOL</t>
        </is>
      </c>
      <c r="G56" s="17" t="inlineStr">
        <is>
          <t>-3.000 SOL</t>
        </is>
      </c>
      <c r="H56" s="17" t="inlineStr">
        <is>
          <t>0.00%</t>
        </is>
      </c>
      <c r="I56" s="16" t="inlineStr">
        <is>
          <t>97,341</t>
        </is>
      </c>
      <c r="J56" s="16" t="n">
        <v>3</v>
      </c>
      <c r="K56" s="16" t="n">
        <v>0</v>
      </c>
      <c r="L56" s="16" t="inlineStr">
        <is>
          <t>23.10.2024 17:48:26</t>
        </is>
      </c>
      <c r="M56" s="18" t="inlineStr">
        <is>
          <t>51 sec</t>
        </is>
      </c>
      <c r="N56" s="16" t="inlineStr">
        <is>
          <t xml:space="preserve">          6M             5M            35K</t>
        </is>
      </c>
      <c r="O56" s="16" t="inlineStr">
        <is>
          <t>8Z2h8VsYqUoExZNwrtGQ1LQiHru6nnUsPSpvCwNapump</t>
        </is>
      </c>
      <c r="P56" s="16">
        <f>HYPERLINK("https://dexscreener.com/solana/8Z2h8VsYqUoExZNwrtGQ1LQiHru6nnUsPSpvCwNapump", "View")</f>
        <v/>
      </c>
    </row>
    <row r="57">
      <c r="A57" s="19" t="inlineStr">
        <is>
          <t>GRUSSY</t>
        </is>
      </c>
      <c r="B57" s="20" t="n">
        <v>1699673147</v>
      </c>
      <c r="C57" s="20" t="n">
        <v>0</v>
      </c>
      <c r="D57" s="20" t="inlineStr">
        <is>
          <t>0.000020</t>
        </is>
      </c>
      <c r="E57" s="20" t="inlineStr">
        <is>
          <t>4.000 SOL</t>
        </is>
      </c>
      <c r="F57" s="20" t="inlineStr">
        <is>
          <t>0.000 SOL</t>
        </is>
      </c>
      <c r="G57" s="17" t="inlineStr">
        <is>
          <t>-4.000 SOL</t>
        </is>
      </c>
      <c r="H57" s="17" t="inlineStr">
        <is>
          <t>0.00%</t>
        </is>
      </c>
      <c r="I57" s="20" t="inlineStr">
        <is>
          <t>1,699,673,147</t>
        </is>
      </c>
      <c r="J57" s="20" t="n">
        <v>4</v>
      </c>
      <c r="K57" s="20" t="n">
        <v>0</v>
      </c>
      <c r="L57" s="20" t="inlineStr">
        <is>
          <t>23.10.2024 15:22:14</t>
        </is>
      </c>
      <c r="M57" s="20" t="inlineStr">
        <is>
          <t>5 min</t>
        </is>
      </c>
      <c r="N57" s="20" t="inlineStr">
        <is>
          <t xml:space="preserve">        N/A           N/A           343K</t>
        </is>
      </c>
      <c r="O57" s="20" t="inlineStr">
        <is>
          <t>Ecjed41X3qyzu3nLqX6HdSnBagFYUbNtQ7aXRo4TXDKY</t>
        </is>
      </c>
      <c r="P57" s="20">
        <f>HYPERLINK("https://dexscreener.com/solana/Ecjed41X3qyzu3nLqX6HdSnBagFYUbNtQ7aXRo4TXDKY", "View")</f>
        <v/>
      </c>
    </row>
    <row r="58">
      <c r="A58" s="15" t="inlineStr">
        <is>
          <t>WOMAN</t>
        </is>
      </c>
      <c r="B58" s="16" t="n">
        <v>14021499</v>
      </c>
      <c r="C58" s="16" t="n">
        <v>0</v>
      </c>
      <c r="D58" s="16" t="inlineStr">
        <is>
          <t>0.000030</t>
        </is>
      </c>
      <c r="E58" s="16" t="inlineStr">
        <is>
          <t>10.000 SOL</t>
        </is>
      </c>
      <c r="F58" s="16" t="inlineStr">
        <is>
          <t>0.000 SOL</t>
        </is>
      </c>
      <c r="G58" s="17" t="inlineStr">
        <is>
          <t>-10.000 SOL</t>
        </is>
      </c>
      <c r="H58" s="17" t="inlineStr">
        <is>
          <t>0.00%</t>
        </is>
      </c>
      <c r="I58" s="16" t="inlineStr">
        <is>
          <t>14,021,499</t>
        </is>
      </c>
      <c r="J58" s="16" t="n">
        <v>6</v>
      </c>
      <c r="K58" s="16" t="n">
        <v>0</v>
      </c>
      <c r="L58" s="16" t="inlineStr">
        <is>
          <t>23.10.2024 12:34:03</t>
        </is>
      </c>
      <c r="M58" s="16" t="inlineStr">
        <is>
          <t>4 hours</t>
        </is>
      </c>
      <c r="N58" s="16" t="inlineStr">
        <is>
          <t xml:space="preserve">        304K           133K             7K</t>
        </is>
      </c>
      <c r="O58" s="16" t="inlineStr">
        <is>
          <t>H5yfyUKD9FhxDyFedakt1ujZ3tKJEM7YToAhr8DJpump</t>
        </is>
      </c>
      <c r="P58" s="16">
        <f>HYPERLINK("https://dexscreener.com/solana/H5yfyUKD9FhxDyFedakt1ujZ3tKJEM7YToAhr8DJpump", "View")</f>
        <v/>
      </c>
    </row>
    <row r="59">
      <c r="A59" s="19" t="inlineStr">
        <is>
          <t>WGS</t>
        </is>
      </c>
      <c r="B59" s="20" t="n">
        <v>33871954</v>
      </c>
      <c r="C59" s="20" t="n">
        <v>0</v>
      </c>
      <c r="D59" s="20" t="inlineStr">
        <is>
          <t>0.000010</t>
        </is>
      </c>
      <c r="E59" s="20" t="inlineStr">
        <is>
          <t>1.000 SOL</t>
        </is>
      </c>
      <c r="F59" s="20" t="inlineStr">
        <is>
          <t>0.000 SOL</t>
        </is>
      </c>
      <c r="G59" s="17" t="inlineStr">
        <is>
          <t>-1.000 SOL</t>
        </is>
      </c>
      <c r="H59" s="17" t="inlineStr">
        <is>
          <t>0.00%</t>
        </is>
      </c>
      <c r="I59" s="20" t="inlineStr">
        <is>
          <t>33,871,954</t>
        </is>
      </c>
      <c r="J59" s="20" t="n">
        <v>1</v>
      </c>
      <c r="K59" s="20" t="n">
        <v>0</v>
      </c>
      <c r="L59" s="20" t="inlineStr">
        <is>
          <t>23.10.2024 12:18:57</t>
        </is>
      </c>
      <c r="M59" s="18" t="inlineStr">
        <is>
          <t>0 sec</t>
        </is>
      </c>
      <c r="N59" s="20" t="inlineStr">
        <is>
          <t xml:space="preserve">          5K             5K             5K</t>
        </is>
      </c>
      <c r="O59" s="20" t="inlineStr">
        <is>
          <t>Bp7kueNReBF4vMo8xzBVsmLMDExRcaRvLGKKpDNFnPCj</t>
        </is>
      </c>
      <c r="P59" s="20">
        <f>HYPERLINK("https://dexscreener.com/solana/Bp7kueNReBF4vMo8xzBVsmLMDExRcaRvLGKKpDNFnPCj", "View")</f>
        <v/>
      </c>
    </row>
    <row r="60">
      <c r="A60" s="15" t="inlineStr">
        <is>
          <t>glorp</t>
        </is>
      </c>
      <c r="B60" s="16" t="n">
        <v>182965</v>
      </c>
      <c r="C60" s="16" t="n">
        <v>0</v>
      </c>
      <c r="D60" s="16" t="inlineStr">
        <is>
          <t>0.000010</t>
        </is>
      </c>
      <c r="E60" s="16" t="inlineStr">
        <is>
          <t>10.000 SOL</t>
        </is>
      </c>
      <c r="F60" s="16" t="inlineStr">
        <is>
          <t>0.000 SOL</t>
        </is>
      </c>
      <c r="G60" s="17" t="inlineStr">
        <is>
          <t>-10.000 SOL</t>
        </is>
      </c>
      <c r="H60" s="17" t="inlineStr">
        <is>
          <t>0.00%</t>
        </is>
      </c>
      <c r="I60" s="16" t="inlineStr">
        <is>
          <t>182,965</t>
        </is>
      </c>
      <c r="J60" s="16" t="n">
        <v>2</v>
      </c>
      <c r="K60" s="16" t="n">
        <v>0</v>
      </c>
      <c r="L60" s="16" t="inlineStr">
        <is>
          <t>22.10.2024 12:59:05</t>
        </is>
      </c>
      <c r="M60" s="18" t="inlineStr">
        <is>
          <t>0 sec</t>
        </is>
      </c>
      <c r="N60" s="16" t="inlineStr">
        <is>
          <t xml:space="preserve">         10M            10M             7M</t>
        </is>
      </c>
      <c r="O60" s="16" t="inlineStr">
        <is>
          <t>FkBF9u1upwEMUPxnXjcydxxVSxgr8f3k1YXbz7G7bmtA</t>
        </is>
      </c>
      <c r="P60" s="16">
        <f>HYPERLINK("https://dexscreener.com/solana/FkBF9u1upwEMUPxnXjcydxxVSxgr8f3k1YXbz7G7bmtA", "View")</f>
        <v/>
      </c>
    </row>
    <row r="61">
      <c r="A61" s="19" t="inlineStr">
        <is>
          <t>FIJI</t>
        </is>
      </c>
      <c r="B61" s="20" t="n">
        <v>2024976</v>
      </c>
      <c r="C61" s="20" t="n">
        <v>726402</v>
      </c>
      <c r="D61" s="20" t="inlineStr">
        <is>
          <t>0.010040</t>
        </is>
      </c>
      <c r="E61" s="20" t="inlineStr">
        <is>
          <t>28.000 SOL</t>
        </is>
      </c>
      <c r="F61" s="20" t="inlineStr">
        <is>
          <t>12.035 SOL</t>
        </is>
      </c>
      <c r="G61" s="24" t="inlineStr">
        <is>
          <t>-15.975 SOL</t>
        </is>
      </c>
      <c r="H61" s="24" t="inlineStr">
        <is>
          <t>-57.03%</t>
        </is>
      </c>
      <c r="I61" s="20" t="inlineStr">
        <is>
          <t>N/A</t>
        </is>
      </c>
      <c r="J61" s="20" t="n">
        <v>8</v>
      </c>
      <c r="K61" s="20" t="n">
        <v>1</v>
      </c>
      <c r="L61" s="20" t="inlineStr">
        <is>
          <t>22.10.2024 12:31:36</t>
        </is>
      </c>
      <c r="M61" s="20" t="inlineStr">
        <is>
          <t>2 hours</t>
        </is>
      </c>
      <c r="N61" s="20" t="inlineStr">
        <is>
          <t xml:space="preserve">          5M             1M             2M</t>
        </is>
      </c>
      <c r="O61" s="20" t="inlineStr">
        <is>
          <t>A9e6JzPQstmz94pMnzxgyV14QUqoULSXuf5FPsq8UiRa</t>
        </is>
      </c>
      <c r="P61" s="20">
        <f>HYPERLINK("https://dexscreener.com/solana/A9e6JzPQstmz94pMnzxgyV14QUqoULSXuf5FPsq8UiRa", "View")</f>
        <v/>
      </c>
    </row>
    <row r="62">
      <c r="A62" s="15" t="inlineStr">
        <is>
          <t>NEW</t>
        </is>
      </c>
      <c r="B62" s="16" t="n">
        <v>2026654</v>
      </c>
      <c r="C62" s="16" t="n">
        <v>0</v>
      </c>
      <c r="D62" s="16" t="inlineStr">
        <is>
          <t>0.010010</t>
        </is>
      </c>
      <c r="E62" s="16" t="inlineStr">
        <is>
          <t>10.050 SOL</t>
        </is>
      </c>
      <c r="F62" s="16" t="inlineStr">
        <is>
          <t>0.000 SOL</t>
        </is>
      </c>
      <c r="G62" s="17" t="inlineStr">
        <is>
          <t>-10.060 SOL</t>
        </is>
      </c>
      <c r="H62" s="17" t="inlineStr">
        <is>
          <t>0.00%</t>
        </is>
      </c>
      <c r="I62" s="16" t="inlineStr">
        <is>
          <t>2,026,654</t>
        </is>
      </c>
      <c r="J62" s="16" t="n">
        <v>3</v>
      </c>
      <c r="K62" s="16" t="n">
        <v>0</v>
      </c>
      <c r="L62" s="16" t="inlineStr">
        <is>
          <t>22.10.2024 12:30:40</t>
        </is>
      </c>
      <c r="M62" s="16" t="inlineStr">
        <is>
          <t>56 min</t>
        </is>
      </c>
      <c r="N62" s="16" t="inlineStr">
        <is>
          <t xml:space="preserve">        761K             1M            16K</t>
        </is>
      </c>
      <c r="O62" s="16" t="inlineStr">
        <is>
          <t>FcuQPrM3KhwEKzr7ppjBCAkg1Uhr7cxFEiKRYX1ipump</t>
        </is>
      </c>
      <c r="P62" s="16">
        <f>HYPERLINK("https://dexscreener.com/solana/FcuQPrM3KhwEKzr7ppjBCAkg1Uhr7cxFEiKRYX1ipump", "View")</f>
        <v/>
      </c>
    </row>
    <row r="63">
      <c r="A63" s="19" t="inlineStr">
        <is>
          <t>Terminal</t>
        </is>
      </c>
      <c r="B63" s="20" t="n">
        <v>20296498</v>
      </c>
      <c r="C63" s="20" t="n">
        <v>2327867</v>
      </c>
      <c r="D63" s="20" t="inlineStr">
        <is>
          <t>0.010040</t>
        </is>
      </c>
      <c r="E63" s="20" t="inlineStr">
        <is>
          <t>8.302 SOL</t>
        </is>
      </c>
      <c r="F63" s="20" t="inlineStr">
        <is>
          <t>3.419 SOL</t>
        </is>
      </c>
      <c r="G63" s="24" t="inlineStr">
        <is>
          <t>-4.893 SOL</t>
        </is>
      </c>
      <c r="H63" s="24" t="inlineStr">
        <is>
          <t>-58.87%</t>
        </is>
      </c>
      <c r="I63" s="20" t="inlineStr">
        <is>
          <t>N/A</t>
        </is>
      </c>
      <c r="J63" s="20" t="n">
        <v>7</v>
      </c>
      <c r="K63" s="20" t="n">
        <v>1</v>
      </c>
      <c r="L63" s="20" t="inlineStr">
        <is>
          <t>22.10.2024 11:43:43</t>
        </is>
      </c>
      <c r="M63" s="20" t="inlineStr">
        <is>
          <t>20 min</t>
        </is>
      </c>
      <c r="N63" s="20" t="inlineStr">
        <is>
          <t xml:space="preserve">         88K           258K             5K</t>
        </is>
      </c>
      <c r="O63" s="20" t="inlineStr">
        <is>
          <t>BWt7jyGgoHdtTVrg9nWqCM8Uo58eqERPos77aVE6f16f</t>
        </is>
      </c>
      <c r="P63" s="20">
        <f>HYPERLINK("https://photon-sol.tinyastro.io/en/lp/BWt7jyGgoHdtTVrg9nWqCM8Uo58eqERPos77aVE6f16f?handle=676050794bc1b1657a56b", "View")</f>
        <v/>
      </c>
    </row>
    <row r="64">
      <c r="A64" s="15" t="inlineStr">
        <is>
          <t>OCA</t>
        </is>
      </c>
      <c r="B64" s="16" t="n">
        <v>785558</v>
      </c>
      <c r="C64" s="16" t="n">
        <v>0</v>
      </c>
      <c r="D64" s="16" t="inlineStr">
        <is>
          <t>0.000010</t>
        </is>
      </c>
      <c r="E64" s="16" t="inlineStr">
        <is>
          <t>1.000 SOL</t>
        </is>
      </c>
      <c r="F64" s="16" t="inlineStr">
        <is>
          <t>0.000 SOL</t>
        </is>
      </c>
      <c r="G64" s="17" t="inlineStr">
        <is>
          <t>-1.000 SOL</t>
        </is>
      </c>
      <c r="H64" s="17" t="inlineStr">
        <is>
          <t>0.00%</t>
        </is>
      </c>
      <c r="I64" s="16" t="inlineStr">
        <is>
          <t>785,558</t>
        </is>
      </c>
      <c r="J64" s="16" t="n">
        <v>1</v>
      </c>
      <c r="K64" s="16" t="n">
        <v>0</v>
      </c>
      <c r="L64" s="16" t="inlineStr">
        <is>
          <t>21.10.2024 16:02:13</t>
        </is>
      </c>
      <c r="M64" s="18" t="inlineStr">
        <is>
          <t>0 sec</t>
        </is>
      </c>
      <c r="N64" s="16" t="inlineStr">
        <is>
          <t xml:space="preserve">        223K           223K             4K</t>
        </is>
      </c>
      <c r="O64" s="16" t="inlineStr">
        <is>
          <t>F5TiAj2CCaaHxDXFgu18sP9Ru4Bpzk6c8kjGVpZSpump</t>
        </is>
      </c>
      <c r="P64" s="16">
        <f>HYPERLINK("https://dexscreener.com/solana/F5TiAj2CCaaHxDXFgu18sP9Ru4Bpzk6c8kjGVpZSpump", "View")</f>
        <v/>
      </c>
    </row>
    <row r="65">
      <c r="A65" s="19" t="inlineStr">
        <is>
          <t>PLINY</t>
        </is>
      </c>
      <c r="B65" s="20" t="n">
        <v>3362973</v>
      </c>
      <c r="C65" s="20" t="n">
        <v>0</v>
      </c>
      <c r="D65" s="20" t="inlineStr">
        <is>
          <t>0.000010</t>
        </is>
      </c>
      <c r="E65" s="20" t="inlineStr">
        <is>
          <t>10.000 SOL</t>
        </is>
      </c>
      <c r="F65" s="20" t="inlineStr">
        <is>
          <t>0.000 SOL</t>
        </is>
      </c>
      <c r="G65" s="17" t="inlineStr">
        <is>
          <t>-10.000 SOL</t>
        </is>
      </c>
      <c r="H65" s="17" t="inlineStr">
        <is>
          <t>0.00%</t>
        </is>
      </c>
      <c r="I65" s="20" t="inlineStr">
        <is>
          <t>3,362,973</t>
        </is>
      </c>
      <c r="J65" s="20" t="n">
        <v>2</v>
      </c>
      <c r="K65" s="20" t="n">
        <v>0</v>
      </c>
      <c r="L65" s="20" t="inlineStr">
        <is>
          <t>21.10.2024 14:23:27</t>
        </is>
      </c>
      <c r="M65" s="20" t="inlineStr">
        <is>
          <t>11 min</t>
        </is>
      </c>
      <c r="N65" s="20" t="inlineStr">
        <is>
          <t xml:space="preserve">        365K           917K            60K</t>
        </is>
      </c>
      <c r="O65" s="20" t="inlineStr">
        <is>
          <t>6MYhpb3FocZSdJS3V5krpbfMp45JxD5jXdtPfkwUpump</t>
        </is>
      </c>
      <c r="P65" s="20">
        <f>HYPERLINK("https://dexscreener.com/solana/6MYhpb3FocZSdJS3V5krpbfMp45JxD5jXdtPfkwUpump", "View")</f>
        <v/>
      </c>
    </row>
    <row r="66">
      <c r="A66" s="15" t="inlineStr">
        <is>
          <t>Lexapro</t>
        </is>
      </c>
      <c r="B66" s="16" t="n">
        <v>12756620</v>
      </c>
      <c r="C66" s="16" t="n">
        <v>0</v>
      </c>
      <c r="D66" s="16" t="inlineStr">
        <is>
          <t>0.000010</t>
        </is>
      </c>
      <c r="E66" s="16" t="inlineStr">
        <is>
          <t>2.000 SOL</t>
        </is>
      </c>
      <c r="F66" s="16" t="inlineStr">
        <is>
          <t>0.000 SOL</t>
        </is>
      </c>
      <c r="G66" s="17" t="inlineStr">
        <is>
          <t>-2.000 SOL</t>
        </is>
      </c>
      <c r="H66" s="17" t="inlineStr">
        <is>
          <t>0.00%</t>
        </is>
      </c>
      <c r="I66" s="16" t="inlineStr">
        <is>
          <t>12,756,620</t>
        </is>
      </c>
      <c r="J66" s="16" t="n">
        <v>2</v>
      </c>
      <c r="K66" s="16" t="n">
        <v>0</v>
      </c>
      <c r="L66" s="16" t="inlineStr">
        <is>
          <t>21.10.2024 13:52:49</t>
        </is>
      </c>
      <c r="M66" s="18" t="inlineStr">
        <is>
          <t>6 sec</t>
        </is>
      </c>
      <c r="N66" s="16" t="inlineStr">
        <is>
          <t xml:space="preserve">         25K            32K             5K</t>
        </is>
      </c>
      <c r="O66" s="16" t="inlineStr">
        <is>
          <t>BUCYSH1eoz5CtpNRsocKn2uajqxefn9drX2rzLFDpump</t>
        </is>
      </c>
      <c r="P66" s="16">
        <f>HYPERLINK("https://dexscreener.com/solana/BUCYSH1eoz5CtpNRsocKn2uajqxefn9drX2rzLFDpump", "View")</f>
        <v/>
      </c>
    </row>
    <row r="67">
      <c r="A67" s="19" t="inlineStr">
        <is>
          <t>SLOM</t>
        </is>
      </c>
      <c r="B67" s="20" t="n">
        <v>10168841</v>
      </c>
      <c r="C67" s="20" t="n">
        <v>5084420</v>
      </c>
      <c r="D67" s="20" t="inlineStr">
        <is>
          <t>0.010020</t>
        </is>
      </c>
      <c r="E67" s="20" t="inlineStr">
        <is>
          <t>15.000 SOL</t>
        </is>
      </c>
      <c r="F67" s="20" t="inlineStr">
        <is>
          <t>20.757 SOL</t>
        </is>
      </c>
      <c r="G67" s="22" t="inlineStr">
        <is>
          <t>5.747 SOL</t>
        </is>
      </c>
      <c r="H67" s="22" t="inlineStr">
        <is>
          <t>38.29%</t>
        </is>
      </c>
      <c r="I67" s="20" t="inlineStr">
        <is>
          <t>N/A</t>
        </is>
      </c>
      <c r="J67" s="20" t="n">
        <v>3</v>
      </c>
      <c r="K67" s="20" t="n">
        <v>1</v>
      </c>
      <c r="L67" s="20" t="inlineStr">
        <is>
          <t>21.10.2024 12:52:32</t>
        </is>
      </c>
      <c r="M67" s="20" t="inlineStr">
        <is>
          <t>18 min</t>
        </is>
      </c>
      <c r="N67" s="20" t="inlineStr">
        <is>
          <t xml:space="preserve">        230K           716K             9K</t>
        </is>
      </c>
      <c r="O67" s="20" t="inlineStr">
        <is>
          <t>5Uzw4pxZuHfrcMsrZgkjMeyk7WGnj6gFwn1bGqitpump</t>
        </is>
      </c>
      <c r="P67" s="20">
        <f>HYPERLINK("https://dexscreener.com/solana/5Uzw4pxZuHfrcMsrZgkjMeyk7WGnj6gFwn1bGqitpump", "View")</f>
        <v/>
      </c>
    </row>
    <row r="68">
      <c r="A68" s="15" t="inlineStr">
        <is>
          <t>I-405</t>
        </is>
      </c>
      <c r="B68" s="16" t="n">
        <v>39879468</v>
      </c>
      <c r="C68" s="16" t="n">
        <v>0</v>
      </c>
      <c r="D68" s="16" t="inlineStr">
        <is>
          <t>0.042610</t>
        </is>
      </c>
      <c r="E68" s="16" t="inlineStr">
        <is>
          <t>35.000 SOL</t>
        </is>
      </c>
      <c r="F68" s="16" t="inlineStr">
        <is>
          <t>0.000 SOL</t>
        </is>
      </c>
      <c r="G68" s="17" t="inlineStr">
        <is>
          <t>-35.043 SOL</t>
        </is>
      </c>
      <c r="H68" s="17" t="inlineStr">
        <is>
          <t>0.00%</t>
        </is>
      </c>
      <c r="I68" s="16" t="inlineStr">
        <is>
          <t>39,879,468</t>
        </is>
      </c>
      <c r="J68" s="16" t="n">
        <v>11</v>
      </c>
      <c r="K68" s="16" t="n">
        <v>0</v>
      </c>
      <c r="L68" s="16" t="inlineStr">
        <is>
          <t>21.10.2024 09:33:20</t>
        </is>
      </c>
      <c r="M68" s="16" t="inlineStr">
        <is>
          <t>1 days</t>
        </is>
      </c>
      <c r="N68" s="16" t="inlineStr">
        <is>
          <t xml:space="preserve">        111K           111K            36K</t>
        </is>
      </c>
      <c r="O68" s="16" t="inlineStr">
        <is>
          <t>82jE2mJaHvkUruxzkkyiVFSs2qWeHengLv6Qmycmpump</t>
        </is>
      </c>
      <c r="P68" s="16">
        <f>HYPERLINK("https://dexscreener.com/solana/82jE2mJaHvkUruxzkkyiVFSs2qWeHengLv6Qmycmpump", "View")</f>
        <v/>
      </c>
    </row>
    <row r="69">
      <c r="A69" s="19" t="inlineStr">
        <is>
          <t>Salt</t>
        </is>
      </c>
      <c r="B69" s="20" t="n">
        <v>6769488</v>
      </c>
      <c r="C69" s="20" t="n">
        <v>0</v>
      </c>
      <c r="D69" s="20" t="inlineStr">
        <is>
          <t>0.000010</t>
        </is>
      </c>
      <c r="E69" s="20" t="inlineStr">
        <is>
          <t>2.000 SOL</t>
        </is>
      </c>
      <c r="F69" s="20" t="inlineStr">
        <is>
          <t>0.000 SOL</t>
        </is>
      </c>
      <c r="G69" s="17" t="inlineStr">
        <is>
          <t>-2.000 SOL</t>
        </is>
      </c>
      <c r="H69" s="17" t="inlineStr">
        <is>
          <t>0.00%</t>
        </is>
      </c>
      <c r="I69" s="20" t="inlineStr">
        <is>
          <t>6,769,488</t>
        </is>
      </c>
      <c r="J69" s="20" t="n">
        <v>2</v>
      </c>
      <c r="K69" s="20" t="n">
        <v>0</v>
      </c>
      <c r="L69" s="20" t="inlineStr">
        <is>
          <t>21.10.2024 08:57:45</t>
        </is>
      </c>
      <c r="M69" s="18" t="inlineStr">
        <is>
          <t>0 sec</t>
        </is>
      </c>
      <c r="N69" s="20" t="inlineStr">
        <is>
          <t xml:space="preserve">         51K            53K             5K</t>
        </is>
      </c>
      <c r="O69" s="20" t="inlineStr">
        <is>
          <t>eHJnFdxX7pUZKE5Rw7x1ynWU2KRnkkhJF2wPxhRpump</t>
        </is>
      </c>
      <c r="P69" s="20">
        <f>HYPERLINK("https://dexscreener.com/solana/eHJnFdxX7pUZKE5Rw7x1ynWU2KRnkkhJF2wPxhRpump", "View")</f>
        <v/>
      </c>
    </row>
    <row r="70">
      <c r="A70" s="15" t="inlineStr">
        <is>
          <t>🪲</t>
        </is>
      </c>
      <c r="B70" s="16" t="n">
        <v>4144288</v>
      </c>
      <c r="C70" s="16" t="n">
        <v>0</v>
      </c>
      <c r="D70" s="16" t="inlineStr">
        <is>
          <t>0.016680</t>
        </is>
      </c>
      <c r="E70" s="16" t="inlineStr">
        <is>
          <t>9.950 SOL</t>
        </is>
      </c>
      <c r="F70" s="16" t="inlineStr">
        <is>
          <t>0.000 SOL</t>
        </is>
      </c>
      <c r="G70" s="17" t="inlineStr">
        <is>
          <t>-9.967 SOL</t>
        </is>
      </c>
      <c r="H70" s="17" t="inlineStr">
        <is>
          <t>0.00%</t>
        </is>
      </c>
      <c r="I70" s="16" t="inlineStr">
        <is>
          <t>4,144,288</t>
        </is>
      </c>
      <c r="J70" s="16" t="n">
        <v>2</v>
      </c>
      <c r="K70" s="16" t="n">
        <v>0</v>
      </c>
      <c r="L70" s="16" t="inlineStr">
        <is>
          <t>21.10.2024 07:46:52</t>
        </is>
      </c>
      <c r="M70" s="16" t="inlineStr">
        <is>
          <t>2 days</t>
        </is>
      </c>
      <c r="N70" s="16" t="inlineStr">
        <is>
          <t xml:space="preserve">        300K           703K           406K</t>
        </is>
      </c>
      <c r="O70" s="16" t="inlineStr">
        <is>
          <t>HQXwjVBUU2fvvrM7xNq6gfX3vsACkqHtZo7mwKwUpump</t>
        </is>
      </c>
      <c r="P70" s="16">
        <f>HYPERLINK("https://dexscreener.com/solana/HQXwjVBUU2fvvrM7xNq6gfX3vsACkqHtZo7mwKwUpump", "View")</f>
        <v/>
      </c>
    </row>
    <row r="71">
      <c r="A71" s="19" t="inlineStr">
        <is>
          <t>$slop</t>
        </is>
      </c>
      <c r="B71" s="20" t="n">
        <v>9545</v>
      </c>
      <c r="C71" s="20" t="n">
        <v>0</v>
      </c>
      <c r="D71" s="20" t="inlineStr">
        <is>
          <t>0.000010</t>
        </is>
      </c>
      <c r="E71" s="20" t="inlineStr">
        <is>
          <t>1.000 SOL</t>
        </is>
      </c>
      <c r="F71" s="20" t="inlineStr">
        <is>
          <t>0.000 SOL</t>
        </is>
      </c>
      <c r="G71" s="17" t="inlineStr">
        <is>
          <t>-1.000 SOL</t>
        </is>
      </c>
      <c r="H71" s="17" t="inlineStr">
        <is>
          <t>0.00%</t>
        </is>
      </c>
      <c r="I71" s="20" t="inlineStr">
        <is>
          <t>9,545</t>
        </is>
      </c>
      <c r="J71" s="20" t="n">
        <v>1</v>
      </c>
      <c r="K71" s="20" t="n">
        <v>0</v>
      </c>
      <c r="L71" s="20" t="inlineStr">
        <is>
          <t>21.10.2024 07:00:18</t>
        </is>
      </c>
      <c r="M71" s="18" t="inlineStr">
        <is>
          <t>0 sec</t>
        </is>
      </c>
      <c r="N71" s="20" t="inlineStr">
        <is>
          <t xml:space="preserve">         18M            18M             3M</t>
        </is>
      </c>
      <c r="O71" s="20" t="inlineStr">
        <is>
          <t>FqvtZ2UFR9we82Ni4LeacC1zyTiQ77usDo31DUokpump</t>
        </is>
      </c>
      <c r="P71" s="20">
        <f>HYPERLINK("https://dexscreener.com/solana/FqvtZ2UFR9we82Ni4LeacC1zyTiQ77usDo31DUokpump", "View")</f>
        <v/>
      </c>
    </row>
    <row r="72">
      <c r="A72" s="15" t="inlineStr">
        <is>
          <t>McTrump</t>
        </is>
      </c>
      <c r="B72" s="16" t="n">
        <v>17067860</v>
      </c>
      <c r="C72" s="16" t="n">
        <v>0</v>
      </c>
      <c r="D72" s="16" t="inlineStr">
        <is>
          <t>0.000020</t>
        </is>
      </c>
      <c r="E72" s="16" t="inlineStr">
        <is>
          <t>3.045 SOL</t>
        </is>
      </c>
      <c r="F72" s="16" t="inlineStr">
        <is>
          <t>0.000 SOL</t>
        </is>
      </c>
      <c r="G72" s="17" t="inlineStr">
        <is>
          <t>-3.045 SOL</t>
        </is>
      </c>
      <c r="H72" s="17" t="inlineStr">
        <is>
          <t>0.00%</t>
        </is>
      </c>
      <c r="I72" s="16" t="inlineStr">
        <is>
          <t>17,067,860</t>
        </is>
      </c>
      <c r="J72" s="16" t="n">
        <v>3</v>
      </c>
      <c r="K72" s="16" t="n">
        <v>0</v>
      </c>
      <c r="L72" s="16" t="inlineStr">
        <is>
          <t>20.10.2024 20:23:40</t>
        </is>
      </c>
      <c r="M72" s="18" t="inlineStr">
        <is>
          <t>11 sec</t>
        </is>
      </c>
      <c r="N72" s="16" t="inlineStr">
        <is>
          <t xml:space="preserve">         21K            49K             6K</t>
        </is>
      </c>
      <c r="O72" s="16" t="inlineStr">
        <is>
          <t>6y24F6hW3qLkL3qsMHWmrZ54th3PBu4pwWXuVDzepump</t>
        </is>
      </c>
      <c r="P72" s="16">
        <f>HYPERLINK("https://photon-sol.tinyastro.io/en/lp/6y24F6hW3qLkL3qsMHWmrZ54th3PBu4pwWXuVDzepump?handle=676050794bc1b1657a56b", "View")</f>
        <v/>
      </c>
    </row>
    <row r="73">
      <c r="A73" s="19" t="inlineStr">
        <is>
          <t>queef</t>
        </is>
      </c>
      <c r="B73" s="20" t="n">
        <v>141996</v>
      </c>
      <c r="C73" s="20" t="n">
        <v>0</v>
      </c>
      <c r="D73" s="20" t="inlineStr">
        <is>
          <t>0.000010</t>
        </is>
      </c>
      <c r="E73" s="20" t="inlineStr">
        <is>
          <t>1.000 SOL</t>
        </is>
      </c>
      <c r="F73" s="20" t="inlineStr">
        <is>
          <t>0.000 SOL</t>
        </is>
      </c>
      <c r="G73" s="17" t="inlineStr">
        <is>
          <t>-1.000 SOL</t>
        </is>
      </c>
      <c r="H73" s="17" t="inlineStr">
        <is>
          <t>0.00%</t>
        </is>
      </c>
      <c r="I73" s="20" t="inlineStr">
        <is>
          <t>141,996</t>
        </is>
      </c>
      <c r="J73" s="20" t="n">
        <v>1</v>
      </c>
      <c r="K73" s="20" t="n">
        <v>0</v>
      </c>
      <c r="L73" s="20" t="inlineStr">
        <is>
          <t>20.10.2024 10:50:16</t>
        </is>
      </c>
      <c r="M73" s="18" t="inlineStr">
        <is>
          <t>0 sec</t>
        </is>
      </c>
      <c r="N73" s="20" t="inlineStr">
        <is>
          <t xml:space="preserve">          1M             1M            12K</t>
        </is>
      </c>
      <c r="O73" s="20" t="inlineStr">
        <is>
          <t>C6aKMB1myrBMUQYUnvsvuUnhJKVRAtiQ7EVgkkBipump</t>
        </is>
      </c>
      <c r="P73" s="20">
        <f>HYPERLINK("https://dexscreener.com/solana/C6aKMB1myrBMUQYUnvsvuUnhJKVRAtiQ7EVgkkBipump", "View")</f>
        <v/>
      </c>
    </row>
    <row r="74">
      <c r="A74" s="15" t="inlineStr">
        <is>
          <t>CCRU</t>
        </is>
      </c>
      <c r="B74" s="16" t="n">
        <v>656426</v>
      </c>
      <c r="C74" s="16" t="n">
        <v>0</v>
      </c>
      <c r="D74" s="16" t="inlineStr">
        <is>
          <t>0.010020</t>
        </is>
      </c>
      <c r="E74" s="16" t="inlineStr">
        <is>
          <t>19.950 SOL</t>
        </is>
      </c>
      <c r="F74" s="16" t="inlineStr">
        <is>
          <t>0.000 SOL</t>
        </is>
      </c>
      <c r="G74" s="17" t="inlineStr">
        <is>
          <t>-19.960 SOL</t>
        </is>
      </c>
      <c r="H74" s="17" t="inlineStr">
        <is>
          <t>0.00%</t>
        </is>
      </c>
      <c r="I74" s="16" t="inlineStr">
        <is>
          <t>656,426</t>
        </is>
      </c>
      <c r="J74" s="16" t="n">
        <v>4</v>
      </c>
      <c r="K74" s="16" t="n">
        <v>0</v>
      </c>
      <c r="L74" s="16" t="inlineStr">
        <is>
          <t>20.10.2024 10:48:34</t>
        </is>
      </c>
      <c r="M74" s="16" t="inlineStr">
        <is>
          <t>1 hours</t>
        </is>
      </c>
      <c r="N74" s="16" t="inlineStr">
        <is>
          <t xml:space="preserve">          3M             7M           141K</t>
        </is>
      </c>
      <c r="O74" s="16" t="inlineStr">
        <is>
          <t>BVoFXcjNSQ8fHGNc2aeS52rLXwag52PHK2aQJsrkpump</t>
        </is>
      </c>
      <c r="P74" s="16">
        <f>HYPERLINK("https://dexscreener.com/solana/BVoFXcjNSQ8fHGNc2aeS52rLXwag52PHK2aQJsrkpump", "View")</f>
        <v/>
      </c>
    </row>
    <row r="75">
      <c r="A75" s="19" t="inlineStr">
        <is>
          <t>LOOM</t>
        </is>
      </c>
      <c r="B75" s="20" t="n">
        <v>15333257</v>
      </c>
      <c r="C75" s="20" t="n">
        <v>13353005</v>
      </c>
      <c r="D75" s="20" t="inlineStr">
        <is>
          <t>0.071770</t>
        </is>
      </c>
      <c r="E75" s="20" t="inlineStr">
        <is>
          <t>6.100 SOL</t>
        </is>
      </c>
      <c r="F75" s="20" t="inlineStr">
        <is>
          <t>491.945 SOL</t>
        </is>
      </c>
      <c r="G75" s="23" t="inlineStr">
        <is>
          <t>485.773 SOL</t>
        </is>
      </c>
      <c r="H75" s="23" t="inlineStr">
        <is>
          <t>7870.89%</t>
        </is>
      </c>
      <c r="I75" s="20" t="inlineStr">
        <is>
          <t>N/A</t>
        </is>
      </c>
      <c r="J75" s="20" t="n">
        <v>3</v>
      </c>
      <c r="K75" s="20" t="n">
        <v>8</v>
      </c>
      <c r="L75" s="20" t="inlineStr">
        <is>
          <t>20.10.2024 08:58:56</t>
        </is>
      </c>
      <c r="M75" s="20" t="inlineStr">
        <is>
          <t>1 days</t>
        </is>
      </c>
      <c r="N75" s="20" t="inlineStr">
        <is>
          <t xml:space="preserve">          5M            83K           147K</t>
        </is>
      </c>
      <c r="O75" s="20" t="inlineStr">
        <is>
          <t>D57CP6MA7G5idNmxAuigU6W8uPeiGvDVuuwh4z2ypump</t>
        </is>
      </c>
      <c r="P75" s="20">
        <f>HYPERLINK("https://dexscreener.com/solana/D57CP6MA7G5idNmxAuigU6W8uPeiGvDVuuwh4z2ypump", "View")</f>
        <v/>
      </c>
    </row>
    <row r="76">
      <c r="A76" s="15" t="inlineStr">
        <is>
          <t>$DAN</t>
        </is>
      </c>
      <c r="B76" s="16" t="n">
        <v>1091673</v>
      </c>
      <c r="C76" s="16" t="n">
        <v>1091673</v>
      </c>
      <c r="D76" s="16" t="inlineStr">
        <is>
          <t>0.030020</t>
        </is>
      </c>
      <c r="E76" s="16" t="inlineStr">
        <is>
          <t>3.470 SOL</t>
        </is>
      </c>
      <c r="F76" s="16" t="inlineStr">
        <is>
          <t>0.105 SOL</t>
        </is>
      </c>
      <c r="G76" s="24" t="inlineStr">
        <is>
          <t>-3.395 SOL</t>
        </is>
      </c>
      <c r="H76" s="24" t="inlineStr">
        <is>
          <t>-97.01%</t>
        </is>
      </c>
      <c r="I76" s="16" t="inlineStr">
        <is>
          <t>N/A</t>
        </is>
      </c>
      <c r="J76" s="16" t="n">
        <v>3</v>
      </c>
      <c r="K76" s="16" t="n">
        <v>1</v>
      </c>
      <c r="L76" s="16" t="inlineStr">
        <is>
          <t>20.10.2024 08:51:43</t>
        </is>
      </c>
      <c r="M76" s="16" t="inlineStr">
        <is>
          <t>10 days</t>
        </is>
      </c>
      <c r="N76" s="16" t="inlineStr">
        <is>
          <t xml:space="preserve">          1M           518K            11K</t>
        </is>
      </c>
      <c r="O76" s="16" t="inlineStr">
        <is>
          <t>3ytQ1uY1XVJMuXcA5ndjpjA1aQ7etcHQCyqzuZxupump</t>
        </is>
      </c>
      <c r="P76" s="16">
        <f>HYPERLINK("https://dexscreener.com/solana/3ytQ1uY1XVJMuXcA5ndjpjA1aQ7etcHQCyqzuZxupump", "View")</f>
        <v/>
      </c>
    </row>
    <row r="77">
      <c r="A77" s="19" t="inlineStr">
        <is>
          <t>Green</t>
        </is>
      </c>
      <c r="B77" s="20" t="n">
        <v>48162</v>
      </c>
      <c r="C77" s="20" t="n">
        <v>0</v>
      </c>
      <c r="D77" s="20" t="inlineStr">
        <is>
          <t>0.000010</t>
        </is>
      </c>
      <c r="E77" s="20" t="inlineStr">
        <is>
          <t>0.100 SOL</t>
        </is>
      </c>
      <c r="F77" s="20" t="inlineStr">
        <is>
          <t>0.000 SOL</t>
        </is>
      </c>
      <c r="G77" s="17" t="inlineStr">
        <is>
          <t>-0.100 SOL</t>
        </is>
      </c>
      <c r="H77" s="17" t="inlineStr">
        <is>
          <t>0.00%</t>
        </is>
      </c>
      <c r="I77" s="20" t="inlineStr">
        <is>
          <t>48,162</t>
        </is>
      </c>
      <c r="J77" s="20" t="n">
        <v>1</v>
      </c>
      <c r="K77" s="20" t="n">
        <v>0</v>
      </c>
      <c r="L77" s="20" t="inlineStr">
        <is>
          <t>19.10.2024 17:58:11</t>
        </is>
      </c>
      <c r="M77" s="18" t="inlineStr">
        <is>
          <t>0 sec</t>
        </is>
      </c>
      <c r="N77" s="20" t="inlineStr">
        <is>
          <t xml:space="preserve">        365K           365K           145K</t>
        </is>
      </c>
      <c r="O77" s="20" t="inlineStr">
        <is>
          <t>4iEkSPpXxjsD6fRY9UmCGX73NJch5yakPzYt6McLpump</t>
        </is>
      </c>
      <c r="P77" s="20">
        <f>HYPERLINK("https://dexscreener.com/solana/4iEkSPpXxjsD6fRY9UmCGX73NJch5yakPzYt6McLpump", "View")</f>
        <v/>
      </c>
    </row>
    <row r="78">
      <c r="A78" s="15" t="inlineStr">
        <is>
          <t>e/acc</t>
        </is>
      </c>
      <c r="B78" s="16" t="n">
        <v>386578</v>
      </c>
      <c r="C78" s="16" t="n">
        <v>190774</v>
      </c>
      <c r="D78" s="16" t="inlineStr">
        <is>
          <t>0.031030</t>
        </is>
      </c>
      <c r="E78" s="16" t="inlineStr">
        <is>
          <t>10.100 SOL</t>
        </is>
      </c>
      <c r="F78" s="16" t="inlineStr">
        <is>
          <t>10.319 SOL</t>
        </is>
      </c>
      <c r="G78" s="22" t="inlineStr">
        <is>
          <t>0.188 SOL</t>
        </is>
      </c>
      <c r="H78" s="22" t="inlineStr">
        <is>
          <t>1.86%</t>
        </is>
      </c>
      <c r="I78" s="16" t="inlineStr">
        <is>
          <t>N/A</t>
        </is>
      </c>
      <c r="J78" s="16" t="n">
        <v>3</v>
      </c>
      <c r="K78" s="16" t="n">
        <v>1</v>
      </c>
      <c r="L78" s="16" t="inlineStr">
        <is>
          <t>19.10.2024 16:48:01</t>
        </is>
      </c>
      <c r="M78" s="16" t="inlineStr">
        <is>
          <t>7 hours</t>
        </is>
      </c>
      <c r="N78" s="16" t="inlineStr">
        <is>
          <t xml:space="preserve">          3M             5M            17M</t>
        </is>
      </c>
      <c r="O78" s="16" t="inlineStr">
        <is>
          <t>GqmEdRD3zGUZdYPeuDeXxCc8Cj1DBmGSYK97TCwSpump</t>
        </is>
      </c>
      <c r="P78" s="16">
        <f>HYPERLINK("https://dexscreener.com/solana/GqmEdRD3zGUZdYPeuDeXxCc8Cj1DBmGSYK97TCwSpump", "View")</f>
        <v/>
      </c>
    </row>
    <row r="79">
      <c r="A79" s="19" t="inlineStr">
        <is>
          <t>moment</t>
        </is>
      </c>
      <c r="B79" s="20" t="n">
        <v>2872571</v>
      </c>
      <c r="C79" s="20" t="n">
        <v>0</v>
      </c>
      <c r="D79" s="20" t="inlineStr">
        <is>
          <t>0.000020</t>
        </is>
      </c>
      <c r="E79" s="20" t="inlineStr">
        <is>
          <t>15.000 SOL</t>
        </is>
      </c>
      <c r="F79" s="20" t="inlineStr">
        <is>
          <t>0.000 SOL</t>
        </is>
      </c>
      <c r="G79" s="17" t="inlineStr">
        <is>
          <t>-15.000 SOL</t>
        </is>
      </c>
      <c r="H79" s="17" t="inlineStr">
        <is>
          <t>0.00%</t>
        </is>
      </c>
      <c r="I79" s="20" t="inlineStr">
        <is>
          <t>2,872,571</t>
        </is>
      </c>
      <c r="J79" s="20" t="n">
        <v>3</v>
      </c>
      <c r="K79" s="20" t="n">
        <v>0</v>
      </c>
      <c r="L79" s="20" t="inlineStr">
        <is>
          <t>19.10.2024 16:11:37</t>
        </is>
      </c>
      <c r="M79" s="18" t="inlineStr">
        <is>
          <t>1 sec</t>
        </is>
      </c>
      <c r="N79" s="20" t="inlineStr">
        <is>
          <t xml:space="preserve">        894K           939K            16K</t>
        </is>
      </c>
      <c r="O79" s="20" t="inlineStr">
        <is>
          <t>BnyK5ccegzrpEcv9UH5GPF8fZwV865m33pGi2Uk7cXQ7</t>
        </is>
      </c>
      <c r="P79" s="20">
        <f>HYPERLINK("https://dexscreener.com/solana/BnyK5ccegzrpEcv9UH5GPF8fZwV865m33pGi2Uk7cXQ7", "View")</f>
        <v/>
      </c>
    </row>
    <row r="80">
      <c r="A80" s="15" t="inlineStr">
        <is>
          <t>MORPHGEN</t>
        </is>
      </c>
      <c r="B80" s="16" t="n">
        <v>8655073</v>
      </c>
      <c r="C80" s="16" t="n">
        <v>0</v>
      </c>
      <c r="D80" s="16" t="inlineStr">
        <is>
          <t>0.013880</t>
        </is>
      </c>
      <c r="E80" s="16" t="inlineStr">
        <is>
          <t>10.000 SOL</t>
        </is>
      </c>
      <c r="F80" s="16" t="inlineStr">
        <is>
          <t>0.000 SOL</t>
        </is>
      </c>
      <c r="G80" s="17" t="inlineStr">
        <is>
          <t>-10.014 SOL</t>
        </is>
      </c>
      <c r="H80" s="17" t="inlineStr">
        <is>
          <t>0.00%</t>
        </is>
      </c>
      <c r="I80" s="16" t="inlineStr">
        <is>
          <t>8,655,073</t>
        </is>
      </c>
      <c r="J80" s="16" t="n">
        <v>2</v>
      </c>
      <c r="K80" s="16" t="n">
        <v>0</v>
      </c>
      <c r="L80" s="16" t="inlineStr">
        <is>
          <t>19.10.2024 15:24:57</t>
        </is>
      </c>
      <c r="M80" s="18" t="inlineStr">
        <is>
          <t>2 sec</t>
        </is>
      </c>
      <c r="N80" s="16" t="inlineStr">
        <is>
          <t xml:space="preserve">        191K           216K             9K</t>
        </is>
      </c>
      <c r="O80" s="16" t="inlineStr">
        <is>
          <t>GQ5c4fXPFuBad9BX1nhMxit1Wg343VC5kVPtbZaPpump</t>
        </is>
      </c>
      <c r="P80" s="16">
        <f>HYPERLINK("https://dexscreener.com/solana/GQ5c4fXPFuBad9BX1nhMxit1Wg343VC5kVPtbZaPpump", "View")</f>
        <v/>
      </c>
    </row>
    <row r="81">
      <c r="A81" s="19" t="inlineStr">
        <is>
          <t xml:space="preserve">GASPODE </t>
        </is>
      </c>
      <c r="B81" s="20" t="n">
        <v>16752660</v>
      </c>
      <c r="C81" s="20" t="n">
        <v>4188165</v>
      </c>
      <c r="D81" s="20" t="inlineStr">
        <is>
          <t>0.021100</t>
        </is>
      </c>
      <c r="E81" s="20" t="inlineStr">
        <is>
          <t>5.100 SOL</t>
        </is>
      </c>
      <c r="F81" s="20" t="inlineStr">
        <is>
          <t>10.502 SOL</t>
        </is>
      </c>
      <c r="G81" s="23" t="inlineStr">
        <is>
          <t>5.381 SOL</t>
        </is>
      </c>
      <c r="H81" s="23" t="inlineStr">
        <is>
          <t>105.08%</t>
        </is>
      </c>
      <c r="I81" s="20" t="inlineStr">
        <is>
          <t>N/A</t>
        </is>
      </c>
      <c r="J81" s="20" t="n">
        <v>2</v>
      </c>
      <c r="K81" s="20" t="n">
        <v>1</v>
      </c>
      <c r="L81" s="20" t="inlineStr">
        <is>
          <t>19.10.2024 14:28:23</t>
        </is>
      </c>
      <c r="M81" s="20" t="inlineStr">
        <is>
          <t>1 days</t>
        </is>
      </c>
      <c r="N81" s="20" t="inlineStr">
        <is>
          <t xml:space="preserve">        339K            53K            25K</t>
        </is>
      </c>
      <c r="O81" s="20" t="inlineStr">
        <is>
          <t>CLmkmdeeDqZRciDPrpVS8JtFj2g1hh8U4XQmQishpump</t>
        </is>
      </c>
      <c r="P81" s="20">
        <f>HYPERLINK("https://dexscreener.com/solana/CLmkmdeeDqZRciDPrpVS8JtFj2g1hh8U4XQmQishpump", "View")</f>
        <v/>
      </c>
    </row>
    <row r="82">
      <c r="A82" s="15" t="inlineStr">
        <is>
          <t>ACT</t>
        </is>
      </c>
      <c r="B82" s="16" t="n">
        <v>169174</v>
      </c>
      <c r="C82" s="16" t="n">
        <v>0</v>
      </c>
      <c r="D82" s="16" t="inlineStr">
        <is>
          <t>0.028210</t>
        </is>
      </c>
      <c r="E82" s="16" t="inlineStr">
        <is>
          <t>20.000 SOL</t>
        </is>
      </c>
      <c r="F82" s="16" t="inlineStr">
        <is>
          <t>0.000 SOL</t>
        </is>
      </c>
      <c r="G82" s="17" t="inlineStr">
        <is>
          <t>-20.028 SOL</t>
        </is>
      </c>
      <c r="H82" s="17" t="inlineStr">
        <is>
          <t>0.00%</t>
        </is>
      </c>
      <c r="I82" s="16" t="inlineStr">
        <is>
          <t>169,174</t>
        </is>
      </c>
      <c r="J82" s="16" t="n">
        <v>4</v>
      </c>
      <c r="K82" s="16" t="n">
        <v>0</v>
      </c>
      <c r="L82" s="16" t="inlineStr">
        <is>
          <t>19.10.2024 14:02:32</t>
        </is>
      </c>
      <c r="M82" s="18" t="inlineStr">
        <is>
          <t>4 sec</t>
        </is>
      </c>
      <c r="N82" s="16" t="inlineStr">
        <is>
          <t xml:space="preserve">         20M            20M            35M</t>
        </is>
      </c>
      <c r="O82" s="16" t="inlineStr">
        <is>
          <t>GJAFwWjJ3vnTsrQVabjBVK2TYB1YtRCQXRDfDgUnpump</t>
        </is>
      </c>
      <c r="P82" s="16">
        <f>HYPERLINK("https://dexscreener.com/solana/GJAFwWjJ3vnTsrQVabjBVK2TYB1YtRCQXRDfDgUnpump", "View")</f>
        <v/>
      </c>
    </row>
    <row r="83">
      <c r="A83" s="19" t="inlineStr">
        <is>
          <t>EREBUS</t>
        </is>
      </c>
      <c r="B83" s="20" t="n">
        <v>361639</v>
      </c>
      <c r="C83" s="20" t="n">
        <v>0</v>
      </c>
      <c r="D83" s="20" t="inlineStr">
        <is>
          <t>0.013860</t>
        </is>
      </c>
      <c r="E83" s="20" t="inlineStr">
        <is>
          <t>6.000 SOL</t>
        </is>
      </c>
      <c r="F83" s="20" t="inlineStr">
        <is>
          <t>0.000 SOL</t>
        </is>
      </c>
      <c r="G83" s="17" t="inlineStr">
        <is>
          <t>-6.014 SOL</t>
        </is>
      </c>
      <c r="H83" s="17" t="inlineStr">
        <is>
          <t>0.00%</t>
        </is>
      </c>
      <c r="I83" s="20" t="inlineStr">
        <is>
          <t>361,639</t>
        </is>
      </c>
      <c r="J83" s="20" t="n">
        <v>2</v>
      </c>
      <c r="K83" s="20" t="n">
        <v>0</v>
      </c>
      <c r="L83" s="20" t="inlineStr">
        <is>
          <t>19.10.2024 13:42:37</t>
        </is>
      </c>
      <c r="M83" s="20" t="inlineStr">
        <is>
          <t>5 hours</t>
        </is>
      </c>
      <c r="N83" s="20" t="inlineStr">
        <is>
          <t xml:space="preserve">          9M             3M           120K</t>
        </is>
      </c>
      <c r="O83" s="20" t="inlineStr">
        <is>
          <t>A17gzfib2UaxteKXzMK37G4AtVqYKRqRLT54aDjYpump</t>
        </is>
      </c>
      <c r="P83" s="20">
        <f>HYPERLINK("https://dexscreener.com/solana/A17gzfib2UaxteKXzMK37G4AtVqYKRqRLT54aDjYpump", "View")</f>
        <v/>
      </c>
    </row>
    <row r="84">
      <c r="A84" s="15" t="inlineStr">
        <is>
          <t>NiggAi</t>
        </is>
      </c>
      <c r="B84" s="16" t="n">
        <v>7617066</v>
      </c>
      <c r="C84" s="16" t="n">
        <v>0</v>
      </c>
      <c r="D84" s="16" t="inlineStr">
        <is>
          <t>0.006710</t>
        </is>
      </c>
      <c r="E84" s="16" t="inlineStr">
        <is>
          <t>0.200 SOL</t>
        </is>
      </c>
      <c r="F84" s="16" t="inlineStr">
        <is>
          <t>0.000 SOL</t>
        </is>
      </c>
      <c r="G84" s="17" t="inlineStr">
        <is>
          <t>-0.207 SOL</t>
        </is>
      </c>
      <c r="H84" s="17" t="inlineStr">
        <is>
          <t>0.00%</t>
        </is>
      </c>
      <c r="I84" s="16" t="inlineStr">
        <is>
          <t>7,617,066</t>
        </is>
      </c>
      <c r="J84" s="16" t="n">
        <v>1</v>
      </c>
      <c r="K84" s="16" t="n">
        <v>0</v>
      </c>
      <c r="L84" s="16" t="inlineStr">
        <is>
          <t>19.10.2024 13:18:08</t>
        </is>
      </c>
      <c r="M84" s="18" t="inlineStr">
        <is>
          <t>0 sec</t>
        </is>
      </c>
      <c r="N84" s="16" t="inlineStr">
        <is>
          <t xml:space="preserve">          5K             5K             4K</t>
        </is>
      </c>
      <c r="O84" s="16" t="inlineStr">
        <is>
          <t>63i22Unzqc4os8fHtx2aCATR9EB6BERWzJKT7gEPpump</t>
        </is>
      </c>
      <c r="P84" s="16">
        <f>HYPERLINK("https://dexscreener.com/solana/63i22Unzqc4os8fHtx2aCATR9EB6BERWzJKT7gEPpump", "View")</f>
        <v/>
      </c>
    </row>
    <row r="85">
      <c r="A85" s="19" t="inlineStr">
        <is>
          <t>Siri</t>
        </is>
      </c>
      <c r="B85" s="20" t="n">
        <v>1088773</v>
      </c>
      <c r="C85" s="20" t="n">
        <v>0</v>
      </c>
      <c r="D85" s="20" t="inlineStr">
        <is>
          <t>0.013830</t>
        </is>
      </c>
      <c r="E85" s="20" t="inlineStr">
        <is>
          <t>0.600 SOL</t>
        </is>
      </c>
      <c r="F85" s="20" t="inlineStr">
        <is>
          <t>0.000 SOL</t>
        </is>
      </c>
      <c r="G85" s="17" t="inlineStr">
        <is>
          <t>-0.614 SOL</t>
        </is>
      </c>
      <c r="H85" s="17" t="inlineStr">
        <is>
          <t>0.00%</t>
        </is>
      </c>
      <c r="I85" s="20" t="inlineStr">
        <is>
          <t>1,088,773</t>
        </is>
      </c>
      <c r="J85" s="20" t="n">
        <v>2</v>
      </c>
      <c r="K85" s="20" t="n">
        <v>0</v>
      </c>
      <c r="L85" s="20" t="inlineStr">
        <is>
          <t>19.10.2024 13:14:47</t>
        </is>
      </c>
      <c r="M85" s="18" t="inlineStr">
        <is>
          <t>2 sec</t>
        </is>
      </c>
      <c r="N85" s="20" t="inlineStr">
        <is>
          <t xml:space="preserve">         95K           100K             5K</t>
        </is>
      </c>
      <c r="O85" s="20" t="inlineStr">
        <is>
          <t>BZ92s5S7sHmxUj98frBiG8FsPd2jv5R4XGp74YbSpump</t>
        </is>
      </c>
      <c r="P85" s="20">
        <f>HYPERLINK("https://dexscreener.com/solana/BZ92s5S7sHmxUj98frBiG8FsPd2jv5R4XGp74YbSpump", "View")</f>
        <v/>
      </c>
    </row>
    <row r="86">
      <c r="A86" s="15" t="inlineStr">
        <is>
          <t>glados-137</t>
        </is>
      </c>
      <c r="B86" s="16" t="n">
        <v>460191</v>
      </c>
      <c r="C86" s="16" t="n">
        <v>0</v>
      </c>
      <c r="D86" s="16" t="inlineStr">
        <is>
          <t>0.013860</t>
        </is>
      </c>
      <c r="E86" s="16" t="inlineStr">
        <is>
          <t>10.000 SOL</t>
        </is>
      </c>
      <c r="F86" s="16" t="inlineStr">
        <is>
          <t>0.000 SOL</t>
        </is>
      </c>
      <c r="G86" s="17" t="inlineStr">
        <is>
          <t>-10.014 SOL</t>
        </is>
      </c>
      <c r="H86" s="17" t="inlineStr">
        <is>
          <t>0.00%</t>
        </is>
      </c>
      <c r="I86" s="16" t="inlineStr">
        <is>
          <t>460,191</t>
        </is>
      </c>
      <c r="J86" s="16" t="n">
        <v>2</v>
      </c>
      <c r="K86" s="16" t="n">
        <v>0</v>
      </c>
      <c r="L86" s="16" t="inlineStr">
        <is>
          <t>19.10.2024 11:16:28</t>
        </is>
      </c>
      <c r="M86" s="18" t="inlineStr">
        <is>
          <t>13 sec</t>
        </is>
      </c>
      <c r="N86" s="16" t="inlineStr">
        <is>
          <t xml:space="preserve">          4M             4M            31K</t>
        </is>
      </c>
      <c r="O86" s="16" t="inlineStr">
        <is>
          <t>5AFpf9H8CPpmHe9gmwZYQPtup3MDZ887PUxvY1yapump</t>
        </is>
      </c>
      <c r="P86" s="16">
        <f>HYPERLINK("https://dexscreener.com/solana/5AFpf9H8CPpmHe9gmwZYQPtup3MDZ887PUxvY1yapump", "View")</f>
        <v/>
      </c>
    </row>
    <row r="87">
      <c r="A87" s="19" t="inlineStr">
        <is>
          <t>Blob</t>
        </is>
      </c>
      <c r="B87" s="20" t="n">
        <v>6755782</v>
      </c>
      <c r="C87" s="20" t="n">
        <v>0</v>
      </c>
      <c r="D87" s="20" t="inlineStr">
        <is>
          <t>0.044230</t>
        </is>
      </c>
      <c r="E87" s="20" t="inlineStr">
        <is>
          <t>4.595 SOL</t>
        </is>
      </c>
      <c r="F87" s="20" t="inlineStr">
        <is>
          <t>0.000 SOL</t>
        </is>
      </c>
      <c r="G87" s="17" t="inlineStr">
        <is>
          <t>-4.639 SOL</t>
        </is>
      </c>
      <c r="H87" s="17" t="inlineStr">
        <is>
          <t>0.00%</t>
        </is>
      </c>
      <c r="I87" s="20" t="inlineStr">
        <is>
          <t>6,755,782</t>
        </is>
      </c>
      <c r="J87" s="20" t="n">
        <v>6</v>
      </c>
      <c r="K87" s="20" t="n">
        <v>0</v>
      </c>
      <c r="L87" s="20" t="inlineStr">
        <is>
          <t>19.10.2024 08:16:26</t>
        </is>
      </c>
      <c r="M87" s="20" t="inlineStr">
        <is>
          <t>11 days</t>
        </is>
      </c>
      <c r="N87" s="20" t="inlineStr">
        <is>
          <t xml:space="preserve">         89K            88K           116K</t>
        </is>
      </c>
      <c r="O87" s="20" t="inlineStr">
        <is>
          <t>85vb4pd3gyVMxQ211ZBXXWQJwJ4xZPBC5AQXvnmb1HTi</t>
        </is>
      </c>
      <c r="P87" s="20">
        <f>HYPERLINK("https://dexscreener.com/solana/85vb4pd3gyVMxQ211ZBXXWQJwJ4xZPBC5AQXvnmb1HTi", "View")</f>
        <v/>
      </c>
    </row>
    <row r="88">
      <c r="A88" s="15" t="inlineStr">
        <is>
          <t>hallway</t>
        </is>
      </c>
      <c r="B88" s="16" t="n">
        <v>20395951</v>
      </c>
      <c r="C88" s="16" t="n">
        <v>0</v>
      </c>
      <c r="D88" s="16" t="inlineStr">
        <is>
          <t>0.006310</t>
        </is>
      </c>
      <c r="E88" s="16" t="inlineStr">
        <is>
          <t>5.008 SOL</t>
        </is>
      </c>
      <c r="F88" s="16" t="inlineStr">
        <is>
          <t>0.000 SOL</t>
        </is>
      </c>
      <c r="G88" s="17" t="inlineStr">
        <is>
          <t>-5.014 SOL</t>
        </is>
      </c>
      <c r="H88" s="17" t="inlineStr">
        <is>
          <t>0.00%</t>
        </is>
      </c>
      <c r="I88" s="16" t="inlineStr">
        <is>
          <t>20,395,951</t>
        </is>
      </c>
      <c r="J88" s="16" t="n">
        <v>1</v>
      </c>
      <c r="K88" s="16" t="n">
        <v>0</v>
      </c>
      <c r="L88" s="16" t="inlineStr">
        <is>
          <t>19.10.2024 06:11:31</t>
        </is>
      </c>
      <c r="M88" s="18" t="inlineStr">
        <is>
          <t>0 sec</t>
        </is>
      </c>
      <c r="N88" s="16" t="inlineStr">
        <is>
          <t xml:space="preserve">         44K            44K             4K</t>
        </is>
      </c>
      <c r="O88" s="16" t="inlineStr">
        <is>
          <t>9d15n8cqV8Motx4thDmQ52d6NirmDjVUArDgriTupump</t>
        </is>
      </c>
      <c r="P88" s="16">
        <f>HYPERLINK("https://photon-sol.tinyastro.io/en/lp/9d15n8cqV8Motx4thDmQ52d6NirmDjVUArDgriTupump?handle=676050794bc1b1657a56b", "View")</f>
        <v/>
      </c>
    </row>
    <row r="89">
      <c r="A89" s="19" t="inlineStr">
        <is>
          <t>STAR</t>
        </is>
      </c>
      <c r="B89" s="20" t="n">
        <v>2141400</v>
      </c>
      <c r="C89" s="20" t="n">
        <v>0</v>
      </c>
      <c r="D89" s="20" t="inlineStr">
        <is>
          <t>0.028240</t>
        </is>
      </c>
      <c r="E89" s="20" t="inlineStr">
        <is>
          <t>4.000 SOL</t>
        </is>
      </c>
      <c r="F89" s="20" t="inlineStr">
        <is>
          <t>0.000 SOL</t>
        </is>
      </c>
      <c r="G89" s="17" t="inlineStr">
        <is>
          <t>-4.028 SOL</t>
        </is>
      </c>
      <c r="H89" s="17" t="inlineStr">
        <is>
          <t>0.00%</t>
        </is>
      </c>
      <c r="I89" s="20" t="inlineStr">
        <is>
          <t>2,141,400</t>
        </is>
      </c>
      <c r="J89" s="20" t="n">
        <v>4</v>
      </c>
      <c r="K89" s="20" t="n">
        <v>0</v>
      </c>
      <c r="L89" s="20" t="inlineStr">
        <is>
          <t>18.10.2024 22:06:05</t>
        </is>
      </c>
      <c r="M89" s="18" t="inlineStr">
        <is>
          <t>7 sec</t>
        </is>
      </c>
      <c r="N89" s="20" t="inlineStr">
        <is>
          <t xml:space="preserve">        335K           321K             6K</t>
        </is>
      </c>
      <c r="O89" s="20" t="inlineStr">
        <is>
          <t>6cLLXCTW48EdneJKWhc7vzE4VB3XMcJVEjsocQRHpump</t>
        </is>
      </c>
      <c r="P89" s="20">
        <f>HYPERLINK("https://dexscreener.com/solana/6cLLXCTW48EdneJKWhc7vzE4VB3XMcJVEjsocQRHpump", "View")</f>
        <v/>
      </c>
    </row>
    <row r="90">
      <c r="A90" s="15" t="inlineStr">
        <is>
          <t>Domo</t>
        </is>
      </c>
      <c r="B90" s="16" t="n">
        <v>3879596</v>
      </c>
      <c r="C90" s="16" t="n">
        <v>0</v>
      </c>
      <c r="D90" s="16" t="inlineStr">
        <is>
          <t>0.034390</t>
        </is>
      </c>
      <c r="E90" s="16" t="inlineStr">
        <is>
          <t>17.000 SOL</t>
        </is>
      </c>
      <c r="F90" s="16" t="inlineStr">
        <is>
          <t>0.000 SOL</t>
        </is>
      </c>
      <c r="G90" s="17" t="inlineStr">
        <is>
          <t>-17.034 SOL</t>
        </is>
      </c>
      <c r="H90" s="17" t="inlineStr">
        <is>
          <t>0.00%</t>
        </is>
      </c>
      <c r="I90" s="16" t="inlineStr">
        <is>
          <t>3,879,596</t>
        </is>
      </c>
      <c r="J90" s="16" t="n">
        <v>5</v>
      </c>
      <c r="K90" s="16" t="n">
        <v>0</v>
      </c>
      <c r="L90" s="16" t="inlineStr">
        <is>
          <t>18.10.2024 21:21:15</t>
        </is>
      </c>
      <c r="M90" s="18" t="inlineStr">
        <is>
          <t>15 sec</t>
        </is>
      </c>
      <c r="N90" s="16" t="inlineStr">
        <is>
          <t xml:space="preserve">        713K           808K             5K</t>
        </is>
      </c>
      <c r="O90" s="16" t="inlineStr">
        <is>
          <t>EE88dcuJmLDfHgvzQE4RE9i5a6CxCs5htVx32h3FZmHv</t>
        </is>
      </c>
      <c r="P90" s="16">
        <f>HYPERLINK("https://dexscreener.com/solana/EE88dcuJmLDfHgvzQE4RE9i5a6CxCs5htVx32h3FZmHv", "View")</f>
        <v/>
      </c>
    </row>
    <row r="91">
      <c r="A91" s="19" t="inlineStr">
        <is>
          <t>Akira</t>
        </is>
      </c>
      <c r="B91" s="20" t="n">
        <v>13279169</v>
      </c>
      <c r="C91" s="20" t="n">
        <v>0</v>
      </c>
      <c r="D91" s="20" t="inlineStr">
        <is>
          <t>0.034840</t>
        </is>
      </c>
      <c r="E91" s="20" t="inlineStr">
        <is>
          <t>25.000 SOL</t>
        </is>
      </c>
      <c r="F91" s="20" t="inlineStr">
        <is>
          <t>0.000 SOL</t>
        </is>
      </c>
      <c r="G91" s="17" t="inlineStr">
        <is>
          <t>-25.035 SOL</t>
        </is>
      </c>
      <c r="H91" s="17" t="inlineStr">
        <is>
          <t>0.00%</t>
        </is>
      </c>
      <c r="I91" s="20" t="inlineStr">
        <is>
          <t>13,279,169</t>
        </is>
      </c>
      <c r="J91" s="20" t="n">
        <v>5</v>
      </c>
      <c r="K91" s="20" t="n">
        <v>0</v>
      </c>
      <c r="L91" s="20" t="inlineStr">
        <is>
          <t>18.10.2024 17:33:36</t>
        </is>
      </c>
      <c r="M91" s="20" t="inlineStr">
        <is>
          <t>12 min</t>
        </is>
      </c>
      <c r="N91" s="20" t="inlineStr">
        <is>
          <t xml:space="preserve">        841K           163K             8K</t>
        </is>
      </c>
      <c r="O91" s="20" t="inlineStr">
        <is>
          <t>3QCf8rb4bjQzSKC58wagLK5i4SaM3N27jE147mw4pump</t>
        </is>
      </c>
      <c r="P91" s="20">
        <f>HYPERLINK("https://dexscreener.com/solana/3QCf8rb4bjQzSKC58wagLK5i4SaM3N27jE147mw4pump", "View")</f>
        <v/>
      </c>
    </row>
    <row r="92">
      <c r="A92" s="15" t="inlineStr">
        <is>
          <t>KERO</t>
        </is>
      </c>
      <c r="B92" s="16" t="n">
        <v>4502401</v>
      </c>
      <c r="C92" s="16" t="n">
        <v>2250031</v>
      </c>
      <c r="D92" s="16" t="inlineStr">
        <is>
          <t>0.065020</t>
        </is>
      </c>
      <c r="E92" s="16" t="inlineStr">
        <is>
          <t>15.100 SOL</t>
        </is>
      </c>
      <c r="F92" s="16" t="inlineStr">
        <is>
          <t>40.039 SOL</t>
        </is>
      </c>
      <c r="G92" s="23" t="inlineStr">
        <is>
          <t>24.874 SOL</t>
        </is>
      </c>
      <c r="H92" s="23" t="inlineStr">
        <is>
          <t>164.02%</t>
        </is>
      </c>
      <c r="I92" s="16" t="inlineStr">
        <is>
          <t>N/A</t>
        </is>
      </c>
      <c r="J92" s="16" t="n">
        <v>4</v>
      </c>
      <c r="K92" s="16" t="n">
        <v>4</v>
      </c>
      <c r="L92" s="16" t="inlineStr">
        <is>
          <t>18.10.2024 15:03:03</t>
        </is>
      </c>
      <c r="M92" s="16" t="inlineStr">
        <is>
          <t>3 hours</t>
        </is>
      </c>
      <c r="N92" s="16" t="inlineStr">
        <is>
          <t xml:space="preserve">          6M             3M           152K</t>
        </is>
      </c>
      <c r="O92" s="16" t="inlineStr">
        <is>
          <t>2Z6TocWzKtddxVe9kxCB3j3A339Z6CDiut5k3a9Apump</t>
        </is>
      </c>
      <c r="P92" s="16">
        <f>HYPERLINK("https://dexscreener.com/solana/2Z6TocWzKtddxVe9kxCB3j3A339Z6CDiut5k3a9Apump", "View")</f>
        <v/>
      </c>
    </row>
    <row r="93">
      <c r="A93" s="19" t="inlineStr">
        <is>
          <t>CATANA</t>
        </is>
      </c>
      <c r="B93" s="20" t="n">
        <v>442632</v>
      </c>
      <c r="C93" s="20" t="n">
        <v>0</v>
      </c>
      <c r="D93" s="20" t="inlineStr">
        <is>
          <t>0.018890</t>
        </is>
      </c>
      <c r="E93" s="20" t="inlineStr">
        <is>
          <t>15.000 SOL</t>
        </is>
      </c>
      <c r="F93" s="20" t="inlineStr">
        <is>
          <t>0.000 SOL</t>
        </is>
      </c>
      <c r="G93" s="17" t="inlineStr">
        <is>
          <t>-15.019 SOL</t>
        </is>
      </c>
      <c r="H93" s="17" t="inlineStr">
        <is>
          <t>0.00%</t>
        </is>
      </c>
      <c r="I93" s="20" t="inlineStr">
        <is>
          <t>442,632</t>
        </is>
      </c>
      <c r="J93" s="20" t="n">
        <v>3</v>
      </c>
      <c r="K93" s="20" t="n">
        <v>0</v>
      </c>
      <c r="L93" s="20" t="inlineStr">
        <is>
          <t>18.10.2024 13:24:07</t>
        </is>
      </c>
      <c r="M93" s="18" t="inlineStr">
        <is>
          <t>59 sec</t>
        </is>
      </c>
      <c r="N93" s="20" t="inlineStr">
        <is>
          <t xml:space="preserve">          6M             6M            19M</t>
        </is>
      </c>
      <c r="O93" s="20" t="inlineStr">
        <is>
          <t>GmbC2HgWpHpq9SHnmEXZNT5e1zgcU9oASDqbAkGTpump</t>
        </is>
      </c>
      <c r="P93" s="20">
        <f>HYPERLINK("https://dexscreener.com/solana/GmbC2HgWpHpq9SHnmEXZNT5e1zgcU9oASDqbAkGTpump", "View")</f>
        <v/>
      </c>
    </row>
    <row r="94">
      <c r="A94" s="15" t="inlineStr">
        <is>
          <t>$HARRIS</t>
        </is>
      </c>
      <c r="B94" s="16" t="n">
        <v>280</v>
      </c>
      <c r="C94" s="16" t="n">
        <v>280</v>
      </c>
      <c r="D94" s="16" t="inlineStr">
        <is>
          <t>0.013960</t>
        </is>
      </c>
      <c r="E94" s="16" t="inlineStr">
        <is>
          <t>1.000 SOL</t>
        </is>
      </c>
      <c r="F94" s="16" t="inlineStr">
        <is>
          <t>0.988 SOL</t>
        </is>
      </c>
      <c r="G94" s="21" t="inlineStr">
        <is>
          <t>-0.026 SOL</t>
        </is>
      </c>
      <c r="H94" s="21" t="inlineStr">
        <is>
          <t>-2.58%</t>
        </is>
      </c>
      <c r="I94" s="16" t="inlineStr">
        <is>
          <t>N/A</t>
        </is>
      </c>
      <c r="J94" s="16" t="n">
        <v>1</v>
      </c>
      <c r="K94" s="16" t="n">
        <v>1</v>
      </c>
      <c r="L94" s="16" t="inlineStr">
        <is>
          <t>18.10.2024 13:21:07</t>
        </is>
      </c>
      <c r="M94" s="18" t="inlineStr">
        <is>
          <t>21 sec</t>
        </is>
      </c>
      <c r="N94" s="16" t="inlineStr">
        <is>
          <t xml:space="preserve">          6B             6B            112</t>
        </is>
      </c>
      <c r="O94" s="16" t="inlineStr">
        <is>
          <t>Gn8mvsirqZCoR33ozqYv8HQswfZzrUrQrPmG3GbfZy7B</t>
        </is>
      </c>
      <c r="P94" s="16">
        <f>HYPERLINK("https://dexscreener.com/solana/Gn8mvsirqZCoR33ozqYv8HQswfZzrUrQrPmG3GbfZy7B", "View")</f>
        <v/>
      </c>
    </row>
    <row r="95">
      <c r="A95" s="19" t="inlineStr">
        <is>
          <t>blake</t>
        </is>
      </c>
      <c r="B95" s="20" t="n">
        <v>6855771</v>
      </c>
      <c r="C95" s="20" t="n">
        <v>3427886</v>
      </c>
      <c r="D95" s="20" t="inlineStr">
        <is>
          <t>0.022940</t>
        </is>
      </c>
      <c r="E95" s="20" t="inlineStr">
        <is>
          <t>0.615 SOL</t>
        </is>
      </c>
      <c r="F95" s="20" t="inlineStr">
        <is>
          <t>3.703 SOL</t>
        </is>
      </c>
      <c r="G95" s="23" t="inlineStr">
        <is>
          <t>3.065 SOL</t>
        </is>
      </c>
      <c r="H95" s="23" t="inlineStr">
        <is>
          <t>480.49%</t>
        </is>
      </c>
      <c r="I95" s="20" t="inlineStr">
        <is>
          <t>N/A</t>
        </is>
      </c>
      <c r="J95" s="20" t="n">
        <v>2</v>
      </c>
      <c r="K95" s="20" t="n">
        <v>1</v>
      </c>
      <c r="L95" s="20" t="inlineStr">
        <is>
          <t>18.10.2024 11:21:45</t>
        </is>
      </c>
      <c r="M95" s="20" t="inlineStr">
        <is>
          <t>1 hours</t>
        </is>
      </c>
      <c r="N95" s="20" t="inlineStr">
        <is>
          <t xml:space="preserve">         19K           190K             7K</t>
        </is>
      </c>
      <c r="O95" s="20" t="inlineStr">
        <is>
          <t>5ymzsgQjiaa4bXEPgrVTgNJJWyHUw3En3i9Jppb4pump</t>
        </is>
      </c>
      <c r="P95" s="20">
        <f>HYPERLINK("https://photon-sol.tinyastro.io/en/lp/5ymzsgQjiaa4bXEPgrVTgNJJWyHUw3En3i9Jppb4pump?handle=676050794bc1b1657a56b", "View")</f>
        <v/>
      </c>
    </row>
    <row r="96">
      <c r="A96" s="15" t="inlineStr">
        <is>
          <t>UWU</t>
        </is>
      </c>
      <c r="B96" s="16" t="n">
        <v>14585831</v>
      </c>
      <c r="C96" s="16" t="n">
        <v>0</v>
      </c>
      <c r="D96" s="16" t="inlineStr">
        <is>
          <t>0.035410</t>
        </is>
      </c>
      <c r="E96" s="16" t="inlineStr">
        <is>
          <t>5.000 SOL</t>
        </is>
      </c>
      <c r="F96" s="16" t="inlineStr">
        <is>
          <t>0.000 SOL</t>
        </is>
      </c>
      <c r="G96" s="17" t="inlineStr">
        <is>
          <t>-5.035 SOL</t>
        </is>
      </c>
      <c r="H96" s="17" t="inlineStr">
        <is>
          <t>0.00%</t>
        </is>
      </c>
      <c r="I96" s="16" t="inlineStr">
        <is>
          <t>14,585,831</t>
        </is>
      </c>
      <c r="J96" s="16" t="n">
        <v>5</v>
      </c>
      <c r="K96" s="16" t="n">
        <v>0</v>
      </c>
      <c r="L96" s="16" t="inlineStr">
        <is>
          <t>18.10.2024 07:00:50</t>
        </is>
      </c>
      <c r="M96" s="18" t="inlineStr">
        <is>
          <t>51 sec</t>
        </is>
      </c>
      <c r="N96" s="16" t="inlineStr">
        <is>
          <t xml:space="preserve">         53K            63K            12K</t>
        </is>
      </c>
      <c r="O96" s="16" t="inlineStr">
        <is>
          <t>C82KuqFXK3WticDkjSXuthmzikLYXC1TpqDKQhqipump</t>
        </is>
      </c>
      <c r="P96" s="16">
        <f>HYPERLINK("https://dexscreener.com/solana/C82KuqFXK3WticDkjSXuthmzikLYXC1TpqDKQhqipump", "View")</f>
        <v/>
      </c>
    </row>
    <row r="97">
      <c r="A97" s="19" t="inlineStr">
        <is>
          <t>rot</t>
        </is>
      </c>
      <c r="B97" s="20" t="n">
        <v>28955</v>
      </c>
      <c r="C97" s="20" t="n">
        <v>171804</v>
      </c>
      <c r="D97" s="20" t="inlineStr">
        <is>
          <t>0.027960</t>
        </is>
      </c>
      <c r="E97" s="20" t="inlineStr">
        <is>
          <t>1.200 SOL</t>
        </is>
      </c>
      <c r="F97" s="20" t="inlineStr">
        <is>
          <t>8.570 SOL</t>
        </is>
      </c>
      <c r="G97" s="23" t="inlineStr">
        <is>
          <t>7.342 SOL</t>
        </is>
      </c>
      <c r="H97" s="23" t="inlineStr">
        <is>
          <t>597.93%</t>
        </is>
      </c>
      <c r="I97" s="20" t="inlineStr">
        <is>
          <t>N/A</t>
        </is>
      </c>
      <c r="J97" s="20" t="n">
        <v>3</v>
      </c>
      <c r="K97" s="20" t="n">
        <v>1</v>
      </c>
      <c r="L97" s="20" t="inlineStr">
        <is>
          <t>17.10.2024 20:33:08</t>
        </is>
      </c>
      <c r="M97" s="20" t="inlineStr">
        <is>
          <t>10 days</t>
        </is>
      </c>
      <c r="N97" s="20" t="inlineStr">
        <is>
          <t xml:space="preserve">          9M             8M             5M</t>
        </is>
      </c>
      <c r="O97" s="20" t="inlineStr">
        <is>
          <t>APoM2sXUzdRHTkUjXSsdUheX1wPPdP4HFLotmtRNMU8P</t>
        </is>
      </c>
      <c r="P97" s="20">
        <f>HYPERLINK("https://dexscreener.com/solana/APoM2sXUzdRHTkUjXSsdUheX1wPPdP4HFLotmtRNMU8P", "View")</f>
        <v/>
      </c>
    </row>
    <row r="98">
      <c r="A98" s="15" t="inlineStr">
        <is>
          <t>AFFIRM</t>
        </is>
      </c>
      <c r="B98" s="16" t="n">
        <v>2907002</v>
      </c>
      <c r="C98" s="16" t="n">
        <v>2533155</v>
      </c>
      <c r="D98" s="16" t="inlineStr">
        <is>
          <t>0.017180</t>
        </is>
      </c>
      <c r="E98" s="16" t="inlineStr">
        <is>
          <t>5.000 SOL</t>
        </is>
      </c>
      <c r="F98" s="16" t="inlineStr">
        <is>
          <t>3.961 SOL</t>
        </is>
      </c>
      <c r="G98" s="21" t="inlineStr">
        <is>
          <t>-1.056 SOL</t>
        </is>
      </c>
      <c r="H98" s="21" t="inlineStr">
        <is>
          <t>-21.05%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17.10.2024 14:56:35</t>
        </is>
      </c>
      <c r="M98" s="16" t="inlineStr">
        <is>
          <t>2 hours</t>
        </is>
      </c>
      <c r="N98" s="16" t="inlineStr">
        <is>
          <t xml:space="preserve">        302K           274K           133K</t>
        </is>
      </c>
      <c r="O98" s="16" t="inlineStr">
        <is>
          <t>3M1t49FpyULfGEiEWowHyHjthWyfL7RpHgQ7mDbBpump</t>
        </is>
      </c>
      <c r="P98" s="16">
        <f>HYPERLINK("https://dexscreener.com/solana/3M1t49FpyULfGEiEWowHyHjthWyfL7RpHgQ7mDbBpump", "View")</f>
        <v/>
      </c>
    </row>
    <row r="99">
      <c r="A99" s="19" t="inlineStr">
        <is>
          <t>MEDUSA</t>
        </is>
      </c>
      <c r="B99" s="20" t="n">
        <v>27840</v>
      </c>
      <c r="C99" s="20" t="n">
        <v>0</v>
      </c>
      <c r="D99" s="20" t="inlineStr">
        <is>
          <t>0.013410</t>
        </is>
      </c>
      <c r="E99" s="20" t="inlineStr">
        <is>
          <t>2.000 SOL</t>
        </is>
      </c>
      <c r="F99" s="20" t="inlineStr">
        <is>
          <t>0.000 SOL</t>
        </is>
      </c>
      <c r="G99" s="17" t="inlineStr">
        <is>
          <t>-2.013 SOL</t>
        </is>
      </c>
      <c r="H99" s="17" t="inlineStr">
        <is>
          <t>0.00%</t>
        </is>
      </c>
      <c r="I99" s="20" t="inlineStr">
        <is>
          <t>27,840</t>
        </is>
      </c>
      <c r="J99" s="20" t="n">
        <v>2</v>
      </c>
      <c r="K99" s="20" t="n">
        <v>0</v>
      </c>
      <c r="L99" s="20" t="inlineStr">
        <is>
          <t>17.10.2024 11:17:17</t>
        </is>
      </c>
      <c r="M99" s="18" t="inlineStr">
        <is>
          <t>4 sec</t>
        </is>
      </c>
      <c r="N99" s="20" t="inlineStr">
        <is>
          <t xml:space="preserve">         13M            13M           606K</t>
        </is>
      </c>
      <c r="O99" s="20" t="inlineStr">
        <is>
          <t>Fosp9yoXQBdx8YqyURZePYzgpCnxp9XsfnQq69DRvvU4</t>
        </is>
      </c>
      <c r="P99" s="20">
        <f>HYPERLINK("https://dexscreener.com/solana/Fosp9yoXQBdx8YqyURZePYzgpCnxp9XsfnQq69DRvvU4", "View")</f>
        <v/>
      </c>
    </row>
    <row r="100">
      <c r="A100" s="15" t="inlineStr">
        <is>
          <t>FATGF</t>
        </is>
      </c>
      <c r="B100" s="16" t="n">
        <v>23975</v>
      </c>
      <c r="C100" s="16" t="n">
        <v>642785</v>
      </c>
      <c r="D100" s="16" t="inlineStr">
        <is>
          <t>0.016050</t>
        </is>
      </c>
      <c r="E100" s="16" t="inlineStr">
        <is>
          <t>1.000 SOL</t>
        </is>
      </c>
      <c r="F100" s="16" t="inlineStr">
        <is>
          <t>27.343 SOL</t>
        </is>
      </c>
      <c r="G100" s="23" t="inlineStr">
        <is>
          <t>26.327 SOL</t>
        </is>
      </c>
      <c r="H100" s="23" t="inlineStr">
        <is>
          <t>2591.11%</t>
        </is>
      </c>
      <c r="I100" s="16" t="inlineStr">
        <is>
          <t>N/A</t>
        </is>
      </c>
      <c r="J100" s="16" t="n">
        <v>1</v>
      </c>
      <c r="K100" s="16" t="n">
        <v>1</v>
      </c>
      <c r="L100" s="16" t="inlineStr">
        <is>
          <t>17.10.2024 07:39:18</t>
        </is>
      </c>
      <c r="M100" s="16" t="inlineStr">
        <is>
          <t>2 days</t>
        </is>
      </c>
      <c r="N100" s="16" t="inlineStr">
        <is>
          <t xml:space="preserve">          7M             7M             2M</t>
        </is>
      </c>
      <c r="O100" s="16" t="inlineStr">
        <is>
          <t>4y9E3tJpGNzRr1592oWTPECgyp2VDSc1Bf3DqAm5FZsK</t>
        </is>
      </c>
      <c r="P100" s="16">
        <f>HYPERLINK("https://dexscreener.com/solana/4y9E3tJpGNzRr1592oWTPECgyp2VDSc1Bf3DqAm5FZsK", "View")</f>
        <v/>
      </c>
    </row>
    <row r="101">
      <c r="A101" s="19" t="inlineStr">
        <is>
          <t>ElephantAI</t>
        </is>
      </c>
      <c r="B101" s="20" t="n">
        <v>15526574</v>
      </c>
      <c r="C101" s="20" t="n">
        <v>0</v>
      </c>
      <c r="D101" s="20" t="inlineStr">
        <is>
          <t>0.006330</t>
        </is>
      </c>
      <c r="E101" s="20" t="inlineStr">
        <is>
          <t>1.008 SOL</t>
        </is>
      </c>
      <c r="F101" s="20" t="inlineStr">
        <is>
          <t>0.000 SOL</t>
        </is>
      </c>
      <c r="G101" s="17" t="inlineStr">
        <is>
          <t>-1.015 SOL</t>
        </is>
      </c>
      <c r="H101" s="17" t="inlineStr">
        <is>
          <t>0.00%</t>
        </is>
      </c>
      <c r="I101" s="20" t="inlineStr">
        <is>
          <t>15,526,574</t>
        </is>
      </c>
      <c r="J101" s="20" t="n">
        <v>1</v>
      </c>
      <c r="K101" s="20" t="n">
        <v>0</v>
      </c>
      <c r="L101" s="20" t="inlineStr">
        <is>
          <t>16.10.2024 12:34:34</t>
        </is>
      </c>
      <c r="M101" s="18" t="inlineStr">
        <is>
          <t>0 sec</t>
        </is>
      </c>
      <c r="N101" s="20" t="inlineStr">
        <is>
          <t xml:space="preserve">        N/A           N/A           N/A</t>
        </is>
      </c>
      <c r="O101" s="20" t="inlineStr">
        <is>
          <t>9SShiXHVrHqWK1nZ31M2NdHm897coDZrAa6UQSB2pump</t>
        </is>
      </c>
      <c r="P101" s="20">
        <f>HYPERLINK("https://photon-sol.tinyastro.io/en/lp/9SShiXHVrHqWK1nZ31M2NdHm897coDZrAa6UQSB2pump?handle=676050794bc1b1657a56b", "View")</f>
        <v/>
      </c>
    </row>
    <row r="102">
      <c r="A102" s="15" t="inlineStr">
        <is>
          <t>BCOQ</t>
        </is>
      </c>
      <c r="B102" s="16" t="n">
        <v>122466854259</v>
      </c>
      <c r="C102" s="16" t="n">
        <v>0</v>
      </c>
      <c r="D102" s="16" t="inlineStr">
        <is>
          <t>0.043050</t>
        </is>
      </c>
      <c r="E102" s="16" t="inlineStr">
        <is>
          <t>6.000 SOL</t>
        </is>
      </c>
      <c r="F102" s="16" t="inlineStr">
        <is>
          <t>0.000 SOL</t>
        </is>
      </c>
      <c r="G102" s="17" t="inlineStr">
        <is>
          <t>-6.043 SOL</t>
        </is>
      </c>
      <c r="H102" s="17" t="inlineStr">
        <is>
          <t>0.00%</t>
        </is>
      </c>
      <c r="I102" s="16" t="inlineStr">
        <is>
          <t>122,466,854,259</t>
        </is>
      </c>
      <c r="J102" s="16" t="n">
        <v>6</v>
      </c>
      <c r="K102" s="16" t="n">
        <v>0</v>
      </c>
      <c r="L102" s="16" t="inlineStr">
        <is>
          <t>16.10.2024 09:04:54</t>
        </is>
      </c>
      <c r="M102" s="16" t="inlineStr">
        <is>
          <t>17 hours</t>
        </is>
      </c>
      <c r="N102" s="16" t="inlineStr">
        <is>
          <t xml:space="preserve">        N/A           N/A           714K</t>
        </is>
      </c>
      <c r="O102" s="16" t="inlineStr">
        <is>
          <t>coqRkaaKeUygDPhuS3mrmrj6DiHjeQJc2rFbT2YfxWn</t>
        </is>
      </c>
      <c r="P102" s="16">
        <f>HYPERLINK("https://dexscreener.com/solana/coqRkaaKeUygDPhuS3mrmrj6DiHjeQJc2rFbT2YfxWn", "View")</f>
        <v/>
      </c>
    </row>
    <row r="103">
      <c r="A103" s="19" t="inlineStr">
        <is>
          <t>DURIAN</t>
        </is>
      </c>
      <c r="B103" s="20" t="n">
        <v>278721684</v>
      </c>
      <c r="C103" s="20" t="n">
        <v>0</v>
      </c>
      <c r="D103" s="20" t="inlineStr">
        <is>
          <t>0.076120</t>
        </is>
      </c>
      <c r="E103" s="20" t="inlineStr">
        <is>
          <t>12.741 SOL</t>
        </is>
      </c>
      <c r="F103" s="20" t="inlineStr">
        <is>
          <t>0.000 SOL</t>
        </is>
      </c>
      <c r="G103" s="17" t="inlineStr">
        <is>
          <t>-12.817 SOL</t>
        </is>
      </c>
      <c r="H103" s="17" t="inlineStr">
        <is>
          <t>0.00%</t>
        </is>
      </c>
      <c r="I103" s="20" t="inlineStr">
        <is>
          <t>278,721,684</t>
        </is>
      </c>
      <c r="J103" s="20" t="n">
        <v>9</v>
      </c>
      <c r="K103" s="20" t="n">
        <v>0</v>
      </c>
      <c r="L103" s="20" t="inlineStr">
        <is>
          <t>16.10.2024 09:04:42</t>
        </is>
      </c>
      <c r="M103" s="20" t="inlineStr">
        <is>
          <t>13 hours</t>
        </is>
      </c>
      <c r="N103" s="20" t="inlineStr">
        <is>
          <t xml:space="preserve">        N/A           N/A           N/A</t>
        </is>
      </c>
      <c r="O103" s="20" t="inlineStr">
        <is>
          <t>J5hS127LS3ePkdwUVWgSsSXQiDcJxt7CjzEcv9ucpump</t>
        </is>
      </c>
      <c r="P103" s="20">
        <f>HYPERLINK("https://photon-sol.tinyastro.io/en/lp/J5hS127LS3ePkdwUVWgSsSXQiDcJxt7CjzEcv9ucpump?handle=676050794bc1b1657a56b", "View")</f>
        <v/>
      </c>
    </row>
    <row r="104">
      <c r="A104" s="15" t="inlineStr">
        <is>
          <t>GIGMA</t>
        </is>
      </c>
      <c r="B104" s="16" t="n">
        <v>37876231</v>
      </c>
      <c r="C104" s="16" t="n">
        <v>0</v>
      </c>
      <c r="D104" s="16" t="inlineStr">
        <is>
          <t>0.042540</t>
        </is>
      </c>
      <c r="E104" s="16" t="inlineStr">
        <is>
          <t>7.300 SOL</t>
        </is>
      </c>
      <c r="F104" s="16" t="inlineStr">
        <is>
          <t>0.000 SOL</t>
        </is>
      </c>
      <c r="G104" s="17" t="inlineStr">
        <is>
          <t>-7.343 SOL</t>
        </is>
      </c>
      <c r="H104" s="17" t="inlineStr">
        <is>
          <t>0.00%</t>
        </is>
      </c>
      <c r="I104" s="16" t="inlineStr">
        <is>
          <t>37,876,231</t>
        </is>
      </c>
      <c r="J104" s="16" t="n">
        <v>6</v>
      </c>
      <c r="K104" s="16" t="n">
        <v>0</v>
      </c>
      <c r="L104" s="16" t="inlineStr">
        <is>
          <t>15.10.2024 07:47:37</t>
        </is>
      </c>
      <c r="M104" s="16" t="inlineStr">
        <is>
          <t>39 min</t>
        </is>
      </c>
      <c r="N104" s="16" t="inlineStr">
        <is>
          <t xml:space="preserve">         33K            30K             5K</t>
        </is>
      </c>
      <c r="O104" s="16" t="inlineStr">
        <is>
          <t>7SmHdZHRT8yHD1yDafKwp7zr3yX1yGHEh37Lb7n8pump</t>
        </is>
      </c>
      <c r="P104" s="16">
        <f>HYPERLINK("https://dexscreener.com/solana/7SmHdZHRT8yHD1yDafKwp7zr3yX1yGHEh37Lb7n8pump", "View")</f>
        <v/>
      </c>
    </row>
    <row r="105">
      <c r="A105" s="19" t="inlineStr">
        <is>
          <t>LUNCHLY</t>
        </is>
      </c>
      <c r="B105" s="20" t="n">
        <v>17220900</v>
      </c>
      <c r="C105" s="20" t="n">
        <v>0</v>
      </c>
      <c r="D105" s="20" t="inlineStr">
        <is>
          <t>0.040320</t>
        </is>
      </c>
      <c r="E105" s="20" t="inlineStr">
        <is>
          <t>26.000 SOL</t>
        </is>
      </c>
      <c r="F105" s="20" t="inlineStr">
        <is>
          <t>0.000 SOL</t>
        </is>
      </c>
      <c r="G105" s="17" t="inlineStr">
        <is>
          <t>-26.040 SOL</t>
        </is>
      </c>
      <c r="H105" s="17" t="inlineStr">
        <is>
          <t>0.00%</t>
        </is>
      </c>
      <c r="I105" s="20" t="inlineStr">
        <is>
          <t>17,220,900</t>
        </is>
      </c>
      <c r="J105" s="20" t="n">
        <v>6</v>
      </c>
      <c r="K105" s="20" t="n">
        <v>0</v>
      </c>
      <c r="L105" s="20" t="inlineStr">
        <is>
          <t>15.10.2024 05:38:28</t>
        </is>
      </c>
      <c r="M105" s="20" t="inlineStr">
        <is>
          <t>16 hours</t>
        </is>
      </c>
      <c r="N105" s="20" t="inlineStr">
        <is>
          <t xml:space="preserve">        141K           731K            82K</t>
        </is>
      </c>
      <c r="O105" s="20" t="inlineStr">
        <is>
          <t>nYerK4wiMzsKxwMKM6KbubwSnMPrctTLN87EswRpump</t>
        </is>
      </c>
      <c r="P105" s="20">
        <f>HYPERLINK("https://dexscreener.com/solana/nYerK4wiMzsKxwMKM6KbubwSnMPrctTLN87EswRpump", "View")</f>
        <v/>
      </c>
    </row>
    <row r="106">
      <c r="A106" s="15" t="inlineStr">
        <is>
          <t>LILY</t>
        </is>
      </c>
      <c r="B106" s="16" t="n">
        <v>1037242</v>
      </c>
      <c r="C106" s="16" t="n">
        <v>0</v>
      </c>
      <c r="D106" s="16" t="inlineStr">
        <is>
          <t>0.040020</t>
        </is>
      </c>
      <c r="E106" s="16" t="inlineStr">
        <is>
          <t>8.000 SOL</t>
        </is>
      </c>
      <c r="F106" s="16" t="inlineStr">
        <is>
          <t>0.000 SOL</t>
        </is>
      </c>
      <c r="G106" s="17" t="inlineStr">
        <is>
          <t>-8.040 SOL</t>
        </is>
      </c>
      <c r="H106" s="17" t="inlineStr">
        <is>
          <t>0.00%</t>
        </is>
      </c>
      <c r="I106" s="16" t="inlineStr">
        <is>
          <t>1,037,242</t>
        </is>
      </c>
      <c r="J106" s="16" t="n">
        <v>4</v>
      </c>
      <c r="K106" s="16" t="n">
        <v>0</v>
      </c>
      <c r="L106" s="16" t="inlineStr">
        <is>
          <t>15.10.2024 05:34:52</t>
        </is>
      </c>
      <c r="M106" s="16" t="inlineStr">
        <is>
          <t>22 hours</t>
        </is>
      </c>
      <c r="N106" s="16" t="inlineStr">
        <is>
          <t xml:space="preserve">        N/A           N/A           N/A</t>
        </is>
      </c>
      <c r="O106" s="16" t="inlineStr">
        <is>
          <t>9o81cWB4kAWZ1hxxpakTsCTorJAwehPtxDKxMA564poi</t>
        </is>
      </c>
      <c r="P106" s="16">
        <f>HYPERLINK("https://dexscreener.com/solana/9o81cWB4kAWZ1hxxpakTsCTorJAwehPtxDKxMA564poi", "View")</f>
        <v/>
      </c>
    </row>
    <row r="107">
      <c r="A107" s="19" t="inlineStr">
        <is>
          <t>$ARI</t>
        </is>
      </c>
      <c r="B107" s="20" t="n">
        <v>33087048</v>
      </c>
      <c r="C107" s="20" t="n">
        <v>0</v>
      </c>
      <c r="D107" s="20" t="inlineStr">
        <is>
          <t>0.017180</t>
        </is>
      </c>
      <c r="E107" s="20" t="inlineStr">
        <is>
          <t>2.000 SOL</t>
        </is>
      </c>
      <c r="F107" s="20" t="inlineStr">
        <is>
          <t>0.000 SOL</t>
        </is>
      </c>
      <c r="G107" s="17" t="inlineStr">
        <is>
          <t>-2.017 SOL</t>
        </is>
      </c>
      <c r="H107" s="17" t="inlineStr">
        <is>
          <t>0.00%</t>
        </is>
      </c>
      <c r="I107" s="20" t="inlineStr">
        <is>
          <t>33,087,048</t>
        </is>
      </c>
      <c r="J107" s="20" t="n">
        <v>2</v>
      </c>
      <c r="K107" s="20" t="n">
        <v>0</v>
      </c>
      <c r="L107" s="20" t="inlineStr">
        <is>
          <t>15.10.2024 05:20:12</t>
        </is>
      </c>
      <c r="M107" s="20" t="inlineStr">
        <is>
          <t>6 days</t>
        </is>
      </c>
      <c r="N107" s="20" t="inlineStr">
        <is>
          <t xml:space="preserve">         12K             9K            11K</t>
        </is>
      </c>
      <c r="O107" s="20" t="inlineStr">
        <is>
          <t>Dr4iNMh1kzhE1Cj7RxdSu4bSNxVkt5YvRZ3zmgCLN2Xu</t>
        </is>
      </c>
      <c r="P107" s="20">
        <f>HYPERLINK("https://dexscreener.com/solana/Dr4iNMh1kzhE1Cj7RxdSu4bSNxVkt5YvRZ3zmgCLN2Xu", "View")</f>
        <v/>
      </c>
    </row>
    <row r="108">
      <c r="A108" s="15" t="inlineStr">
        <is>
          <t>Barron</t>
        </is>
      </c>
      <c r="B108" s="16" t="n">
        <v>1042238</v>
      </c>
      <c r="C108" s="16" t="n">
        <v>0</v>
      </c>
      <c r="D108" s="16" t="inlineStr">
        <is>
          <t>0.007180</t>
        </is>
      </c>
      <c r="E108" s="16" t="inlineStr">
        <is>
          <t>5.000 SOL</t>
        </is>
      </c>
      <c r="F108" s="16" t="inlineStr">
        <is>
          <t>0.000 SOL</t>
        </is>
      </c>
      <c r="G108" s="17" t="inlineStr">
        <is>
          <t>-5.007 SOL</t>
        </is>
      </c>
      <c r="H108" s="17" t="inlineStr">
        <is>
          <t>0.00%</t>
        </is>
      </c>
      <c r="I108" s="16" t="inlineStr">
        <is>
          <t>1,042,238</t>
        </is>
      </c>
      <c r="J108" s="16" t="n">
        <v>1</v>
      </c>
      <c r="K108" s="16" t="n">
        <v>0</v>
      </c>
      <c r="L108" s="16" t="inlineStr">
        <is>
          <t>14.10.2024 15:17:43</t>
        </is>
      </c>
      <c r="M108" s="18" t="inlineStr">
        <is>
          <t>0 sec</t>
        </is>
      </c>
      <c r="N108" s="16" t="inlineStr">
        <is>
          <t xml:space="preserve">        826K           826K           833K</t>
        </is>
      </c>
      <c r="O108" s="16" t="inlineStr">
        <is>
          <t>HmAgiwjjP9CXqK5wQNsHKtjAt2CH3Kv8Q7xH5kGL2nqZ</t>
        </is>
      </c>
      <c r="P108" s="16">
        <f>HYPERLINK("https://dexscreener.com/solana/HmAgiwjjP9CXqK5wQNsHKtjAt2CH3Kv8Q7xH5kGL2nqZ", "View")</f>
        <v/>
      </c>
    </row>
    <row r="109">
      <c r="A109" s="19" t="inlineStr">
        <is>
          <t>$RATi</t>
        </is>
      </c>
      <c r="B109" s="20" t="n">
        <v>6647023</v>
      </c>
      <c r="C109" s="20" t="n">
        <v>4521112</v>
      </c>
      <c r="D109" s="20" t="inlineStr">
        <is>
          <t>0.046710</t>
        </is>
      </c>
      <c r="E109" s="20" t="inlineStr">
        <is>
          <t>5.000 SOL</t>
        </is>
      </c>
      <c r="F109" s="20" t="inlineStr">
        <is>
          <t>8.394 SOL</t>
        </is>
      </c>
      <c r="G109" s="23" t="inlineStr">
        <is>
          <t>3.348 SOL</t>
        </is>
      </c>
      <c r="H109" s="23" t="inlineStr">
        <is>
          <t>66.33%</t>
        </is>
      </c>
      <c r="I109" s="20" t="inlineStr">
        <is>
          <t>N/A</t>
        </is>
      </c>
      <c r="J109" s="20" t="n">
        <v>1</v>
      </c>
      <c r="K109" s="20" t="n">
        <v>4</v>
      </c>
      <c r="L109" s="20" t="inlineStr">
        <is>
          <t>14.10.2024 10:19:21</t>
        </is>
      </c>
      <c r="M109" s="20" t="inlineStr">
        <is>
          <t>1 hours</t>
        </is>
      </c>
      <c r="N109" s="20" t="inlineStr">
        <is>
          <t xml:space="preserve">        132K           327K           245K</t>
        </is>
      </c>
      <c r="O109" s="20" t="inlineStr">
        <is>
          <t>Ci6Y1UX8bY4jxn6YiogJmdCxFEu2jmZhCcG65PStpump</t>
        </is>
      </c>
      <c r="P109" s="20">
        <f>HYPERLINK("https://dexscreener.com/solana/Ci6Y1UX8bY4jxn6YiogJmdCxFEu2jmZhCcG65PStpump", "View")</f>
        <v/>
      </c>
    </row>
    <row r="110">
      <c r="A110" s="15" t="inlineStr">
        <is>
          <t>Sophia</t>
        </is>
      </c>
      <c r="B110" s="16" t="n">
        <v>4226560</v>
      </c>
      <c r="C110" s="16" t="n">
        <v>0</v>
      </c>
      <c r="D110" s="16" t="inlineStr">
        <is>
          <t>0.006680</t>
        </is>
      </c>
      <c r="E110" s="16" t="inlineStr">
        <is>
          <t>5.000 SOL</t>
        </is>
      </c>
      <c r="F110" s="16" t="inlineStr">
        <is>
          <t>0.000 SOL</t>
        </is>
      </c>
      <c r="G110" s="17" t="inlineStr">
        <is>
          <t>-5.007 SOL</t>
        </is>
      </c>
      <c r="H110" s="17" t="inlineStr">
        <is>
          <t>0.00%</t>
        </is>
      </c>
      <c r="I110" s="16" t="inlineStr">
        <is>
          <t>4,226,560</t>
        </is>
      </c>
      <c r="J110" s="16" t="n">
        <v>1</v>
      </c>
      <c r="K110" s="16" t="n">
        <v>0</v>
      </c>
      <c r="L110" s="16" t="inlineStr">
        <is>
          <t>14.10.2024 09:32:54</t>
        </is>
      </c>
      <c r="M110" s="18" t="inlineStr">
        <is>
          <t>0 sec</t>
        </is>
      </c>
      <c r="N110" s="16" t="inlineStr">
        <is>
          <t xml:space="preserve">        207K           207K             7K</t>
        </is>
      </c>
      <c r="O110" s="16" t="inlineStr">
        <is>
          <t>9VhXzgWS9kveRVi8JQdf129nZha3Ugr7sZGmm9Dypump</t>
        </is>
      </c>
      <c r="P110" s="16">
        <f>HYPERLINK("https://dexscreener.com/solana/9VhXzgWS9kveRVi8JQdf129nZha3Ugr7sZGmm9Dypump", "View")</f>
        <v/>
      </c>
    </row>
    <row r="111">
      <c r="A111" s="19" t="inlineStr">
        <is>
          <t>BRAT</t>
        </is>
      </c>
      <c r="B111" s="20" t="n">
        <v>4691880</v>
      </c>
      <c r="C111" s="20" t="n">
        <v>0</v>
      </c>
      <c r="D111" s="20" t="inlineStr">
        <is>
          <t>0.005830</t>
        </is>
      </c>
      <c r="E111" s="20" t="inlineStr">
        <is>
          <t>4.995 SOL</t>
        </is>
      </c>
      <c r="F111" s="20" t="inlineStr">
        <is>
          <t>0.000 SOL</t>
        </is>
      </c>
      <c r="G111" s="17" t="inlineStr">
        <is>
          <t>-5.001 SOL</t>
        </is>
      </c>
      <c r="H111" s="17" t="inlineStr">
        <is>
          <t>0.00%</t>
        </is>
      </c>
      <c r="I111" s="20" t="inlineStr">
        <is>
          <t>4,691,880</t>
        </is>
      </c>
      <c r="J111" s="20" t="n">
        <v>1</v>
      </c>
      <c r="K111" s="20" t="n">
        <v>0</v>
      </c>
      <c r="L111" s="20" t="inlineStr">
        <is>
          <t>14.10.2024 08:03:29</t>
        </is>
      </c>
      <c r="M111" s="18" t="inlineStr">
        <is>
          <t>0 sec</t>
        </is>
      </c>
      <c r="N111" s="20" t="inlineStr">
        <is>
          <t xml:space="preserve">        186K           186K           244K</t>
        </is>
      </c>
      <c r="O111" s="20" t="inlineStr">
        <is>
          <t>8VyyhCLfAnUk7WFpYpMCYf4z9XU5vajNxcpLMe2H1ySj</t>
        </is>
      </c>
      <c r="P111" s="20">
        <f>HYPERLINK("https://dexscreener.com/solana/8VyyhCLfAnUk7WFpYpMCYf4z9XU5vajNxcpLMe2H1ySj", "View")</f>
        <v/>
      </c>
    </row>
    <row r="112">
      <c r="A112" s="15" t="inlineStr">
        <is>
          <t>ETH</t>
        </is>
      </c>
      <c r="B112" s="16" t="n">
        <v>1374890</v>
      </c>
      <c r="C112" s="16" t="n">
        <v>1374890</v>
      </c>
      <c r="D112" s="16" t="inlineStr">
        <is>
          <t>0.027260</t>
        </is>
      </c>
      <c r="E112" s="16" t="inlineStr">
        <is>
          <t>2.000 SOL</t>
        </is>
      </c>
      <c r="F112" s="16" t="inlineStr">
        <is>
          <t>0.068 SOL</t>
        </is>
      </c>
      <c r="G112" s="24" t="inlineStr">
        <is>
          <t>-1.960 SOL</t>
        </is>
      </c>
      <c r="H112" s="24" t="inlineStr">
        <is>
          <t>-96.67%</t>
        </is>
      </c>
      <c r="I112" s="16" t="inlineStr">
        <is>
          <t>N/A</t>
        </is>
      </c>
      <c r="J112" s="16" t="n">
        <v>2</v>
      </c>
      <c r="K112" s="16" t="n">
        <v>1</v>
      </c>
      <c r="L112" s="16" t="inlineStr">
        <is>
          <t>14.10.2024 05:38:52</t>
        </is>
      </c>
      <c r="M112" s="16" t="inlineStr">
        <is>
          <t>4 days</t>
        </is>
      </c>
      <c r="N112" s="16" t="inlineStr">
        <is>
          <t xml:space="preserve">        255K           256K             5K</t>
        </is>
      </c>
      <c r="O112" s="16" t="inlineStr">
        <is>
          <t>42vDma9pcccwMArUqGXLfCLsXBWiAumrzjZn2Ftapump</t>
        </is>
      </c>
      <c r="P112" s="16">
        <f>HYPERLINK("https://dexscreener.com/solana/42vDma9pcccwMArUqGXLfCLsXBWiAumrzjZn2Ftapump", "View")</f>
        <v/>
      </c>
    </row>
    <row r="113">
      <c r="A113" s="19" t="inlineStr">
        <is>
          <t>stoic</t>
        </is>
      </c>
      <c r="B113" s="20" t="n">
        <v>37874</v>
      </c>
      <c r="C113" s="20" t="n">
        <v>0</v>
      </c>
      <c r="D113" s="20" t="inlineStr">
        <is>
          <t>0.006710</t>
        </is>
      </c>
      <c r="E113" s="20" t="inlineStr">
        <is>
          <t>0.500 SOL</t>
        </is>
      </c>
      <c r="F113" s="20" t="inlineStr">
        <is>
          <t>0.000 SOL</t>
        </is>
      </c>
      <c r="G113" s="17" t="inlineStr">
        <is>
          <t>-0.507 SOL</t>
        </is>
      </c>
      <c r="H113" s="17" t="inlineStr">
        <is>
          <t>0.00%</t>
        </is>
      </c>
      <c r="I113" s="20" t="inlineStr">
        <is>
          <t>37,874</t>
        </is>
      </c>
      <c r="J113" s="20" t="n">
        <v>1</v>
      </c>
      <c r="K113" s="20" t="n">
        <v>0</v>
      </c>
      <c r="L113" s="20" t="inlineStr">
        <is>
          <t>11.10.2024 14:41:58</t>
        </is>
      </c>
      <c r="M113" s="18" t="inlineStr">
        <is>
          <t>0 sec</t>
        </is>
      </c>
      <c r="N113" s="20" t="inlineStr">
        <is>
          <t xml:space="preserve">          2M             2M           385K</t>
        </is>
      </c>
      <c r="O113" s="20" t="inlineStr">
        <is>
          <t>8TzfHZa6ZnvvGsQfnFC5wGrCiqbN9nD2KMjyabfrpump</t>
        </is>
      </c>
      <c r="P113" s="20">
        <f>HYPERLINK("https://dexscreener.com/solana/8TzfHZa6ZnvvGsQfnFC5wGrCiqbN9nD2KMjyabfrpump", "View")</f>
        <v/>
      </c>
    </row>
    <row r="114">
      <c r="A114" s="15" t="inlineStr">
        <is>
          <t>NiggaButt</t>
        </is>
      </c>
      <c r="B114" s="16" t="n">
        <v>17287</v>
      </c>
      <c r="C114" s="16" t="n">
        <v>0</v>
      </c>
      <c r="D114" s="16" t="inlineStr">
        <is>
          <t>0.013860</t>
        </is>
      </c>
      <c r="E114" s="16" t="inlineStr">
        <is>
          <t>1.010 SOL</t>
        </is>
      </c>
      <c r="F114" s="16" t="inlineStr">
        <is>
          <t>0.000 SOL</t>
        </is>
      </c>
      <c r="G114" s="17" t="inlineStr">
        <is>
          <t>-1.024 SOL</t>
        </is>
      </c>
      <c r="H114" s="17" t="inlineStr">
        <is>
          <t>0.00%</t>
        </is>
      </c>
      <c r="I114" s="16" t="inlineStr">
        <is>
          <t>17,287</t>
        </is>
      </c>
      <c r="J114" s="16" t="n">
        <v>2</v>
      </c>
      <c r="K114" s="16" t="n">
        <v>0</v>
      </c>
      <c r="L114" s="16" t="inlineStr">
        <is>
          <t>10.10.2024 10:52:38</t>
        </is>
      </c>
      <c r="M114" s="18" t="inlineStr">
        <is>
          <t>38 sec</t>
        </is>
      </c>
      <c r="N114" s="16" t="inlineStr">
        <is>
          <t xml:space="preserve">         10M            10M             7M</t>
        </is>
      </c>
      <c r="O114" s="16" t="inlineStr">
        <is>
          <t>8fZL148nnC168RAVCZh4PkjvMZmxMEfMLDhoziWVPnqf</t>
        </is>
      </c>
      <c r="P114" s="16">
        <f>HYPERLINK("https://dexscreener.com/solana/8fZL148nnC168RAVCZh4PkjvMZmxMEfMLDhoziWVPnqf", "View")</f>
        <v/>
      </c>
    </row>
    <row r="115">
      <c r="A115" s="19" t="inlineStr">
        <is>
          <t>BB</t>
        </is>
      </c>
      <c r="B115" s="20" t="n">
        <v>698358</v>
      </c>
      <c r="C115" s="20" t="n">
        <v>0</v>
      </c>
      <c r="D115" s="20" t="inlineStr">
        <is>
          <t>0.030020</t>
        </is>
      </c>
      <c r="E115" s="20" t="inlineStr">
        <is>
          <t>3.000 SOL</t>
        </is>
      </c>
      <c r="F115" s="20" t="inlineStr">
        <is>
          <t>0.000 SOL</t>
        </is>
      </c>
      <c r="G115" s="17" t="inlineStr">
        <is>
          <t>-3.030 SOL</t>
        </is>
      </c>
      <c r="H115" s="17" t="inlineStr">
        <is>
          <t>0.00%</t>
        </is>
      </c>
      <c r="I115" s="20" t="inlineStr">
        <is>
          <t>698,358</t>
        </is>
      </c>
      <c r="J115" s="20" t="n">
        <v>3</v>
      </c>
      <c r="K115" s="20" t="n">
        <v>0</v>
      </c>
      <c r="L115" s="20" t="inlineStr">
        <is>
          <t>10.10.2024 03:32:34</t>
        </is>
      </c>
      <c r="M115" s="18" t="inlineStr">
        <is>
          <t>1 sec</t>
        </is>
      </c>
      <c r="N115" s="20" t="inlineStr">
        <is>
          <t xml:space="preserve">        750K           760K           310K</t>
        </is>
      </c>
      <c r="O115" s="20" t="inlineStr">
        <is>
          <t>Fg4TfyY9WEp75QLkdoK936xNz656iEY2CHM6nnompump</t>
        </is>
      </c>
      <c r="P115" s="20">
        <f>HYPERLINK("https://dexscreener.com/solana/Fg4TfyY9WEp75QLkdoK936xNz656iEY2CHM6nnompump", "View")</f>
        <v/>
      </c>
    </row>
    <row r="116">
      <c r="A116" s="15" t="inlineStr">
        <is>
          <t>USA</t>
        </is>
      </c>
      <c r="B116" s="16" t="n">
        <v>63044</v>
      </c>
      <c r="C116" s="16" t="n">
        <v>0</v>
      </c>
      <c r="D116" s="16" t="inlineStr">
        <is>
          <t>0.007180</t>
        </is>
      </c>
      <c r="E116" s="16" t="inlineStr">
        <is>
          <t>0.001 SOL</t>
        </is>
      </c>
      <c r="F116" s="16" t="inlineStr">
        <is>
          <t>0.000 SOL</t>
        </is>
      </c>
      <c r="G116" s="17" t="inlineStr">
        <is>
          <t>-0.008 SOL</t>
        </is>
      </c>
      <c r="H116" s="17" t="inlineStr">
        <is>
          <t>0.00%</t>
        </is>
      </c>
      <c r="I116" s="16" t="inlineStr">
        <is>
          <t>63,044</t>
        </is>
      </c>
      <c r="J116" s="16" t="n">
        <v>1</v>
      </c>
      <c r="K116" s="16" t="n">
        <v>0</v>
      </c>
      <c r="L116" s="16" t="inlineStr">
        <is>
          <t>09.10.2024 16:42:32</t>
        </is>
      </c>
      <c r="M116" s="18" t="inlineStr">
        <is>
          <t>0 sec</t>
        </is>
      </c>
      <c r="N116" s="16" t="inlineStr">
        <is>
          <t xml:space="preserve">         41M            41M            27M</t>
        </is>
      </c>
      <c r="O116" s="16" t="inlineStr">
        <is>
          <t>69kdRLyP5DTRkpHraaSZAQbWmAwzF9guKjZfzMXzcbAs</t>
        </is>
      </c>
      <c r="P116" s="16">
        <f>HYPERLINK("https://dexscreener.com/solana/69kdRLyP5DTRkpHraaSZAQbWmAwzF9guKjZfzMXzcbAs", "View")</f>
        <v/>
      </c>
    </row>
    <row r="117">
      <c r="A117" s="19" t="inlineStr">
        <is>
          <t>SAWYER</t>
        </is>
      </c>
      <c r="B117" s="20" t="n">
        <v>43002145</v>
      </c>
      <c r="C117" s="20" t="n">
        <v>0</v>
      </c>
      <c r="D117" s="20" t="inlineStr">
        <is>
          <t>0.060030</t>
        </is>
      </c>
      <c r="E117" s="20" t="inlineStr">
        <is>
          <t>4.390 SOL</t>
        </is>
      </c>
      <c r="F117" s="20" t="inlineStr">
        <is>
          <t>0.000 SOL</t>
        </is>
      </c>
      <c r="G117" s="17" t="inlineStr">
        <is>
          <t>-4.450 SOL</t>
        </is>
      </c>
      <c r="H117" s="17" t="inlineStr">
        <is>
          <t>0.00%</t>
        </is>
      </c>
      <c r="I117" s="20" t="inlineStr">
        <is>
          <t>43,002,145</t>
        </is>
      </c>
      <c r="J117" s="20" t="n">
        <v>6</v>
      </c>
      <c r="K117" s="20" t="n">
        <v>0</v>
      </c>
      <c r="L117" s="20" t="inlineStr">
        <is>
          <t>08.10.2024 18:48:41</t>
        </is>
      </c>
      <c r="M117" s="20" t="inlineStr">
        <is>
          <t>1 hours</t>
        </is>
      </c>
      <c r="N117" s="20" t="inlineStr">
        <is>
          <t xml:space="preserve">        N/A           N/A           N/A</t>
        </is>
      </c>
      <c r="O117" s="20" t="inlineStr">
        <is>
          <t>GSyMmoZrdDLTVPBY5JHGnQygH1DCRLUES3V4KhrWpump</t>
        </is>
      </c>
      <c r="P117" s="20">
        <f>HYPERLINK("https://photon-sol.tinyastro.io/en/lp/GSyMmoZrdDLTVPBY5JHGnQygH1DCRLUES3V4KhrWpump?handle=676050794bc1b1657a56b", "View")</f>
        <v/>
      </c>
    </row>
    <row r="118">
      <c r="A118" s="15" t="inlineStr">
        <is>
          <t>TOPCAT</t>
        </is>
      </c>
      <c r="B118" s="16" t="n">
        <v>528266</v>
      </c>
      <c r="C118" s="16" t="n">
        <v>0</v>
      </c>
      <c r="D118" s="16" t="inlineStr">
        <is>
          <t>0.010010</t>
        </is>
      </c>
      <c r="E118" s="16" t="inlineStr">
        <is>
          <t>1.000 SOL</t>
        </is>
      </c>
      <c r="F118" s="16" t="inlineStr">
        <is>
          <t>0.000 SOL</t>
        </is>
      </c>
      <c r="G118" s="17" t="inlineStr">
        <is>
          <t>-1.010 SOL</t>
        </is>
      </c>
      <c r="H118" s="17" t="inlineStr">
        <is>
          <t>0.00%</t>
        </is>
      </c>
      <c r="I118" s="16" t="inlineStr">
        <is>
          <t>528,266</t>
        </is>
      </c>
      <c r="J118" s="16" t="n">
        <v>1</v>
      </c>
      <c r="K118" s="16" t="n">
        <v>0</v>
      </c>
      <c r="L118" s="16" t="inlineStr">
        <is>
          <t>08.10.2024 17:24:22</t>
        </is>
      </c>
      <c r="M118" s="18" t="inlineStr">
        <is>
          <t>0 sec</t>
        </is>
      </c>
      <c r="N118" s="16" t="inlineStr">
        <is>
          <t xml:space="preserve">        332K           332K            16K</t>
        </is>
      </c>
      <c r="O118" s="16" t="inlineStr">
        <is>
          <t>3vrC3YS5V7Dctb9VmETPKdJffKoVbtxo3ECQg98Spump</t>
        </is>
      </c>
      <c r="P118" s="16">
        <f>HYPERLINK("https://dexscreener.com/solana/3vrC3YS5V7Dctb9VmETPKdJffKoVbtxo3ECQg98Spump", "View")</f>
        <v/>
      </c>
    </row>
    <row r="119">
      <c r="A119" s="19" t="inlineStr">
        <is>
          <t>DMAGA</t>
        </is>
      </c>
      <c r="B119" s="20" t="n">
        <v>1647</v>
      </c>
      <c r="C119" s="20" t="n">
        <v>0</v>
      </c>
      <c r="D119" s="20" t="inlineStr">
        <is>
          <t>0.007180</t>
        </is>
      </c>
      <c r="E119" s="20" t="inlineStr">
        <is>
          <t>0.100 SOL</t>
        </is>
      </c>
      <c r="F119" s="20" t="inlineStr">
        <is>
          <t>0.000 SOL</t>
        </is>
      </c>
      <c r="G119" s="17" t="inlineStr">
        <is>
          <t>-0.107 SOL</t>
        </is>
      </c>
      <c r="H119" s="17" t="inlineStr">
        <is>
          <t>0.00%</t>
        </is>
      </c>
      <c r="I119" s="20" t="inlineStr">
        <is>
          <t>1,647</t>
        </is>
      </c>
      <c r="J119" s="20" t="n">
        <v>1</v>
      </c>
      <c r="K119" s="20" t="n">
        <v>0</v>
      </c>
      <c r="L119" s="20" t="inlineStr">
        <is>
          <t>08.10.2024 13:43:18</t>
        </is>
      </c>
      <c r="M119" s="18" t="inlineStr">
        <is>
          <t>0 sec</t>
        </is>
      </c>
      <c r="N119" s="20" t="inlineStr">
        <is>
          <t xml:space="preserve">         11M            11M             7M</t>
        </is>
      </c>
      <c r="O119" s="20" t="inlineStr">
        <is>
          <t>7D7BRcBYepfi77vxySapmeqRNN1wsBBxnFPJGbH5pump</t>
        </is>
      </c>
      <c r="P119" s="20">
        <f>HYPERLINK("https://dexscreener.com/solana/7D7BRcBYepfi77vxySapmeqRNN1wsBBxnFPJGbH5pump", "View")</f>
        <v/>
      </c>
    </row>
    <row r="120">
      <c r="A120" s="15" t="inlineStr">
        <is>
          <t>Azizi</t>
        </is>
      </c>
      <c r="B120" s="16" t="n">
        <v>3439462</v>
      </c>
      <c r="C120" s="16" t="n">
        <v>0</v>
      </c>
      <c r="D120" s="16" t="inlineStr">
        <is>
          <t>0.040020</t>
        </is>
      </c>
      <c r="E120" s="16" t="inlineStr">
        <is>
          <t>4.000 SOL</t>
        </is>
      </c>
      <c r="F120" s="16" t="inlineStr">
        <is>
          <t>0.000 SOL</t>
        </is>
      </c>
      <c r="G120" s="17" t="inlineStr">
        <is>
          <t>-4.040 SOL</t>
        </is>
      </c>
      <c r="H120" s="17" t="inlineStr">
        <is>
          <t>0.00%</t>
        </is>
      </c>
      <c r="I120" s="16" t="inlineStr">
        <is>
          <t>3,439,462</t>
        </is>
      </c>
      <c r="J120" s="16" t="n">
        <v>4</v>
      </c>
      <c r="K120" s="16" t="n">
        <v>0</v>
      </c>
      <c r="L120" s="16" t="inlineStr">
        <is>
          <t>08.10.2024 11:36:18</t>
        </is>
      </c>
      <c r="M120" s="16" t="inlineStr">
        <is>
          <t>1 days</t>
        </is>
      </c>
      <c r="N120" s="16" t="inlineStr">
        <is>
          <t xml:space="preserve">        183K           297K            36K</t>
        </is>
      </c>
      <c r="O120" s="16" t="inlineStr">
        <is>
          <t>4LDT8u5BcVf2acdWJsqz45yaFsXBCsjY79ERLXX6pump</t>
        </is>
      </c>
      <c r="P120" s="16">
        <f>HYPERLINK("https://dexscreener.com/solana/4LDT8u5BcVf2acdWJsqz45yaFsXBCsjY79ERLXX6pump", "View")</f>
        <v/>
      </c>
    </row>
    <row r="121">
      <c r="A121" s="19" t="inlineStr">
        <is>
          <t>Aqua</t>
        </is>
      </c>
      <c r="B121" s="20" t="n">
        <v>581854</v>
      </c>
      <c r="C121" s="20" t="n">
        <v>0</v>
      </c>
      <c r="D121" s="20" t="inlineStr">
        <is>
          <t>0.020010</t>
        </is>
      </c>
      <c r="E121" s="20" t="inlineStr">
        <is>
          <t>1.010 SOL</t>
        </is>
      </c>
      <c r="F121" s="20" t="inlineStr">
        <is>
          <t>0.000 SOL</t>
        </is>
      </c>
      <c r="G121" s="17" t="inlineStr">
        <is>
          <t>-1.030 SOL</t>
        </is>
      </c>
      <c r="H121" s="17" t="inlineStr">
        <is>
          <t>0.00%</t>
        </is>
      </c>
      <c r="I121" s="20" t="inlineStr">
        <is>
          <t>581,854</t>
        </is>
      </c>
      <c r="J121" s="20" t="n">
        <v>2</v>
      </c>
      <c r="K121" s="20" t="n">
        <v>0</v>
      </c>
      <c r="L121" s="20" t="inlineStr">
        <is>
          <t>08.10.2024 09:26:13</t>
        </is>
      </c>
      <c r="M121" s="18" t="inlineStr">
        <is>
          <t>34 sec</t>
        </is>
      </c>
      <c r="N121" s="20" t="inlineStr">
        <is>
          <t xml:space="preserve">        303K           305K           187K</t>
        </is>
      </c>
      <c r="O121" s="20" t="inlineStr">
        <is>
          <t>5mXAnC2LWxvNF6und1Mokrv4WnPDP9uxzRsyWATYpump</t>
        </is>
      </c>
      <c r="P121" s="20">
        <f>HYPERLINK("https://dexscreener.com/solana/5mXAnC2LWxvNF6und1Mokrv4WnPDP9uxzRsyWATYpump", "View")</f>
        <v/>
      </c>
    </row>
    <row r="122">
      <c r="A122" s="15" t="inlineStr">
        <is>
          <t>IRIS</t>
        </is>
      </c>
      <c r="B122" s="16" t="n">
        <v>1710910</v>
      </c>
      <c r="C122" s="16" t="n">
        <v>0</v>
      </c>
      <c r="D122" s="16" t="inlineStr">
        <is>
          <t>0.010010</t>
        </is>
      </c>
      <c r="E122" s="16" t="inlineStr">
        <is>
          <t>0.500 SOL</t>
        </is>
      </c>
      <c r="F122" s="16" t="inlineStr">
        <is>
          <t>0.000 SOL</t>
        </is>
      </c>
      <c r="G122" s="17" t="inlineStr">
        <is>
          <t>-0.510 SOL</t>
        </is>
      </c>
      <c r="H122" s="17" t="inlineStr">
        <is>
          <t>0.00%</t>
        </is>
      </c>
      <c r="I122" s="16" t="inlineStr">
        <is>
          <t>1,710,910</t>
        </is>
      </c>
      <c r="J122" s="16" t="n">
        <v>1</v>
      </c>
      <c r="K122" s="16" t="n">
        <v>0</v>
      </c>
      <c r="L122" s="16" t="inlineStr">
        <is>
          <t>07.10.2024 14:22:32</t>
        </is>
      </c>
      <c r="M122" s="18" t="inlineStr">
        <is>
          <t>0 sec</t>
        </is>
      </c>
      <c r="N122" s="16" t="inlineStr">
        <is>
          <t xml:space="preserve">         46K            46K            21K</t>
        </is>
      </c>
      <c r="O122" s="16" t="inlineStr">
        <is>
          <t>CcqND4YtwSqDDTkF4Y3TTWauVC28iJxFYaJiaJtpE5xd</t>
        </is>
      </c>
      <c r="P122" s="16">
        <f>HYPERLINK("https://dexscreener.com/solana/CcqND4YtwSqDDTkF4Y3TTWauVC28iJxFYaJiaJtpE5xd", "View")</f>
        <v/>
      </c>
    </row>
    <row r="123">
      <c r="A123" s="19" t="inlineStr">
        <is>
          <t>PRINCE</t>
        </is>
      </c>
      <c r="B123" s="20" t="n">
        <v>949946</v>
      </c>
      <c r="C123" s="20" t="n">
        <v>0</v>
      </c>
      <c r="D123" s="20" t="inlineStr">
        <is>
          <t>0.030020</t>
        </is>
      </c>
      <c r="E123" s="20" t="inlineStr">
        <is>
          <t>10.956 SOL</t>
        </is>
      </c>
      <c r="F123" s="20" t="inlineStr">
        <is>
          <t>0.000 SOL</t>
        </is>
      </c>
      <c r="G123" s="17" t="inlineStr">
        <is>
          <t>-10.986 SOL</t>
        </is>
      </c>
      <c r="H123" s="17" t="inlineStr">
        <is>
          <t>0.00%</t>
        </is>
      </c>
      <c r="I123" s="20" t="inlineStr">
        <is>
          <t>949,946</t>
        </is>
      </c>
      <c r="J123" s="20" t="n">
        <v>3</v>
      </c>
      <c r="K123" s="20" t="n">
        <v>0</v>
      </c>
      <c r="L123" s="20" t="inlineStr">
        <is>
          <t>07.10.2024 12:37:25</t>
        </is>
      </c>
      <c r="M123" s="18" t="inlineStr">
        <is>
          <t>28 sec</t>
        </is>
      </c>
      <c r="N123" s="20" t="inlineStr">
        <is>
          <t xml:space="preserve">          2M             2M           482K</t>
        </is>
      </c>
      <c r="O123" s="20" t="inlineStr">
        <is>
          <t>KoZjLMcHt39CtsDPngWVTewMoKVgFuEUVsqMZUkpeze</t>
        </is>
      </c>
      <c r="P123" s="20">
        <f>HYPERLINK("https://dexscreener.com/solana/KoZjLMcHt39CtsDPngWVTewMoKVgFuEUVsqMZUkpeze", "View")</f>
        <v/>
      </c>
    </row>
    <row r="124">
      <c r="A124" s="15" t="inlineStr">
        <is>
          <t>SEND</t>
        </is>
      </c>
      <c r="B124" s="16" t="n">
        <v>685646</v>
      </c>
      <c r="C124" s="16" t="n">
        <v>0</v>
      </c>
      <c r="D124" s="16" t="inlineStr">
        <is>
          <t>0.049930</t>
        </is>
      </c>
      <c r="E124" s="16" t="inlineStr">
        <is>
          <t>20.994 SOL</t>
        </is>
      </c>
      <c r="F124" s="16" t="inlineStr">
        <is>
          <t>0.000 SOL</t>
        </is>
      </c>
      <c r="G124" s="17" t="inlineStr">
        <is>
          <t>-21.044 SOL</t>
        </is>
      </c>
      <c r="H124" s="17" t="inlineStr">
        <is>
          <t>0.00%</t>
        </is>
      </c>
      <c r="I124" s="16" t="inlineStr">
        <is>
          <t>685,646</t>
        </is>
      </c>
      <c r="J124" s="16" t="n">
        <v>9</v>
      </c>
      <c r="K124" s="16" t="n">
        <v>0</v>
      </c>
      <c r="L124" s="16" t="inlineStr">
        <is>
          <t>07.10.2024 09:19:03</t>
        </is>
      </c>
      <c r="M124" s="16" t="inlineStr">
        <is>
          <t>8 min</t>
        </is>
      </c>
      <c r="N124" s="16" t="inlineStr">
        <is>
          <t xml:space="preserve">          5M             5M             2M</t>
        </is>
      </c>
      <c r="O124" s="16" t="inlineStr">
        <is>
          <t>SENDdRQtYMWaQrBroBrJ2Q53fgVuq95CV9UPGEvpCxa</t>
        </is>
      </c>
      <c r="P124" s="16">
        <f>HYPERLINK("https://dexscreener.com/solana/SENDdRQtYMWaQrBroBrJ2Q53fgVuq95CV9UPGEvpCxa", "View")</f>
        <v/>
      </c>
    </row>
    <row r="125">
      <c r="A125" s="19" t="inlineStr">
        <is>
          <t>MOODENG</t>
        </is>
      </c>
      <c r="B125" s="20" t="n">
        <v>1192</v>
      </c>
      <c r="C125" s="20" t="n">
        <v>0</v>
      </c>
      <c r="D125" s="20" t="inlineStr">
        <is>
          <t>0.010010</t>
        </is>
      </c>
      <c r="E125" s="20" t="inlineStr">
        <is>
          <t>1.000 SOL</t>
        </is>
      </c>
      <c r="F125" s="20" t="inlineStr">
        <is>
          <t>0.000 SOL</t>
        </is>
      </c>
      <c r="G125" s="17" t="inlineStr">
        <is>
          <t>-1.010 SOL</t>
        </is>
      </c>
      <c r="H125" s="17" t="inlineStr">
        <is>
          <t>0.00%</t>
        </is>
      </c>
      <c r="I125" s="20" t="inlineStr">
        <is>
          <t>1,192</t>
        </is>
      </c>
      <c r="J125" s="20" t="n">
        <v>1</v>
      </c>
      <c r="K125" s="20" t="n">
        <v>0</v>
      </c>
      <c r="L125" s="20" t="inlineStr">
        <is>
          <t>07.10.2024 08:11:29</t>
        </is>
      </c>
      <c r="M125" s="18" t="inlineStr">
        <is>
          <t>0 sec</t>
        </is>
      </c>
      <c r="N125" s="20" t="inlineStr">
        <is>
          <t xml:space="preserve">        146M           146M           228M</t>
        </is>
      </c>
      <c r="O125" s="20" t="inlineStr">
        <is>
          <t>ED5nyyWEzpPPiWimP8vYm7sD7TD3LAt3Q3gRTWHzPJBY</t>
        </is>
      </c>
      <c r="P125" s="20">
        <f>HYPERLINK("https://dexscreener.com/solana/ED5nyyWEzpPPiWimP8vYm7sD7TD3LAt3Q3gRTWHzPJBY", "View")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306"/>
  <sheetViews>
    <sheetView workbookViewId="0">
      <selection activeCell="A1" sqref="A1"/>
    </sheetView>
  </sheetViews>
  <sheetFormatPr baseColWidth="8" defaultRowHeight="15"/>
  <cols>
    <col width="46" customWidth="1" min="1" max="1"/>
    <col width="17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HYPERLINK("https://gmgn.ai/sol/address/2CXbN6nuTTb4vCrtYM89SfQHMMKGPAW4mvFe6Ht4Yo6z", "GMGN")</f>
        <v/>
      </c>
    </row>
    <row r="2">
      <c r="A2" s="3" t="inlineStr">
        <is>
          <t>2CXbN6nuTTb4vCrtYM89SfQHMMKGPAW4mvFe6Ht4Yo6z</t>
        </is>
      </c>
      <c r="B2" s="3" t="inlineStr">
        <is>
          <t>582.00 SOL</t>
        </is>
      </c>
      <c r="C2" s="3" t="inlineStr">
        <is>
          <t>78%</t>
        </is>
      </c>
      <c r="D2" s="3" t="inlineStr">
        <is>
          <t>61%</t>
        </is>
      </c>
      <c r="E2" s="3" t="inlineStr">
        <is>
          <t>1735.63 SOL</t>
        </is>
      </c>
      <c r="F2" s="3" t="inlineStr">
        <is>
          <t>120 (42%)</t>
        </is>
      </c>
      <c r="G2" s="3" t="inlineStr">
        <is>
          <t>4 (1%)</t>
        </is>
      </c>
      <c r="H2" s="3" t="n">
        <v>287</v>
      </c>
      <c r="I2" s="3" t="n">
        <v>1</v>
      </c>
      <c r="J2" s="3" t="inlineStr">
        <is>
          <t>79 days</t>
        </is>
      </c>
      <c r="K2" s="3" t="inlineStr">
        <is>
          <t>1 min</t>
        </is>
      </c>
      <c r="L2" s="3" t="n">
        <v>181</v>
      </c>
      <c r="M2" s="3" t="n">
        <v>713</v>
      </c>
      <c r="N2" s="3">
        <f>HYPERLINK("https://solscan.io/account/2CXbN6nuTTb4vCrtYM89SfQHMMKGPAW4mvFe6Ht4Yo6z", "Solscan")</f>
        <v/>
      </c>
    </row>
    <row r="3">
      <c r="A3" s="6" t="inlineStr">
        <is>
          <t>Median ROI</t>
        </is>
      </c>
      <c r="B3" s="4" t="inlineStr">
        <is>
          <t>32.24%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HYPERLINK("https://birdeye.so/profile/2CXbN6nuTTb4vCrtYM89SfQHMMKGPAW4mvFe6Ht4Yo6z", "Birdeye")</f>
        <v/>
      </c>
    </row>
    <row r="4">
      <c r="A4" s="6" t="inlineStr">
        <is>
          <t>Rockets percent</t>
        </is>
      </c>
      <c r="B4" s="3" t="inlineStr">
        <is>
          <t>18%</t>
        </is>
      </c>
      <c r="C4" s="3" t="inlineStr"/>
      <c r="D4" s="3" t="inlineStr">
        <is>
          <t>0%</t>
        </is>
      </c>
      <c r="E4" s="3" t="inlineStr">
        <is>
          <t>6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133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1.3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10</v>
      </c>
      <c r="C10" s="6" t="n">
        <v>42</v>
      </c>
      <c r="D10" s="6" t="n">
        <v>48</v>
      </c>
      <c r="E10" s="6" t="n">
        <v>123</v>
      </c>
      <c r="F10" s="6" t="n">
        <v>53</v>
      </c>
      <c r="G10" s="6" t="n">
        <v>11</v>
      </c>
      <c r="H10" s="3" t="n"/>
      <c r="I10" s="3" t="inlineStr">
        <is>
          <t>&lt;5k</t>
        </is>
      </c>
      <c r="J10" s="3" t="inlineStr">
        <is>
          <t>1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3.5%</t>
        </is>
      </c>
      <c r="C11" s="6" t="inlineStr">
        <is>
          <t>14.6%</t>
        </is>
      </c>
      <c r="D11" s="6" t="inlineStr">
        <is>
          <t>16.7%</t>
        </is>
      </c>
      <c r="E11" s="6" t="inlineStr">
        <is>
          <t>42.9%</t>
        </is>
      </c>
      <c r="F11" s="6" t="inlineStr">
        <is>
          <t>18.5%</t>
        </is>
      </c>
      <c r="G11" s="6" t="inlineStr">
        <is>
          <t>3.8%</t>
        </is>
      </c>
      <c r="H11" s="3" t="n"/>
      <c r="I11" s="3" t="inlineStr">
        <is>
          <t>5k-30k</t>
        </is>
      </c>
      <c r="J11" s="3" t="inlineStr">
        <is>
          <t>136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749.0 SOL</t>
        </is>
      </c>
      <c r="C12" s="6" t="inlineStr">
        <is>
          <t>587.1 SOL</t>
        </is>
      </c>
      <c r="D12" s="6" t="inlineStr">
        <is>
          <t>310.3 SOL</t>
        </is>
      </c>
      <c r="E12" s="6" t="inlineStr">
        <is>
          <t>274.9 SOL</t>
        </is>
      </c>
      <c r="F12" s="6" t="inlineStr">
        <is>
          <t>-123.9 SOL</t>
        </is>
      </c>
      <c r="G12" s="6" t="inlineStr">
        <is>
          <t>-61.7 SOL</t>
        </is>
      </c>
      <c r="H12" s="3" t="n"/>
      <c r="I12" s="3" t="inlineStr">
        <is>
          <t>30k-100k</t>
        </is>
      </c>
      <c r="J12" s="3" t="inlineStr">
        <is>
          <t>37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26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17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18.0K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COZI</t>
        </is>
      </c>
      <c r="B20" s="16" t="n">
        <v>82387768</v>
      </c>
      <c r="C20" s="16" t="n">
        <v>82387768</v>
      </c>
      <c r="D20" s="16" t="inlineStr">
        <is>
          <t>0.000690</t>
        </is>
      </c>
      <c r="E20" s="16" t="inlineStr">
        <is>
          <t>10.605 SOL</t>
        </is>
      </c>
      <c r="F20" s="16" t="inlineStr">
        <is>
          <t>21.986 SOL</t>
        </is>
      </c>
      <c r="G20" s="23" t="inlineStr">
        <is>
          <t>11.380 SOL</t>
        </is>
      </c>
      <c r="H20" s="23" t="inlineStr">
        <is>
          <t>107.30%</t>
        </is>
      </c>
      <c r="I20" s="16" t="inlineStr">
        <is>
          <t>N/A</t>
        </is>
      </c>
      <c r="J20" s="16" t="n">
        <v>2</v>
      </c>
      <c r="K20" s="16" t="n">
        <v>1</v>
      </c>
      <c r="L20" s="16" t="inlineStr">
        <is>
          <t>30.10.2024 20:45:05</t>
        </is>
      </c>
      <c r="M20" s="16" t="inlineStr">
        <is>
          <t>7 min</t>
        </is>
      </c>
      <c r="N20" s="16" t="inlineStr">
        <is>
          <t xml:space="preserve">         16K            47K             6K</t>
        </is>
      </c>
      <c r="O20" s="16" t="inlineStr">
        <is>
          <t>6hFjkjquUUbULbRV7uYNL9SDxWmPzuzebyicCP8ppump</t>
        </is>
      </c>
      <c r="P20" s="16">
        <f>HYPERLINK("https://photon-sol.tinyastro.io/en/lp/6hFjkjquUUbULbRV7uYNL9SDxWmPzuzebyicCP8ppump?handle=676050794bc1b1657a56b", "View")</f>
        <v/>
      </c>
    </row>
    <row r="21">
      <c r="A21" s="19" t="inlineStr">
        <is>
          <t>Anime</t>
        </is>
      </c>
      <c r="B21" s="20" t="n">
        <v>260961903</v>
      </c>
      <c r="C21" s="20" t="n">
        <v>260961903</v>
      </c>
      <c r="D21" s="20" t="inlineStr">
        <is>
          <t>0.000460</t>
        </is>
      </c>
      <c r="E21" s="20" t="inlineStr">
        <is>
          <t>10.192 SOL</t>
        </is>
      </c>
      <c r="F21" s="20" t="inlineStr">
        <is>
          <t>11.281 SOL</t>
        </is>
      </c>
      <c r="G21" s="22" t="inlineStr">
        <is>
          <t>1.088 SOL</t>
        </is>
      </c>
      <c r="H21" s="22" t="inlineStr">
        <is>
          <t>10.68%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08:26:27</t>
        </is>
      </c>
      <c r="M21" s="18" t="inlineStr">
        <is>
          <t>9 sec</t>
        </is>
      </c>
      <c r="N21" s="20" t="inlineStr">
        <is>
          <t xml:space="preserve">          7K             7K             5K</t>
        </is>
      </c>
      <c r="O21" s="20" t="inlineStr">
        <is>
          <t>C8nxegQkoNnGh1NxGmMniHmYJcxCdDDsNyuzcLwmpump</t>
        </is>
      </c>
      <c r="P21" s="20">
        <f>HYPERLINK("https://photon-sol.tinyastro.io/en/lp/C8nxegQkoNnGh1NxGmMniHmYJcxCdDDsNyuzcLwmpump?handle=676050794bc1b1657a56b", "View")</f>
        <v/>
      </c>
    </row>
    <row r="22">
      <c r="A22" s="15" t="inlineStr">
        <is>
          <t>CHILEAN</t>
        </is>
      </c>
      <c r="B22" s="16" t="n">
        <v>51406178</v>
      </c>
      <c r="C22" s="16" t="n">
        <v>51406178</v>
      </c>
      <c r="D22" s="16" t="inlineStr">
        <is>
          <t>0.001150</t>
        </is>
      </c>
      <c r="E22" s="16" t="inlineStr">
        <is>
          <t>8.997 SOL</t>
        </is>
      </c>
      <c r="F22" s="16" t="inlineStr">
        <is>
          <t>11.608 SOL</t>
        </is>
      </c>
      <c r="G22" s="22" t="inlineStr">
        <is>
          <t>2.610 SOL</t>
        </is>
      </c>
      <c r="H22" s="22" t="inlineStr">
        <is>
          <t>29.00%</t>
        </is>
      </c>
      <c r="I22" s="16" t="inlineStr">
        <is>
          <t>N/A</t>
        </is>
      </c>
      <c r="J22" s="16" t="n">
        <v>3</v>
      </c>
      <c r="K22" s="16" t="n">
        <v>2</v>
      </c>
      <c r="L22" s="16" t="inlineStr">
        <is>
          <t>30.10.2024 07:47:38</t>
        </is>
      </c>
      <c r="M22" s="16" t="inlineStr">
        <is>
          <t>37 min</t>
        </is>
      </c>
      <c r="N22" s="16" t="inlineStr">
        <is>
          <t xml:space="preserve">         54K            26K             7K</t>
        </is>
      </c>
      <c r="O22" s="16" t="inlineStr">
        <is>
          <t>F9rhG8StmrcKiDgaUMdfuBnG1hag1sysBCT1KufZpump</t>
        </is>
      </c>
      <c r="P22" s="16">
        <f>HYPERLINK("https://photon-sol.tinyastro.io/en/lp/F9rhG8StmrcKiDgaUMdfuBnG1hag1sysBCT1KufZpump?handle=676050794bc1b1657a56b", "View")</f>
        <v/>
      </c>
    </row>
    <row r="23">
      <c r="A23" s="19" t="inlineStr">
        <is>
          <t>Gunner</t>
        </is>
      </c>
      <c r="B23" s="20" t="n">
        <v>355591874</v>
      </c>
      <c r="C23" s="20" t="n">
        <v>355591874</v>
      </c>
      <c r="D23" s="20" t="inlineStr">
        <is>
          <t>0.001380</t>
        </is>
      </c>
      <c r="E23" s="20" t="inlineStr">
        <is>
          <t>13.066 SOL</t>
        </is>
      </c>
      <c r="F23" s="20" t="inlineStr">
        <is>
          <t>15.726 SOL</t>
        </is>
      </c>
      <c r="G23" s="22" t="inlineStr">
        <is>
          <t>2.659 SOL</t>
        </is>
      </c>
      <c r="H23" s="22" t="inlineStr">
        <is>
          <t>20.35%</t>
        </is>
      </c>
      <c r="I23" s="20" t="inlineStr">
        <is>
          <t>N/A</t>
        </is>
      </c>
      <c r="J23" s="20" t="n">
        <v>3</v>
      </c>
      <c r="K23" s="20" t="n">
        <v>3</v>
      </c>
      <c r="L23" s="20" t="inlineStr">
        <is>
          <t>30.10.2024 06:02:01</t>
        </is>
      </c>
      <c r="M23" s="20" t="inlineStr">
        <is>
          <t>33 min</t>
        </is>
      </c>
      <c r="N23" s="20" t="inlineStr">
        <is>
          <t xml:space="preserve">          7K             5K             4K</t>
        </is>
      </c>
      <c r="O23" s="20" t="inlineStr">
        <is>
          <t>2YdzsERTXgp5cPfTFRF4oey3eYEf77FzcS89KqmUpump</t>
        </is>
      </c>
      <c r="P23" s="20">
        <f>HYPERLINK("https://photon-sol.tinyastro.io/en/lp/2YdzsERTXgp5cPfTFRF4oey3eYEf77FzcS89KqmUpump?handle=676050794bc1b1657a56b", "View")</f>
        <v/>
      </c>
    </row>
    <row r="24">
      <c r="A24" s="15" t="inlineStr">
        <is>
          <t>Halloween</t>
        </is>
      </c>
      <c r="B24" s="16" t="n">
        <v>153195431</v>
      </c>
      <c r="C24" s="16" t="n">
        <v>153195431</v>
      </c>
      <c r="D24" s="16" t="inlineStr">
        <is>
          <t>0.000460</t>
        </is>
      </c>
      <c r="E24" s="16" t="inlineStr">
        <is>
          <t>5.097 SOL</t>
        </is>
      </c>
      <c r="F24" s="16" t="inlineStr">
        <is>
          <t>9.401 SOL</t>
        </is>
      </c>
      <c r="G24" s="23" t="inlineStr">
        <is>
          <t>4.304 SOL</t>
        </is>
      </c>
      <c r="H24" s="23" t="inlineStr">
        <is>
          <t>84.42%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05:51:32</t>
        </is>
      </c>
      <c r="M24" s="18" t="inlineStr">
        <is>
          <t>9 sec</t>
        </is>
      </c>
      <c r="N24" s="16" t="inlineStr">
        <is>
          <t xml:space="preserve">          5K            11K             5K</t>
        </is>
      </c>
      <c r="O24" s="16" t="inlineStr">
        <is>
          <t>GjqXYDtwubBdzAZrK59PChBLzzKxuQnuNTCBqq7Spump</t>
        </is>
      </c>
      <c r="P24" s="16">
        <f>HYPERLINK("https://photon-sol.tinyastro.io/en/lp/GjqXYDtwubBdzAZrK59PChBLzzKxuQnuNTCBqq7Spump?handle=676050794bc1b1657a56b", "View")</f>
        <v/>
      </c>
    </row>
    <row r="25">
      <c r="A25" s="19" t="inlineStr">
        <is>
          <t>?dog</t>
        </is>
      </c>
      <c r="B25" s="20" t="n">
        <v>261154834</v>
      </c>
      <c r="C25" s="20" t="n">
        <v>261154834</v>
      </c>
      <c r="D25" s="20" t="inlineStr">
        <is>
          <t>0.000460</t>
        </is>
      </c>
      <c r="E25" s="20" t="inlineStr">
        <is>
          <t>10.192 SOL</t>
        </is>
      </c>
      <c r="F25" s="20" t="inlineStr">
        <is>
          <t>11.446 SOL</t>
        </is>
      </c>
      <c r="G25" s="22" t="inlineStr">
        <is>
          <t>1.254 SOL</t>
        </is>
      </c>
      <c r="H25" s="22" t="inlineStr">
        <is>
          <t>12.30%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30.10.2024 05:16:05</t>
        </is>
      </c>
      <c r="M25" s="18" t="inlineStr">
        <is>
          <t>9 sec</t>
        </is>
      </c>
      <c r="N25" s="20" t="inlineStr">
        <is>
          <t xml:space="preserve">          7K             7K             5K</t>
        </is>
      </c>
      <c r="O25" s="20" t="inlineStr">
        <is>
          <t>8qKhYQUrDC4qZ5jufYMaYW6rPfRAdiUEEfc4vGfpump</t>
        </is>
      </c>
      <c r="P25" s="20">
        <f>HYPERLINK("https://photon-sol.tinyastro.io/en/lp/8qKhYQUrDC4qZ5jufYMaYW6rPfRAdiUEEfc4vGfpump?handle=676050794bc1b1657a56b", "View")</f>
        <v/>
      </c>
    </row>
    <row r="26">
      <c r="A26" s="15" t="inlineStr">
        <is>
          <t>Félicette</t>
        </is>
      </c>
      <c r="B26" s="16" t="n">
        <v>31216426</v>
      </c>
      <c r="C26" s="16" t="n">
        <v>41216426</v>
      </c>
      <c r="D26" s="16" t="inlineStr">
        <is>
          <t>0.000460</t>
        </is>
      </c>
      <c r="E26" s="16" t="inlineStr">
        <is>
          <t>3.294 SOL</t>
        </is>
      </c>
      <c r="F26" s="16" t="inlineStr">
        <is>
          <t>25.905 SOL</t>
        </is>
      </c>
      <c r="G26" s="23" t="inlineStr">
        <is>
          <t>22.611 SOL</t>
        </is>
      </c>
      <c r="H26" s="23" t="inlineStr">
        <is>
          <t>686.33%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30.10.2024 05:03:25</t>
        </is>
      </c>
      <c r="M26" s="16" t="inlineStr">
        <is>
          <t>30 min</t>
        </is>
      </c>
      <c r="N26" s="16" t="inlineStr">
        <is>
          <t xml:space="preserve">         19K           111K             5K</t>
        </is>
      </c>
      <c r="O26" s="16" t="inlineStr">
        <is>
          <t>omPwhhB8qZysrvP72VESvFwuqimcFSF6pkSNj94pump</t>
        </is>
      </c>
      <c r="P26" s="16">
        <f>HYPERLINK("https://photon-sol.tinyastro.io/en/lp/omPwhhB8qZysrvP72VESvFwuqimcFSF6pkSNj94pump?handle=676050794bc1b1657a56b", "View")</f>
        <v/>
      </c>
    </row>
    <row r="27">
      <c r="A27" s="19" t="inlineStr">
        <is>
          <t>Ð</t>
        </is>
      </c>
      <c r="B27" s="20" t="n">
        <v>116147938</v>
      </c>
      <c r="C27" s="20" t="n">
        <v>116147938</v>
      </c>
      <c r="D27" s="20" t="inlineStr">
        <is>
          <t>0.000460</t>
        </is>
      </c>
      <c r="E27" s="20" t="inlineStr">
        <is>
          <t>5.000 SOL</t>
        </is>
      </c>
      <c r="F27" s="20" t="inlineStr">
        <is>
          <t>6.718 SOL</t>
        </is>
      </c>
      <c r="G27" s="22" t="inlineStr">
        <is>
          <t>1.718 SOL</t>
        </is>
      </c>
      <c r="H27" s="22" t="inlineStr">
        <is>
          <t>34.35%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30.10.2024 04:27:46</t>
        </is>
      </c>
      <c r="M27" s="18" t="inlineStr">
        <is>
          <t>19 sec</t>
        </is>
      </c>
      <c r="N27" s="20" t="inlineStr">
        <is>
          <t xml:space="preserve">          7K            11K             3K</t>
        </is>
      </c>
      <c r="O27" s="20" t="inlineStr">
        <is>
          <t>HsUVp7pDKQVehf2gWCKdQRkEDZpfzMZ9khj5K3nrpump</t>
        </is>
      </c>
      <c r="P27" s="20">
        <f>HYPERLINK("https://dexscreener.com/solana/HsUVp7pDKQVehf2gWCKdQRkEDZpfzMZ9khj5K3nrpump", "View")</f>
        <v/>
      </c>
    </row>
    <row r="28">
      <c r="A28" s="15" t="inlineStr">
        <is>
          <t>HOLY6900</t>
        </is>
      </c>
      <c r="B28" s="16" t="n">
        <v>434081040</v>
      </c>
      <c r="C28" s="16" t="n">
        <v>434094840</v>
      </c>
      <c r="D28" s="16" t="inlineStr">
        <is>
          <t>0.000460</t>
        </is>
      </c>
      <c r="E28" s="16" t="inlineStr">
        <is>
          <t>20.000 SOL</t>
        </is>
      </c>
      <c r="F28" s="16" t="inlineStr">
        <is>
          <t>27.811 SOL</t>
        </is>
      </c>
      <c r="G28" s="22" t="inlineStr">
        <is>
          <t>7.811 SOL</t>
        </is>
      </c>
      <c r="H28" s="22" t="inlineStr">
        <is>
          <t>39.05%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30.10.2024 04:18:28</t>
        </is>
      </c>
      <c r="M28" s="18" t="inlineStr">
        <is>
          <t>7 sec</t>
        </is>
      </c>
      <c r="N28" s="16" t="inlineStr">
        <is>
          <t xml:space="preserve">          9K            11K             5K</t>
        </is>
      </c>
      <c r="O28" s="16" t="inlineStr">
        <is>
          <t>3BpRk7eDSg1GPsY5qkLATeMc9sYiKRS1V6p4RPNFpump</t>
        </is>
      </c>
      <c r="P28" s="16">
        <f>HYPERLINK("https://dexscreener.com/solana/3BpRk7eDSg1GPsY5qkLATeMc9sYiKRS1V6p4RPNFpump", "View")</f>
        <v/>
      </c>
    </row>
    <row r="29">
      <c r="A29" s="19" t="inlineStr">
        <is>
          <t>HONEY</t>
        </is>
      </c>
      <c r="B29" s="20" t="n">
        <v>358890054</v>
      </c>
      <c r="C29" s="20" t="n">
        <v>358908942</v>
      </c>
      <c r="D29" s="20" t="inlineStr">
        <is>
          <t>0.009120</t>
        </is>
      </c>
      <c r="E29" s="20" t="inlineStr">
        <is>
          <t>45.000 SOL</t>
        </is>
      </c>
      <c r="F29" s="20" t="inlineStr">
        <is>
          <t>74.593 SOL</t>
        </is>
      </c>
      <c r="G29" s="23" t="inlineStr">
        <is>
          <t>29.584 SOL</t>
        </is>
      </c>
      <c r="H29" s="23" t="inlineStr">
        <is>
          <t>65.73%</t>
        </is>
      </c>
      <c r="I29" s="20" t="inlineStr">
        <is>
          <t>N/A</t>
        </is>
      </c>
      <c r="J29" s="20" t="n">
        <v>3</v>
      </c>
      <c r="K29" s="20" t="n">
        <v>5</v>
      </c>
      <c r="L29" s="20" t="inlineStr">
        <is>
          <t>30.10.2024 04:15:59</t>
        </is>
      </c>
      <c r="M29" s="20" t="inlineStr">
        <is>
          <t>1 days</t>
        </is>
      </c>
      <c r="N29" s="20" t="inlineStr">
        <is>
          <t xml:space="preserve">         21K            25K            10K</t>
        </is>
      </c>
      <c r="O29" s="20" t="inlineStr">
        <is>
          <t>265sKc6C7wRcEkuLqzPCWUziHCqsp2Q1gXJo2H9Bpump</t>
        </is>
      </c>
      <c r="P29" s="20">
        <f>HYPERLINK("https://dexscreener.com/solana/265sKc6C7wRcEkuLqzPCWUziHCqsp2Q1gXJo2H9Bpump", "View")</f>
        <v/>
      </c>
    </row>
    <row r="30">
      <c r="A30" s="15" t="inlineStr">
        <is>
          <t>bbydev</t>
        </is>
      </c>
      <c r="B30" s="16" t="n">
        <v>14349025</v>
      </c>
      <c r="C30" s="16" t="n">
        <v>14349025</v>
      </c>
      <c r="D30" s="16" t="inlineStr">
        <is>
          <t>0.000460</t>
        </is>
      </c>
      <c r="E30" s="16" t="inlineStr">
        <is>
          <t>10.000 SOL</t>
        </is>
      </c>
      <c r="F30" s="16" t="inlineStr">
        <is>
          <t>14.191 SOL</t>
        </is>
      </c>
      <c r="G30" s="22" t="inlineStr">
        <is>
          <t>4.190 SOL</t>
        </is>
      </c>
      <c r="H30" s="22" t="inlineStr">
        <is>
          <t>41.90%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30.10.2024 04:14:20</t>
        </is>
      </c>
      <c r="M30" s="18" t="inlineStr">
        <is>
          <t>48 sec</t>
        </is>
      </c>
      <c r="N30" s="16" t="inlineStr">
        <is>
          <t xml:space="preserve">        123K           174K           836K</t>
        </is>
      </c>
      <c r="O30" s="16" t="inlineStr">
        <is>
          <t>8YYrkf1hvL5aCacfLXDvhVfjWZ7ce5NdVt4iLPxYsmdh</t>
        </is>
      </c>
      <c r="P30" s="16">
        <f>HYPERLINK("https://dexscreener.com/solana/8YYrkf1hvL5aCacfLXDvhVfjWZ7ce5NdVt4iLPxYsmdh", "View")</f>
        <v/>
      </c>
    </row>
    <row r="31">
      <c r="A31" s="19" t="inlineStr">
        <is>
          <t>WRM</t>
        </is>
      </c>
      <c r="B31" s="20" t="n">
        <v>28495029</v>
      </c>
      <c r="C31" s="20" t="n">
        <v>28495029</v>
      </c>
      <c r="D31" s="20" t="inlineStr">
        <is>
          <t>0.000460</t>
        </is>
      </c>
      <c r="E31" s="20" t="inlineStr">
        <is>
          <t>10.000 SOL</t>
        </is>
      </c>
      <c r="F31" s="20" t="inlineStr">
        <is>
          <t>16.761 SOL</t>
        </is>
      </c>
      <c r="G31" s="23" t="inlineStr">
        <is>
          <t>6.760 SOL</t>
        </is>
      </c>
      <c r="H31" s="23" t="inlineStr">
        <is>
          <t>67.60%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29.10.2024 17:46:18</t>
        </is>
      </c>
      <c r="M31" s="18" t="inlineStr">
        <is>
          <t>47 sec</t>
        </is>
      </c>
      <c r="N31" s="20" t="inlineStr">
        <is>
          <t xml:space="preserve">         61K           104K             8K</t>
        </is>
      </c>
      <c r="O31" s="20" t="inlineStr">
        <is>
          <t>73y2d48ndV9fwGgL99iYagD27a2UMxCxLcNaDKzpump</t>
        </is>
      </c>
      <c r="P31" s="20">
        <f>HYPERLINK("https://dexscreener.com/solana/73y2d48ndV9fwGgL99iYagD27a2UMxCxLcNaDKzpump", "View")</f>
        <v/>
      </c>
    </row>
    <row r="32">
      <c r="A32" s="15" t="inlineStr">
        <is>
          <t>Miggy</t>
        </is>
      </c>
      <c r="B32" s="16" t="n">
        <v>132303889</v>
      </c>
      <c r="C32" s="16" t="n">
        <v>132303889</v>
      </c>
      <c r="D32" s="16" t="inlineStr">
        <is>
          <t>0.000460</t>
        </is>
      </c>
      <c r="E32" s="16" t="inlineStr">
        <is>
          <t>5.000 SOL</t>
        </is>
      </c>
      <c r="F32" s="16" t="inlineStr">
        <is>
          <t>5.577 SOL</t>
        </is>
      </c>
      <c r="G32" s="22" t="inlineStr">
        <is>
          <t>0.577 SOL</t>
        </is>
      </c>
      <c r="H32" s="22" t="inlineStr">
        <is>
          <t>11.54%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29.10.2024 06:23:45</t>
        </is>
      </c>
      <c r="M32" s="18" t="inlineStr">
        <is>
          <t>39 sec</t>
        </is>
      </c>
      <c r="N32" s="16" t="inlineStr">
        <is>
          <t xml:space="preserve">          7K             7K             4K</t>
        </is>
      </c>
      <c r="O32" s="16" t="inlineStr">
        <is>
          <t>58ofVUi8HEDL22i6BMgv4Xycirs7uHgLVqfRiXS7pump</t>
        </is>
      </c>
      <c r="P32" s="16">
        <f>HYPERLINK("https://dexscreener.com/solana/58ofVUi8HEDL22i6BMgv4Xycirs7uHgLVqfRiXS7pump", "View")</f>
        <v/>
      </c>
    </row>
    <row r="33">
      <c r="A33" s="19" t="inlineStr">
        <is>
          <t>asd</t>
        </is>
      </c>
      <c r="B33" s="20" t="n">
        <v>152684630</v>
      </c>
      <c r="C33" s="20" t="n">
        <v>152684630</v>
      </c>
      <c r="D33" s="20" t="inlineStr">
        <is>
          <t>0.000460</t>
        </is>
      </c>
      <c r="E33" s="20" t="inlineStr">
        <is>
          <t>5.097 SOL</t>
        </is>
      </c>
      <c r="F33" s="20" t="inlineStr">
        <is>
          <t>4.983 SOL</t>
        </is>
      </c>
      <c r="G33" s="21" t="inlineStr">
        <is>
          <t>-0.115 SOL</t>
        </is>
      </c>
      <c r="H33" s="21" t="inlineStr">
        <is>
          <t>-2.25%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29.10.2024 06:21:23</t>
        </is>
      </c>
      <c r="M33" s="18" t="inlineStr">
        <is>
          <t>7 sec</t>
        </is>
      </c>
      <c r="N33" s="20" t="inlineStr">
        <is>
          <t xml:space="preserve">          5K             5K             5K</t>
        </is>
      </c>
      <c r="O33" s="20" t="inlineStr">
        <is>
          <t>HW4RtmYKo5ybnVrMcbdhktdE7boKhmHC4wfA2HmFpump</t>
        </is>
      </c>
      <c r="P33" s="20">
        <f>HYPERLINK("https://photon-sol.tinyastro.io/en/lp/HW4RtmYKo5ybnVrMcbdhktdE7boKhmHC4wfA2HmFpump?handle=676050794bc1b1657a56b", "View")</f>
        <v/>
      </c>
    </row>
    <row r="34">
      <c r="A34" s="15" t="inlineStr">
        <is>
          <t>3DS</t>
        </is>
      </c>
      <c r="B34" s="16" t="n">
        <v>239508929</v>
      </c>
      <c r="C34" s="16" t="n">
        <v>239508929</v>
      </c>
      <c r="D34" s="16" t="inlineStr">
        <is>
          <t>0.007740</t>
        </is>
      </c>
      <c r="E34" s="16" t="inlineStr">
        <is>
          <t>10.192 SOL</t>
        </is>
      </c>
      <c r="F34" s="16" t="inlineStr">
        <is>
          <t>10.202 SOL</t>
        </is>
      </c>
      <c r="G34" s="22" t="inlineStr">
        <is>
          <t>0.002 SOL</t>
        </is>
      </c>
      <c r="H34" s="22" t="inlineStr">
        <is>
          <t>0.02%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29.10.2024 05:53:08</t>
        </is>
      </c>
      <c r="M34" s="18" t="inlineStr">
        <is>
          <t>9 sec</t>
        </is>
      </c>
      <c r="N34" s="16" t="inlineStr">
        <is>
          <t xml:space="preserve">          7K             7K             5K</t>
        </is>
      </c>
      <c r="O34" s="16" t="inlineStr">
        <is>
          <t>BM77xqrfnGnZrkyrU4LLymacQmaTiUZ8fkpKyMeMpump</t>
        </is>
      </c>
      <c r="P34" s="16">
        <f>HYPERLINK("https://photon-sol.tinyastro.io/en/lp/BM77xqrfnGnZrkyrU4LLymacQmaTiUZ8fkpKyMeMpump?handle=676050794bc1b1657a56b", "View")</f>
        <v/>
      </c>
    </row>
    <row r="35">
      <c r="A35" s="19" t="inlineStr">
        <is>
          <t>Tao</t>
        </is>
      </c>
      <c r="B35" s="20" t="n">
        <v>26005002</v>
      </c>
      <c r="C35" s="20" t="n">
        <v>26005002</v>
      </c>
      <c r="D35" s="20" t="inlineStr">
        <is>
          <t>0.000460</t>
        </is>
      </c>
      <c r="E35" s="20" t="inlineStr">
        <is>
          <t>3.059 SOL</t>
        </is>
      </c>
      <c r="F35" s="20" t="inlineStr">
        <is>
          <t>3.170 SOL</t>
        </is>
      </c>
      <c r="G35" s="22" t="inlineStr">
        <is>
          <t>0.111 SOL</t>
        </is>
      </c>
      <c r="H35" s="22" t="inlineStr">
        <is>
          <t>3.62%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29.10.2024 04:56:54</t>
        </is>
      </c>
      <c r="M35" s="20" t="inlineStr">
        <is>
          <t>3 min</t>
        </is>
      </c>
      <c r="N35" s="20" t="inlineStr">
        <is>
          <t xml:space="preserve">         21K            21K             3K</t>
        </is>
      </c>
      <c r="O35" s="20" t="inlineStr">
        <is>
          <t>G5QWsZmyaMEh3GFp8FQ4Wk2W9pNoPCRYcphWLjfUpump</t>
        </is>
      </c>
      <c r="P35" s="20">
        <f>HYPERLINK("https://photon-sol.tinyastro.io/en/lp/G5QWsZmyaMEh3GFp8FQ4Wk2W9pNoPCRYcphWLjfUpump?handle=676050794bc1b1657a56b", "View")</f>
        <v/>
      </c>
    </row>
    <row r="36">
      <c r="A36" s="15" t="inlineStr">
        <is>
          <t>Lucifer</t>
        </is>
      </c>
      <c r="B36" s="16" t="n">
        <v>263616932</v>
      </c>
      <c r="C36" s="16" t="n">
        <v>263616932</v>
      </c>
      <c r="D36" s="16" t="inlineStr">
        <is>
          <t>0.000460</t>
        </is>
      </c>
      <c r="E36" s="16" t="inlineStr">
        <is>
          <t>10.192 SOL</t>
        </is>
      </c>
      <c r="F36" s="16" t="inlineStr">
        <is>
          <t>10.352 SOL</t>
        </is>
      </c>
      <c r="G36" s="22" t="inlineStr">
        <is>
          <t>0.159 SOL</t>
        </is>
      </c>
      <c r="H36" s="22" t="inlineStr">
        <is>
          <t>1.56%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29.10.2024 04:42:26</t>
        </is>
      </c>
      <c r="M36" s="18" t="inlineStr">
        <is>
          <t>9 sec</t>
        </is>
      </c>
      <c r="N36" s="16" t="inlineStr">
        <is>
          <t xml:space="preserve">          7K             7K             5K</t>
        </is>
      </c>
      <c r="O36" s="16" t="inlineStr">
        <is>
          <t>DHnqNqUMDZycaz5rWf6DAHePQh6YvxCTiYB22gbxpump</t>
        </is>
      </c>
      <c r="P36" s="16">
        <f>HYPERLINK("https://photon-sol.tinyastro.io/en/lp/DHnqNqUMDZycaz5rWf6DAHePQh6YvxCTiYB22gbxpump?handle=676050794bc1b1657a56b", "View")</f>
        <v/>
      </c>
    </row>
    <row r="37">
      <c r="A37" s="19" t="inlineStr">
        <is>
          <t>PINKY</t>
        </is>
      </c>
      <c r="B37" s="20" t="n">
        <v>247354948</v>
      </c>
      <c r="C37" s="20" t="n">
        <v>247354948</v>
      </c>
      <c r="D37" s="20" t="inlineStr">
        <is>
          <t>0.000460</t>
        </is>
      </c>
      <c r="E37" s="20" t="inlineStr">
        <is>
          <t>10.000 SOL</t>
        </is>
      </c>
      <c r="F37" s="20" t="inlineStr">
        <is>
          <t>12.475 SOL</t>
        </is>
      </c>
      <c r="G37" s="22" t="inlineStr">
        <is>
          <t>2.475 SOL</t>
        </is>
      </c>
      <c r="H37" s="22" t="inlineStr">
        <is>
          <t>24.75%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29.10.2024 04:38:21</t>
        </is>
      </c>
      <c r="M37" s="18" t="inlineStr">
        <is>
          <t>7 sec</t>
        </is>
      </c>
      <c r="N37" s="20" t="inlineStr">
        <is>
          <t xml:space="preserve">          7K             9K             3K</t>
        </is>
      </c>
      <c r="O37" s="20" t="inlineStr">
        <is>
          <t>8h2EFdutbEmcaVxPcEvsGzs67ub2Bs9MewoenBhKpump</t>
        </is>
      </c>
      <c r="P37" s="20">
        <f>HYPERLINK("https://dexscreener.com/solana/8h2EFdutbEmcaVxPcEvsGzs67ub2Bs9MewoenBhKpump", "View")</f>
        <v/>
      </c>
    </row>
    <row r="38">
      <c r="A38" s="15" t="inlineStr">
        <is>
          <t>MUON</t>
        </is>
      </c>
      <c r="B38" s="16" t="n">
        <v>240604021</v>
      </c>
      <c r="C38" s="16" t="n">
        <v>240604021</v>
      </c>
      <c r="D38" s="16" t="inlineStr">
        <is>
          <t>0.000460</t>
        </is>
      </c>
      <c r="E38" s="16" t="inlineStr">
        <is>
          <t>10.000 SOL</t>
        </is>
      </c>
      <c r="F38" s="16" t="inlineStr">
        <is>
          <t>14.278 SOL</t>
        </is>
      </c>
      <c r="G38" s="22" t="inlineStr">
        <is>
          <t>4.278 SOL</t>
        </is>
      </c>
      <c r="H38" s="22" t="inlineStr">
        <is>
          <t>42.77%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29.10.2024 04:37:50</t>
        </is>
      </c>
      <c r="M38" s="18" t="inlineStr">
        <is>
          <t>8 sec</t>
        </is>
      </c>
      <c r="N38" s="16" t="inlineStr">
        <is>
          <t xml:space="preserve">          7K            11K             4K</t>
        </is>
      </c>
      <c r="O38" s="16" t="inlineStr">
        <is>
          <t>5Hy3eakWpJ9VVeb53o13hQoeHi5oovjk9BADzwxApump</t>
        </is>
      </c>
      <c r="P38" s="16">
        <f>HYPERLINK("https://dexscreener.com/solana/5Hy3eakWpJ9VVeb53o13hQoeHi5oovjk9BADzwxApump", "View")</f>
        <v/>
      </c>
    </row>
    <row r="39">
      <c r="A39" s="19" t="inlineStr">
        <is>
          <t>Amen</t>
        </is>
      </c>
      <c r="B39" s="20" t="n">
        <v>261758073</v>
      </c>
      <c r="C39" s="20" t="n">
        <v>261758073</v>
      </c>
      <c r="D39" s="20" t="inlineStr">
        <is>
          <t>0.000460</t>
        </is>
      </c>
      <c r="E39" s="20" t="inlineStr">
        <is>
          <t>10.000 SOL</t>
        </is>
      </c>
      <c r="F39" s="20" t="inlineStr">
        <is>
          <t>14.191 SOL</t>
        </is>
      </c>
      <c r="G39" s="22" t="inlineStr">
        <is>
          <t>4.190 SOL</t>
        </is>
      </c>
      <c r="H39" s="22" t="inlineStr">
        <is>
          <t>41.90%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29.10.2024 04:37:00</t>
        </is>
      </c>
      <c r="M39" s="18" t="inlineStr">
        <is>
          <t>7 sec</t>
        </is>
      </c>
      <c r="N39" s="20" t="inlineStr">
        <is>
          <t xml:space="preserve">          7K             9K             4K</t>
        </is>
      </c>
      <c r="O39" s="20" t="inlineStr">
        <is>
          <t>BhPUUAJKbEx4VaikuiPTvZcokZYnBKGoKuzTJrAJpump</t>
        </is>
      </c>
      <c r="P39" s="20">
        <f>HYPERLINK("https://dexscreener.com/solana/BhPUUAJKbEx4VaikuiPTvZcokZYnBKGoKuzTJrAJpump", "View")</f>
        <v/>
      </c>
    </row>
    <row r="40">
      <c r="A40" s="15" t="inlineStr">
        <is>
          <t>FERRIS</t>
        </is>
      </c>
      <c r="B40" s="16" t="n">
        <v>338996874</v>
      </c>
      <c r="C40" s="16" t="n">
        <v>338996874</v>
      </c>
      <c r="D40" s="16" t="inlineStr">
        <is>
          <t>0.000920</t>
        </is>
      </c>
      <c r="E40" s="16" t="inlineStr">
        <is>
          <t>25.000 SOL</t>
        </is>
      </c>
      <c r="F40" s="16" t="inlineStr">
        <is>
          <t>29.451 SOL</t>
        </is>
      </c>
      <c r="G40" s="22" t="inlineStr">
        <is>
          <t>4.450 SOL</t>
        </is>
      </c>
      <c r="H40" s="22" t="inlineStr">
        <is>
          <t>17.80%</t>
        </is>
      </c>
      <c r="I40" s="16" t="inlineStr">
        <is>
          <t>N/A</t>
        </is>
      </c>
      <c r="J40" s="16" t="n">
        <v>2</v>
      </c>
      <c r="K40" s="16" t="n">
        <v>2</v>
      </c>
      <c r="L40" s="16" t="inlineStr">
        <is>
          <t>29.10.2024 03:29:34</t>
        </is>
      </c>
      <c r="M40" s="16" t="inlineStr">
        <is>
          <t>1 hours</t>
        </is>
      </c>
      <c r="N40" s="16" t="inlineStr">
        <is>
          <t xml:space="preserve">         11K            97K             4K</t>
        </is>
      </c>
      <c r="O40" s="16" t="inlineStr">
        <is>
          <t>7ZFmpe9zrBiNtjeU4C3U22hTTDTsndS9Lm1xu724pump</t>
        </is>
      </c>
      <c r="P40" s="16">
        <f>HYPERLINK("https://dexscreener.com/solana/7ZFmpe9zrBiNtjeU4C3U22hTTDTsndS9Lm1xu724pump", "View")</f>
        <v/>
      </c>
    </row>
    <row r="41">
      <c r="A41" s="19" t="inlineStr">
        <is>
          <t>/higher</t>
        </is>
      </c>
      <c r="B41" s="20" t="n">
        <v>9074331</v>
      </c>
      <c r="C41" s="20" t="n">
        <v>9074331</v>
      </c>
      <c r="D41" s="20" t="inlineStr">
        <is>
          <t>0.000460</t>
        </is>
      </c>
      <c r="E41" s="20" t="inlineStr">
        <is>
          <t>3.086 SOL</t>
        </is>
      </c>
      <c r="F41" s="20" t="inlineStr">
        <is>
          <t>3.666 SOL</t>
        </is>
      </c>
      <c r="G41" s="22" t="inlineStr">
        <is>
          <t>0.580 SOL</t>
        </is>
      </c>
      <c r="H41" s="22" t="inlineStr">
        <is>
          <t>18.80%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29.10.2024 03:05:44</t>
        </is>
      </c>
      <c r="M41" s="20" t="inlineStr">
        <is>
          <t>11 min</t>
        </is>
      </c>
      <c r="N41" s="20" t="inlineStr">
        <is>
          <t xml:space="preserve">         60K            70K             4K</t>
        </is>
      </c>
      <c r="O41" s="20" t="inlineStr">
        <is>
          <t>DwGJNktdqxH2n6rvQ2MYbMFNzxp8zD5EEGEU59Qapump</t>
        </is>
      </c>
      <c r="P41" s="20">
        <f>HYPERLINK("https://photon-sol.tinyastro.io/en/lp/DwGJNktdqxH2n6rvQ2MYbMFNzxp8zD5EEGEU59Qapump?handle=676050794bc1b1657a56b", "View")</f>
        <v/>
      </c>
    </row>
    <row r="42">
      <c r="A42" s="15" t="inlineStr">
        <is>
          <t>looce</t>
        </is>
      </c>
      <c r="B42" s="16" t="n">
        <v>199420877</v>
      </c>
      <c r="C42" s="16" t="n">
        <v>199420877</v>
      </c>
      <c r="D42" s="16" t="inlineStr">
        <is>
          <t>0.000460</t>
        </is>
      </c>
      <c r="E42" s="16" t="inlineStr">
        <is>
          <t>10.192 SOL</t>
        </is>
      </c>
      <c r="F42" s="16" t="inlineStr">
        <is>
          <t>12.391 SOL</t>
        </is>
      </c>
      <c r="G42" s="22" t="inlineStr">
        <is>
          <t>2.198 SOL</t>
        </is>
      </c>
      <c r="H42" s="22" t="inlineStr">
        <is>
          <t>21.56%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29.10.2024 00:00:35</t>
        </is>
      </c>
      <c r="M42" s="18" t="inlineStr">
        <is>
          <t>11 sec</t>
        </is>
      </c>
      <c r="N42" s="16" t="inlineStr">
        <is>
          <t xml:space="preserve">          9K            11K             7K</t>
        </is>
      </c>
      <c r="O42" s="16" t="inlineStr">
        <is>
          <t>5sfanwgxA8yTr6XvmCwSrV4HrmHuPZD6zqm9WZo8pump</t>
        </is>
      </c>
      <c r="P42" s="16">
        <f>HYPERLINK("https://photon-sol.tinyastro.io/en/lp/5sfanwgxA8yTr6XvmCwSrV4HrmHuPZD6zqm9WZo8pump?handle=676050794bc1b1657a56b", "View")</f>
        <v/>
      </c>
    </row>
    <row r="43">
      <c r="A43" s="19" t="inlineStr">
        <is>
          <t>MOODENGESL</t>
        </is>
      </c>
      <c r="B43" s="20" t="n">
        <v>398206909</v>
      </c>
      <c r="C43" s="20" t="n">
        <v>398206909</v>
      </c>
      <c r="D43" s="20" t="inlineStr">
        <is>
          <t>0.000460</t>
        </is>
      </c>
      <c r="E43" s="20" t="inlineStr">
        <is>
          <t>20.382 SOL</t>
        </is>
      </c>
      <c r="F43" s="20" t="inlineStr">
        <is>
          <t>31.968 SOL</t>
        </is>
      </c>
      <c r="G43" s="23" t="inlineStr">
        <is>
          <t>11.586 SOL</t>
        </is>
      </c>
      <c r="H43" s="23" t="inlineStr">
        <is>
          <t>56.84%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28.10.2024 23:46:47</t>
        </is>
      </c>
      <c r="M43" s="18" t="inlineStr">
        <is>
          <t>12 sec</t>
        </is>
      </c>
      <c r="N43" s="20" t="inlineStr">
        <is>
          <t xml:space="preserve">          9K            14K             5K</t>
        </is>
      </c>
      <c r="O43" s="20" t="inlineStr">
        <is>
          <t>6pbZc2Lba76Lz7UDdWUzcYEqM52hhKpnCFQY886wpump</t>
        </is>
      </c>
      <c r="P43" s="20">
        <f>HYPERLINK("https://photon-sol.tinyastro.io/en/lp/6pbZc2Lba76Lz7UDdWUzcYEqM52hhKpnCFQY886wpump?handle=676050794bc1b1657a56b", "View")</f>
        <v/>
      </c>
    </row>
    <row r="44">
      <c r="A44" s="15" t="inlineStr">
        <is>
          <t>BITHOLIC</t>
        </is>
      </c>
      <c r="B44" s="16" t="n">
        <v>253265145</v>
      </c>
      <c r="C44" s="16" t="n">
        <v>253265145</v>
      </c>
      <c r="D44" s="16" t="inlineStr">
        <is>
          <t>0.000460</t>
        </is>
      </c>
      <c r="E44" s="16" t="inlineStr">
        <is>
          <t>10.192 SOL</t>
        </is>
      </c>
      <c r="F44" s="16" t="inlineStr">
        <is>
          <t>12.581 SOL</t>
        </is>
      </c>
      <c r="G44" s="22" t="inlineStr">
        <is>
          <t>2.388 SOL</t>
        </is>
      </c>
      <c r="H44" s="22" t="inlineStr">
        <is>
          <t>23.43%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28.10.2024 23:45:51</t>
        </is>
      </c>
      <c r="M44" s="18" t="inlineStr">
        <is>
          <t>15 sec</t>
        </is>
      </c>
      <c r="N44" s="16" t="inlineStr">
        <is>
          <t xml:space="preserve">          7K             9K             5K</t>
        </is>
      </c>
      <c r="O44" s="16" t="inlineStr">
        <is>
          <t>67c9BkXUBkjCuEZ6wsHp7UBRjsqgTCSLwi8dus1mpump</t>
        </is>
      </c>
      <c r="P44" s="16">
        <f>HYPERLINK("https://photon-sol.tinyastro.io/en/lp/67c9BkXUBkjCuEZ6wsHp7UBRjsqgTCSLwi8dus1mpump?handle=676050794bc1b1657a56b", "View")</f>
        <v/>
      </c>
    </row>
    <row r="45">
      <c r="A45" s="19" t="inlineStr">
        <is>
          <t>Memology</t>
        </is>
      </c>
      <c r="B45" s="20" t="n">
        <v>260595021</v>
      </c>
      <c r="C45" s="20" t="n">
        <v>260595021</v>
      </c>
      <c r="D45" s="20" t="inlineStr">
        <is>
          <t>0.007740</t>
        </is>
      </c>
      <c r="E45" s="20" t="inlineStr">
        <is>
          <t>10.547 SOL</t>
        </is>
      </c>
      <c r="F45" s="20" t="inlineStr">
        <is>
          <t>12.894 SOL</t>
        </is>
      </c>
      <c r="G45" s="22" t="inlineStr">
        <is>
          <t>2.340 SOL</t>
        </is>
      </c>
      <c r="H45" s="22" t="inlineStr">
        <is>
          <t>22.17%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28.10.2024 23:32:59</t>
        </is>
      </c>
      <c r="M45" s="18" t="inlineStr">
        <is>
          <t>8 sec</t>
        </is>
      </c>
      <c r="N45" s="20" t="inlineStr">
        <is>
          <t xml:space="preserve">          7K             9K             5K</t>
        </is>
      </c>
      <c r="O45" s="20" t="inlineStr">
        <is>
          <t>6voMTn6pcidHFRqLc1m63YqBbz7KTVFFKgYxXMU8pump</t>
        </is>
      </c>
      <c r="P45" s="20">
        <f>HYPERLINK("https://photon-sol.tinyastro.io/en/lp/6voMTn6pcidHFRqLc1m63YqBbz7KTVFFKgYxXMU8pump?handle=676050794bc1b1657a56b", "View")</f>
        <v/>
      </c>
    </row>
    <row r="46">
      <c r="A46" s="15" t="inlineStr">
        <is>
          <t>tokidoki</t>
        </is>
      </c>
      <c r="B46" s="16" t="n">
        <v>28863488</v>
      </c>
      <c r="C46" s="16" t="n">
        <v>43992525</v>
      </c>
      <c r="D46" s="16" t="inlineStr">
        <is>
          <t>0.007970</t>
        </is>
      </c>
      <c r="E46" s="16" t="inlineStr">
        <is>
          <t>20.000 SOL</t>
        </is>
      </c>
      <c r="F46" s="16" t="inlineStr">
        <is>
          <t>47.555 SOL</t>
        </is>
      </c>
      <c r="G46" s="23" t="inlineStr">
        <is>
          <t>27.547 SOL</t>
        </is>
      </c>
      <c r="H46" s="23" t="inlineStr">
        <is>
          <t>137.68%</t>
        </is>
      </c>
      <c r="I46" s="16" t="inlineStr">
        <is>
          <t>N/A</t>
        </is>
      </c>
      <c r="J46" s="16" t="n">
        <v>1</v>
      </c>
      <c r="K46" s="16" t="n">
        <v>2</v>
      </c>
      <c r="L46" s="16" t="inlineStr">
        <is>
          <t>28.10.2024 23:32:04</t>
        </is>
      </c>
      <c r="M46" s="16" t="inlineStr">
        <is>
          <t>1 hours</t>
        </is>
      </c>
      <c r="N46" s="16" t="inlineStr">
        <is>
          <t xml:space="preserve">        121K           121K            42K</t>
        </is>
      </c>
      <c r="O46" s="16" t="inlineStr">
        <is>
          <t>AqpJ2uRYEFdmsL1gZuQoMkWof8YRuuBVMm8dkNK7pump</t>
        </is>
      </c>
      <c r="P46" s="16">
        <f>HYPERLINK("https://dexscreener.com/solana/AqpJ2uRYEFdmsL1gZuQoMkWof8YRuuBVMm8dkNK7pump", "View")</f>
        <v/>
      </c>
    </row>
    <row r="47">
      <c r="A47" s="19" t="inlineStr">
        <is>
          <t>babai</t>
        </is>
      </c>
      <c r="B47" s="20" t="n">
        <v>247881159</v>
      </c>
      <c r="C47" s="20" t="n">
        <v>247881159</v>
      </c>
      <c r="D47" s="20" t="inlineStr">
        <is>
          <t>0.000460</t>
        </is>
      </c>
      <c r="E47" s="20" t="inlineStr">
        <is>
          <t>10.192 SOL</t>
        </is>
      </c>
      <c r="F47" s="20" t="inlineStr">
        <is>
          <t>15.409 SOL</t>
        </is>
      </c>
      <c r="G47" s="23" t="inlineStr">
        <is>
          <t>5.216 SOL</t>
        </is>
      </c>
      <c r="H47" s="23" t="inlineStr">
        <is>
          <t>51.17%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28.10.2024 23:17:13</t>
        </is>
      </c>
      <c r="M47" s="18" t="inlineStr">
        <is>
          <t>7 sec</t>
        </is>
      </c>
      <c r="N47" s="20" t="inlineStr">
        <is>
          <t xml:space="preserve">          7K            11K             5K</t>
        </is>
      </c>
      <c r="O47" s="20" t="inlineStr">
        <is>
          <t>D7f9qeyK66AfWePps4JpA1bNNMRu8433YpUduE7rpump</t>
        </is>
      </c>
      <c r="P47" s="20">
        <f>HYPERLINK("https://photon-sol.tinyastro.io/en/lp/D7f9qeyK66AfWePps4JpA1bNNMRu8433YpUduE7rpump?handle=676050794bc1b1657a56b", "View")</f>
        <v/>
      </c>
    </row>
    <row r="48">
      <c r="A48" s="15" t="inlineStr">
        <is>
          <t>Notes</t>
        </is>
      </c>
      <c r="B48" s="16" t="n">
        <v>222529417</v>
      </c>
      <c r="C48" s="16" t="n">
        <v>222529417</v>
      </c>
      <c r="D48" s="16" t="inlineStr">
        <is>
          <t>0.000460</t>
        </is>
      </c>
      <c r="E48" s="16" t="inlineStr">
        <is>
          <t>10.192 SOL</t>
        </is>
      </c>
      <c r="F48" s="16" t="inlineStr">
        <is>
          <t>15.979 SOL</t>
        </is>
      </c>
      <c r="G48" s="23" t="inlineStr">
        <is>
          <t>5.787 SOL</t>
        </is>
      </c>
      <c r="H48" s="23" t="inlineStr">
        <is>
          <t>56.77%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28.10.2024 23:16:33</t>
        </is>
      </c>
      <c r="M48" s="18" t="inlineStr">
        <is>
          <t>8 sec</t>
        </is>
      </c>
      <c r="N48" s="16" t="inlineStr">
        <is>
          <t xml:space="preserve">          9K            12K             3K</t>
        </is>
      </c>
      <c r="O48" s="16" t="inlineStr">
        <is>
          <t>79TPFu9gb5sY8RR4TXdsqF2nhYKuABaw4FRZzeqspump</t>
        </is>
      </c>
      <c r="P48" s="16">
        <f>HYPERLINK("https://photon-sol.tinyastro.io/en/lp/79TPFu9gb5sY8RR4TXdsqF2nhYKuABaw4FRZzeqspump?handle=676050794bc1b1657a56b", "View")</f>
        <v/>
      </c>
    </row>
    <row r="49">
      <c r="A49" s="19" t="inlineStr">
        <is>
          <t>BTC-Chan</t>
        </is>
      </c>
      <c r="B49" s="20" t="n">
        <v>14052044</v>
      </c>
      <c r="C49" s="20" t="n">
        <v>14052044</v>
      </c>
      <c r="D49" s="20" t="inlineStr">
        <is>
          <t>0.007740</t>
        </is>
      </c>
      <c r="E49" s="20" t="inlineStr">
        <is>
          <t>10.000 SOL</t>
        </is>
      </c>
      <c r="F49" s="20" t="inlineStr">
        <is>
          <t>26.084 SOL</t>
        </is>
      </c>
      <c r="G49" s="23" t="inlineStr">
        <is>
          <t>16.076 SOL</t>
        </is>
      </c>
      <c r="H49" s="23" t="inlineStr">
        <is>
          <t>160.64%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28.10.2024 21:23:33</t>
        </is>
      </c>
      <c r="M49" s="20" t="inlineStr">
        <is>
          <t>1 hours</t>
        </is>
      </c>
      <c r="N49" s="20" t="inlineStr">
        <is>
          <t xml:space="preserve">        123K           123K            64K</t>
        </is>
      </c>
      <c r="O49" s="20" t="inlineStr">
        <is>
          <t>GSxmz5QR42Btg691U8gpDiRRpFmpBrJ6xdCHLcJSpump</t>
        </is>
      </c>
      <c r="P49" s="20">
        <f>HYPERLINK("https://dexscreener.com/solana/GSxmz5QR42Btg691U8gpDiRRpFmpBrJ6xdCHLcJSpump", "View")</f>
        <v/>
      </c>
    </row>
    <row r="50">
      <c r="A50" s="15" t="inlineStr">
        <is>
          <t>wifeye</t>
        </is>
      </c>
      <c r="B50" s="16" t="n">
        <v>266848292</v>
      </c>
      <c r="C50" s="16" t="n">
        <v>266858292</v>
      </c>
      <c r="D50" s="16" t="inlineStr">
        <is>
          <t>0.000460</t>
        </is>
      </c>
      <c r="E50" s="16" t="inlineStr">
        <is>
          <t>10.190 SOL</t>
        </is>
      </c>
      <c r="F50" s="16" t="inlineStr">
        <is>
          <t>12.124 SOL</t>
        </is>
      </c>
      <c r="G50" s="22" t="inlineStr">
        <is>
          <t>1.933 SOL</t>
        </is>
      </c>
      <c r="H50" s="22" t="inlineStr">
        <is>
          <t>18.97%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27.10.2024 22:35:55</t>
        </is>
      </c>
      <c r="M50" s="18" t="inlineStr">
        <is>
          <t>9 sec</t>
        </is>
      </c>
      <c r="N50" s="16" t="inlineStr">
        <is>
          <t xml:space="preserve">          7K             9K             5K</t>
        </is>
      </c>
      <c r="O50" s="16" t="inlineStr">
        <is>
          <t>5Tgtnq2A1cy3DJB8GyjLt4gWiedqZZf3LcXtPsoipump</t>
        </is>
      </c>
      <c r="P50" s="16">
        <f>HYPERLINK("https://photon-sol.tinyastro.io/en/lp/5Tgtnq2A1cy3DJB8GyjLt4gWiedqZZf3LcXtPsoipump?handle=676050794bc1b1657a56b", "View")</f>
        <v/>
      </c>
    </row>
    <row r="51">
      <c r="A51" s="19" t="inlineStr">
        <is>
          <t xml:space="preserve">Winning </t>
        </is>
      </c>
      <c r="B51" s="20" t="n">
        <v>265252869</v>
      </c>
      <c r="C51" s="20" t="n">
        <v>265252869</v>
      </c>
      <c r="D51" s="20" t="inlineStr">
        <is>
          <t>0.006010</t>
        </is>
      </c>
      <c r="E51" s="20" t="inlineStr">
        <is>
          <t>10.195 SOL</t>
        </is>
      </c>
      <c r="F51" s="20" t="inlineStr">
        <is>
          <t>18.593 SOL</t>
        </is>
      </c>
      <c r="G51" s="23" t="inlineStr">
        <is>
          <t>8.392 SOL</t>
        </is>
      </c>
      <c r="H51" s="23" t="inlineStr">
        <is>
          <t>82.27%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27.10.2024 21:56:37</t>
        </is>
      </c>
      <c r="M51" s="18" t="inlineStr">
        <is>
          <t>11 sec</t>
        </is>
      </c>
      <c r="N51" s="20" t="inlineStr">
        <is>
          <t xml:space="preserve">          7K            12K             5K</t>
        </is>
      </c>
      <c r="O51" s="20" t="inlineStr">
        <is>
          <t>FLS9XDuhkXAikVcCQriHkQSe7MmqVyPFiEnCjiZKpump</t>
        </is>
      </c>
      <c r="P51" s="20">
        <f>HYPERLINK("https://photon-sol.tinyastro.io/en/lp/FLS9XDuhkXAikVcCQriHkQSe7MmqVyPFiEnCjiZKpump?handle=676050794bc1b1657a56b", "View")</f>
        <v/>
      </c>
    </row>
    <row r="52">
      <c r="A52" s="15" t="inlineStr">
        <is>
          <t>Soup</t>
        </is>
      </c>
      <c r="B52" s="16" t="n">
        <v>230755426</v>
      </c>
      <c r="C52" s="16" t="n">
        <v>230755426</v>
      </c>
      <c r="D52" s="16" t="inlineStr">
        <is>
          <t>0.006010</t>
        </is>
      </c>
      <c r="E52" s="16" t="inlineStr">
        <is>
          <t>10.195 SOL</t>
        </is>
      </c>
      <c r="F52" s="16" t="inlineStr">
        <is>
          <t>12.968 SOL</t>
        </is>
      </c>
      <c r="G52" s="22" t="inlineStr">
        <is>
          <t>2.767 SOL</t>
        </is>
      </c>
      <c r="H52" s="22" t="inlineStr">
        <is>
          <t>27.12%</t>
        </is>
      </c>
      <c r="I52" s="16" t="inlineStr">
        <is>
          <t>N/A</t>
        </is>
      </c>
      <c r="J52" s="16" t="n">
        <v>1</v>
      </c>
      <c r="K52" s="16" t="n">
        <v>1</v>
      </c>
      <c r="L52" s="16" t="inlineStr">
        <is>
          <t>27.10.2024 07:43:14</t>
        </is>
      </c>
      <c r="M52" s="18" t="inlineStr">
        <is>
          <t>23 sec</t>
        </is>
      </c>
      <c r="N52" s="16" t="inlineStr">
        <is>
          <t xml:space="preserve">          7K            11K             5K</t>
        </is>
      </c>
      <c r="O52" s="16" t="inlineStr">
        <is>
          <t>AkePeE151aNsqdctWmaBDcV9uoSgYNXgci32Nf6upump</t>
        </is>
      </c>
      <c r="P52" s="16">
        <f>HYPERLINK("https://photon-sol.tinyastro.io/en/lp/AkePeE151aNsqdctWmaBDcV9uoSgYNXgci32Nf6upump?handle=676050794bc1b1657a56b", "View")</f>
        <v/>
      </c>
    </row>
    <row r="53">
      <c r="A53" s="19" t="inlineStr">
        <is>
          <t>Nab</t>
        </is>
      </c>
      <c r="B53" s="20" t="n">
        <v>232028709</v>
      </c>
      <c r="C53" s="20" t="n">
        <v>232028709</v>
      </c>
      <c r="D53" s="20" t="inlineStr">
        <is>
          <t>0.006010</t>
        </is>
      </c>
      <c r="E53" s="20" t="inlineStr">
        <is>
          <t>10.195 SOL</t>
        </is>
      </c>
      <c r="F53" s="20" t="inlineStr">
        <is>
          <t>11.295 SOL</t>
        </is>
      </c>
      <c r="G53" s="22" t="inlineStr">
        <is>
          <t>1.094 SOL</t>
        </is>
      </c>
      <c r="H53" s="22" t="inlineStr">
        <is>
          <t>10.72%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27.10.2024 05:07:15</t>
        </is>
      </c>
      <c r="M53" s="18" t="inlineStr">
        <is>
          <t>8 sec</t>
        </is>
      </c>
      <c r="N53" s="20" t="inlineStr">
        <is>
          <t xml:space="preserve">          7K             9K             5K</t>
        </is>
      </c>
      <c r="O53" s="20" t="inlineStr">
        <is>
          <t>fsKY1WmZXFhXHBVRUW7khAK4BMgfP9BHfToJJMdpump</t>
        </is>
      </c>
      <c r="P53" s="20">
        <f>HYPERLINK("https://photon-sol.tinyastro.io/en/lp/fsKY1WmZXFhXHBVRUW7khAK4BMgfP9BHfToJJMdpump?handle=676050794bc1b1657a56b", "View")</f>
        <v/>
      </c>
    </row>
    <row r="54">
      <c r="A54" s="15" t="inlineStr">
        <is>
          <t>LULA</t>
        </is>
      </c>
      <c r="B54" s="16" t="n">
        <v>142742428</v>
      </c>
      <c r="C54" s="16" t="n">
        <v>142742428</v>
      </c>
      <c r="D54" s="16" t="inlineStr">
        <is>
          <t>0.006010</t>
        </is>
      </c>
      <c r="E54" s="16" t="inlineStr">
        <is>
          <t>5.100 SOL</t>
        </is>
      </c>
      <c r="F54" s="16" t="inlineStr">
        <is>
          <t>6.284 SOL</t>
        </is>
      </c>
      <c r="G54" s="22" t="inlineStr">
        <is>
          <t>1.178 SOL</t>
        </is>
      </c>
      <c r="H54" s="22" t="inlineStr">
        <is>
          <t>23.07%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27.10.2024 04:35:44</t>
        </is>
      </c>
      <c r="M54" s="18" t="inlineStr">
        <is>
          <t>7 sec</t>
        </is>
      </c>
      <c r="N54" s="16" t="inlineStr">
        <is>
          <t xml:space="preserve">          7K             7K             5K</t>
        </is>
      </c>
      <c r="O54" s="16" t="inlineStr">
        <is>
          <t>7MtJ8cVak44BbdpjTWBJmkCuT6zM2efyKRjJRhKGpump</t>
        </is>
      </c>
      <c r="P54" s="16">
        <f>HYPERLINK("https://photon-sol.tinyastro.io/en/lp/7MtJ8cVak44BbdpjTWBJmkCuT6zM2efyKRjJRhKGpump?handle=676050794bc1b1657a56b", "View")</f>
        <v/>
      </c>
    </row>
    <row r="55">
      <c r="A55" s="19" t="inlineStr">
        <is>
          <t>SCULT</t>
        </is>
      </c>
      <c r="B55" s="20" t="n">
        <v>262333075</v>
      </c>
      <c r="C55" s="20" t="n">
        <v>262333075</v>
      </c>
      <c r="D55" s="20" t="inlineStr">
        <is>
          <t>0.006010</t>
        </is>
      </c>
      <c r="E55" s="20" t="inlineStr">
        <is>
          <t>10.195 SOL</t>
        </is>
      </c>
      <c r="F55" s="20" t="inlineStr">
        <is>
          <t>12.375 SOL</t>
        </is>
      </c>
      <c r="G55" s="22" t="inlineStr">
        <is>
          <t>2.174 SOL</t>
        </is>
      </c>
      <c r="H55" s="22" t="inlineStr">
        <is>
          <t>21.31%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27.10.2024 04:34:08</t>
        </is>
      </c>
      <c r="M55" s="18" t="inlineStr">
        <is>
          <t>7 sec</t>
        </is>
      </c>
      <c r="N55" s="20" t="inlineStr">
        <is>
          <t xml:space="preserve">          7K             9K             5K</t>
        </is>
      </c>
      <c r="O55" s="20" t="inlineStr">
        <is>
          <t>FArTKU5QFXRQg1xcen1dbU9WuEEjayaX5nqPseoYpump</t>
        </is>
      </c>
      <c r="P55" s="20">
        <f>HYPERLINK("https://photon-sol.tinyastro.io/en/lp/FArTKU5QFXRQg1xcen1dbU9WuEEjayaX5nqPseoYpump?handle=676050794bc1b1657a56b", "View")</f>
        <v/>
      </c>
    </row>
    <row r="56">
      <c r="A56" s="15" t="inlineStr">
        <is>
          <t>wGoat</t>
        </is>
      </c>
      <c r="B56" s="16" t="n">
        <v>166662736</v>
      </c>
      <c r="C56" s="16" t="n">
        <v>166662746</v>
      </c>
      <c r="D56" s="16" t="inlineStr">
        <is>
          <t>0.006010</t>
        </is>
      </c>
      <c r="E56" s="16" t="inlineStr">
        <is>
          <t>5.000 SOL</t>
        </is>
      </c>
      <c r="F56" s="16" t="inlineStr">
        <is>
          <t>7.089 SOL</t>
        </is>
      </c>
      <c r="G56" s="22" t="inlineStr">
        <is>
          <t>2.083 SOL</t>
        </is>
      </c>
      <c r="H56" s="22" t="inlineStr">
        <is>
          <t>41.61%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27.10.2024 04:03:26</t>
        </is>
      </c>
      <c r="M56" s="18" t="inlineStr">
        <is>
          <t>7 sec</t>
        </is>
      </c>
      <c r="N56" s="16" t="inlineStr">
        <is>
          <t xml:space="preserve">          5K             7K             4K</t>
        </is>
      </c>
      <c r="O56" s="16" t="inlineStr">
        <is>
          <t>9qBzK4h2PuS7oC2cn9VUdUjnyGgLMb4SVB3tL3rpump</t>
        </is>
      </c>
      <c r="P56" s="16">
        <f>HYPERLINK("https://dexscreener.com/solana/9qBzK4h2PuS7oC2cn9VUdUjnyGgLMb4SVB3tL3rpump", "View")</f>
        <v/>
      </c>
    </row>
    <row r="57">
      <c r="A57" s="19" t="inlineStr">
        <is>
          <t>GRAGI</t>
        </is>
      </c>
      <c r="B57" s="20" t="n">
        <v>249552776</v>
      </c>
      <c r="C57" s="20" t="n">
        <v>249552776</v>
      </c>
      <c r="D57" s="20" t="inlineStr">
        <is>
          <t>0.006010</t>
        </is>
      </c>
      <c r="E57" s="20" t="inlineStr">
        <is>
          <t>10.195 SOL</t>
        </is>
      </c>
      <c r="F57" s="20" t="inlineStr">
        <is>
          <t>11.694 SOL</t>
        </is>
      </c>
      <c r="G57" s="22" t="inlineStr">
        <is>
          <t>1.493 SOL</t>
        </is>
      </c>
      <c r="H57" s="22" t="inlineStr">
        <is>
          <t>14.63%</t>
        </is>
      </c>
      <c r="I57" s="20" t="inlineStr">
        <is>
          <t>N/A</t>
        </is>
      </c>
      <c r="J57" s="20" t="n">
        <v>1</v>
      </c>
      <c r="K57" s="20" t="n">
        <v>1</v>
      </c>
      <c r="L57" s="20" t="inlineStr">
        <is>
          <t>27.10.2024 04:02:46</t>
        </is>
      </c>
      <c r="M57" s="18" t="inlineStr">
        <is>
          <t>8 sec</t>
        </is>
      </c>
      <c r="N57" s="20" t="inlineStr">
        <is>
          <t xml:space="preserve">          7K             9K             5K</t>
        </is>
      </c>
      <c r="O57" s="20" t="inlineStr">
        <is>
          <t>DoGp7ekgEHHuGMGNQhwwXS3cGYZUbupGWwimcvTnzEwr</t>
        </is>
      </c>
      <c r="P57" s="20">
        <f>HYPERLINK("https://photon-sol.tinyastro.io/en/lp/DoGp7ekgEHHuGMGNQhwwXS3cGYZUbupGWwimcvTnzEwr?handle=676050794bc1b1657a56b", "View")</f>
        <v/>
      </c>
    </row>
    <row r="58">
      <c r="A58" s="15" t="inlineStr">
        <is>
          <t>furnace</t>
        </is>
      </c>
      <c r="B58" s="16" t="n">
        <v>157955925</v>
      </c>
      <c r="C58" s="16" t="n">
        <v>157955925</v>
      </c>
      <c r="D58" s="16" t="inlineStr">
        <is>
          <t>0.006010</t>
        </is>
      </c>
      <c r="E58" s="16" t="inlineStr">
        <is>
          <t>10.195 SOL</t>
        </is>
      </c>
      <c r="F58" s="16" t="inlineStr">
        <is>
          <t>9.670 SOL</t>
        </is>
      </c>
      <c r="G58" s="21" t="inlineStr">
        <is>
          <t>-0.531 SOL</t>
        </is>
      </c>
      <c r="H58" s="21" t="inlineStr">
        <is>
          <t>-5.20%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27.10.2024 04:01:24</t>
        </is>
      </c>
      <c r="M58" s="16" t="inlineStr">
        <is>
          <t>2 min</t>
        </is>
      </c>
      <c r="N58" s="16" t="inlineStr">
        <is>
          <t xml:space="preserve">         11K            11K             5K</t>
        </is>
      </c>
      <c r="O58" s="16" t="inlineStr">
        <is>
          <t>GafQ6PqZ7VsZ5nrnu8d4cq1yVwq2yfxQorm9b4Hkpump</t>
        </is>
      </c>
      <c r="P58" s="16">
        <f>HYPERLINK("https://photon-sol.tinyastro.io/en/lp/GafQ6PqZ7VsZ5nrnu8d4cq1yVwq2yfxQorm9b4Hkpump?handle=676050794bc1b1657a56b", "View")</f>
        <v/>
      </c>
    </row>
    <row r="59">
      <c r="A59" s="19" t="inlineStr">
        <is>
          <t>STEVE</t>
        </is>
      </c>
      <c r="B59" s="20" t="n">
        <v>41108529</v>
      </c>
      <c r="C59" s="20" t="n">
        <v>21108529</v>
      </c>
      <c r="D59" s="20" t="inlineStr">
        <is>
          <t>0.006010</t>
        </is>
      </c>
      <c r="E59" s="20" t="inlineStr">
        <is>
          <t>15.000 SOL</t>
        </is>
      </c>
      <c r="F59" s="20" t="inlineStr">
        <is>
          <t>45.987 SOL</t>
        </is>
      </c>
      <c r="G59" s="23" t="inlineStr">
        <is>
          <t>30.981 SOL</t>
        </is>
      </c>
      <c r="H59" s="23" t="inlineStr">
        <is>
          <t>206.46%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26.10.2024 20:15:00</t>
        </is>
      </c>
      <c r="M59" s="20" t="inlineStr">
        <is>
          <t>6 hours</t>
        </is>
      </c>
      <c r="N59" s="20" t="inlineStr">
        <is>
          <t xml:space="preserve">         62K            62K            24K</t>
        </is>
      </c>
      <c r="O59" s="20" t="inlineStr">
        <is>
          <t>38nBDcor3onWbxC8mjNN53xHibgXGrJmPBiP27Zhpump</t>
        </is>
      </c>
      <c r="P59" s="20">
        <f>HYPERLINK("https://dexscreener.com/solana/38nBDcor3onWbxC8mjNN53xHibgXGrJmPBiP27Zhpump", "View")</f>
        <v/>
      </c>
    </row>
    <row r="60">
      <c r="A60" s="15" t="inlineStr">
        <is>
          <t>Onyxeus</t>
        </is>
      </c>
      <c r="B60" s="16" t="n">
        <v>242851312</v>
      </c>
      <c r="C60" s="16" t="n">
        <v>242871312</v>
      </c>
      <c r="D60" s="16" t="inlineStr">
        <is>
          <t>0.006010</t>
        </is>
      </c>
      <c r="E60" s="16" t="inlineStr">
        <is>
          <t>10.193 SOL</t>
        </is>
      </c>
      <c r="F60" s="16" t="inlineStr">
        <is>
          <t>14.532 SOL</t>
        </is>
      </c>
      <c r="G60" s="22" t="inlineStr">
        <is>
          <t>4.333 SOL</t>
        </is>
      </c>
      <c r="H60" s="22" t="inlineStr">
        <is>
          <t>42.48%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26.10.2024 13:56:34</t>
        </is>
      </c>
      <c r="M60" s="18" t="inlineStr">
        <is>
          <t>7 sec</t>
        </is>
      </c>
      <c r="N60" s="16" t="inlineStr">
        <is>
          <t xml:space="preserve">          7K            11K             5K</t>
        </is>
      </c>
      <c r="O60" s="16" t="inlineStr">
        <is>
          <t>H2pAVoN8cppVm8yeKNdFiKZ82gbVka55PuwvyPDspump</t>
        </is>
      </c>
      <c r="P60" s="16">
        <f>HYPERLINK("https://photon-sol.tinyastro.io/en/lp/H2pAVoN8cppVm8yeKNdFiKZ82gbVka55PuwvyPDspump?handle=676050794bc1b1657a56b", "View")</f>
        <v/>
      </c>
    </row>
    <row r="61">
      <c r="A61" s="19" t="inlineStr">
        <is>
          <t xml:space="preserve">Toni </t>
        </is>
      </c>
      <c r="B61" s="20" t="n">
        <v>231445799</v>
      </c>
      <c r="C61" s="20" t="n">
        <v>231945799</v>
      </c>
      <c r="D61" s="20" t="inlineStr">
        <is>
          <t>0.006010</t>
        </is>
      </c>
      <c r="E61" s="20" t="inlineStr">
        <is>
          <t>10.000 SOL</t>
        </is>
      </c>
      <c r="F61" s="20" t="inlineStr">
        <is>
          <t>17.370 SOL</t>
        </is>
      </c>
      <c r="G61" s="23" t="inlineStr">
        <is>
          <t>7.364 SOL</t>
        </is>
      </c>
      <c r="H61" s="23" t="inlineStr">
        <is>
          <t>73.59%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26.10.2024 13:56:06</t>
        </is>
      </c>
      <c r="M61" s="18" t="inlineStr">
        <is>
          <t>10 sec</t>
        </is>
      </c>
      <c r="N61" s="20" t="inlineStr">
        <is>
          <t xml:space="preserve">          7K            12K             4K</t>
        </is>
      </c>
      <c r="O61" s="20" t="inlineStr">
        <is>
          <t>7pfYbrYnc5u62HaLMzxsqutmYeE61UwDUerRCjWABX6R</t>
        </is>
      </c>
      <c r="P61" s="20">
        <f>HYPERLINK("https://dexscreener.com/solana/7pfYbrYnc5u62HaLMzxsqutmYeE61UwDUerRCjWABX6R", "View")</f>
        <v/>
      </c>
    </row>
    <row r="62">
      <c r="A62" s="15" t="inlineStr">
        <is>
          <t>Kamy</t>
        </is>
      </c>
      <c r="B62" s="16" t="n">
        <v>153139201</v>
      </c>
      <c r="C62" s="16" t="n">
        <v>153139201</v>
      </c>
      <c r="D62" s="16" t="inlineStr">
        <is>
          <t>0.103010</t>
        </is>
      </c>
      <c r="E62" s="16" t="inlineStr">
        <is>
          <t>5.100 SOL</t>
        </is>
      </c>
      <c r="F62" s="16" t="inlineStr">
        <is>
          <t>9.443 SOL</t>
        </is>
      </c>
      <c r="G62" s="23" t="inlineStr">
        <is>
          <t>4.240 SOL</t>
        </is>
      </c>
      <c r="H62" s="23" t="inlineStr">
        <is>
          <t>81.49%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25.10.2024 19:59:56</t>
        </is>
      </c>
      <c r="M62" s="18" t="inlineStr">
        <is>
          <t>14 sec</t>
        </is>
      </c>
      <c r="N62" s="16" t="inlineStr">
        <is>
          <t xml:space="preserve">          5K            11K             5K</t>
        </is>
      </c>
      <c r="O62" s="16" t="inlineStr">
        <is>
          <t>BMiBjaMYi94Hjrkp9LP4XKqzZeon3rNcHvK9Wbm2pump</t>
        </is>
      </c>
      <c r="P62" s="16">
        <f>HYPERLINK("https://photon-sol.tinyastro.io/en/lp/BMiBjaMYi94Hjrkp9LP4XKqzZeon3rNcHvK9Wbm2pump?handle=676050794bc1b1657a56b", "View")</f>
        <v/>
      </c>
    </row>
    <row r="63">
      <c r="A63" s="19" t="inlineStr">
        <is>
          <t>IA</t>
        </is>
      </c>
      <c r="B63" s="20" t="n">
        <v>260163700</v>
      </c>
      <c r="C63" s="20" t="n">
        <v>261163700</v>
      </c>
      <c r="D63" s="20" t="inlineStr">
        <is>
          <t>0.006010</t>
        </is>
      </c>
      <c r="E63" s="20" t="inlineStr">
        <is>
          <t>10.193 SOL</t>
        </is>
      </c>
      <c r="F63" s="20" t="inlineStr">
        <is>
          <t>13.317 SOL</t>
        </is>
      </c>
      <c r="G63" s="22" t="inlineStr">
        <is>
          <t>3.118 SOL</t>
        </is>
      </c>
      <c r="H63" s="22" t="inlineStr">
        <is>
          <t>30.57%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25.10.2024 19:56:05</t>
        </is>
      </c>
      <c r="M63" s="18" t="inlineStr">
        <is>
          <t>11 sec</t>
        </is>
      </c>
      <c r="N63" s="20" t="inlineStr">
        <is>
          <t xml:space="preserve">          7K             9K             5K</t>
        </is>
      </c>
      <c r="O63" s="20" t="inlineStr">
        <is>
          <t>8pagc8fs1Ts5Pa2FCcdoYG1AYmwpPnRXXzAt7ixFpump</t>
        </is>
      </c>
      <c r="P63" s="20">
        <f>HYPERLINK("https://photon-sol.tinyastro.io/en/lp/8pagc8fs1Ts5Pa2FCcdoYG1AYmwpPnRXXzAt7ixFpump?handle=676050794bc1b1657a56b", "View")</f>
        <v/>
      </c>
    </row>
    <row r="64">
      <c r="A64" s="15" t="inlineStr">
        <is>
          <t>dreamcore</t>
        </is>
      </c>
      <c r="B64" s="16" t="n">
        <v>234554734</v>
      </c>
      <c r="C64" s="16" t="n">
        <v>234554734</v>
      </c>
      <c r="D64" s="16" t="inlineStr">
        <is>
          <t>0.006010</t>
        </is>
      </c>
      <c r="E64" s="16" t="inlineStr">
        <is>
          <t>10.195 SOL</t>
        </is>
      </c>
      <c r="F64" s="16" t="inlineStr">
        <is>
          <t>19.968 SOL</t>
        </is>
      </c>
      <c r="G64" s="23" t="inlineStr">
        <is>
          <t>9.767 SOL</t>
        </is>
      </c>
      <c r="H64" s="23" t="inlineStr">
        <is>
          <t>95.74%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25.10.2024 19:55:26</t>
        </is>
      </c>
      <c r="M64" s="18" t="inlineStr">
        <is>
          <t>30 sec</t>
        </is>
      </c>
      <c r="N64" s="16" t="inlineStr">
        <is>
          <t xml:space="preserve">          7K            16K             5K</t>
        </is>
      </c>
      <c r="O64" s="16" t="inlineStr">
        <is>
          <t>EPXfsEwVSb2jJRbKeiLSZfkVs7EwiRh3pu2fN7phpump</t>
        </is>
      </c>
      <c r="P64" s="16">
        <f>HYPERLINK("https://photon-sol.tinyastro.io/en/lp/EPXfsEwVSb2jJRbKeiLSZfkVs7EwiRh3pu2fN7phpump?handle=676050794bc1b1657a56b", "View")</f>
        <v/>
      </c>
    </row>
    <row r="65">
      <c r="A65" s="19" t="inlineStr">
        <is>
          <t>francis</t>
        </is>
      </c>
      <c r="B65" s="20" t="n">
        <v>268012762</v>
      </c>
      <c r="C65" s="20" t="n">
        <v>268112762</v>
      </c>
      <c r="D65" s="20" t="inlineStr">
        <is>
          <t>0.006010</t>
        </is>
      </c>
      <c r="E65" s="20" t="inlineStr">
        <is>
          <t>10.193 SOL</t>
        </is>
      </c>
      <c r="F65" s="20" t="inlineStr">
        <is>
          <t>20.850 SOL</t>
        </is>
      </c>
      <c r="G65" s="23" t="inlineStr">
        <is>
          <t>10.651 SOL</t>
        </is>
      </c>
      <c r="H65" s="23" t="inlineStr">
        <is>
          <t>104.43%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25.10.2024 17:34:34</t>
        </is>
      </c>
      <c r="M65" s="18" t="inlineStr">
        <is>
          <t>34 sec</t>
        </is>
      </c>
      <c r="N65" s="20" t="inlineStr">
        <is>
          <t xml:space="preserve">          7K            14K             5K</t>
        </is>
      </c>
      <c r="O65" s="20" t="inlineStr">
        <is>
          <t>BTxgJsZEBrhV2HDJrBPUL15LqDB2KX4SVMiMDhXwpump</t>
        </is>
      </c>
      <c r="P65" s="20">
        <f>HYPERLINK("https://photon-sol.tinyastro.io/en/lp/BTxgJsZEBrhV2HDJrBPUL15LqDB2KX4SVMiMDhXwpump?handle=676050794bc1b1657a56b", "View")</f>
        <v/>
      </c>
    </row>
    <row r="66">
      <c r="A66" s="15" t="inlineStr">
        <is>
          <t>GROG</t>
        </is>
      </c>
      <c r="B66" s="16" t="n">
        <v>244872809</v>
      </c>
      <c r="C66" s="16" t="n">
        <v>244872809</v>
      </c>
      <c r="D66" s="16" t="inlineStr">
        <is>
          <t>0.006010</t>
        </is>
      </c>
      <c r="E66" s="16" t="inlineStr">
        <is>
          <t>10.195 SOL</t>
        </is>
      </c>
      <c r="F66" s="16" t="inlineStr">
        <is>
          <t>12.197 SOL</t>
        </is>
      </c>
      <c r="G66" s="22" t="inlineStr">
        <is>
          <t>1.996 SOL</t>
        </is>
      </c>
      <c r="H66" s="22" t="inlineStr">
        <is>
          <t>19.57%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25.10.2024 06:43:31</t>
        </is>
      </c>
      <c r="M66" s="18" t="inlineStr">
        <is>
          <t>7 sec</t>
        </is>
      </c>
      <c r="N66" s="16" t="inlineStr">
        <is>
          <t xml:space="preserve">          7K             9K             5K</t>
        </is>
      </c>
      <c r="O66" s="16" t="inlineStr">
        <is>
          <t>GH55CTr9oovhVtVn1qXygyqnXhPgnWVMtkRVDtexhMBE</t>
        </is>
      </c>
      <c r="P66" s="16">
        <f>HYPERLINK("https://photon-sol.tinyastro.io/en/lp/GH55CTr9oovhVtVn1qXygyqnXhPgnWVMtkRVDtexhMBE?handle=676050794bc1b1657a56b", "View")</f>
        <v/>
      </c>
    </row>
    <row r="67">
      <c r="A67" s="19" t="inlineStr">
        <is>
          <t>dog</t>
        </is>
      </c>
      <c r="B67" s="20" t="n">
        <v>144139007</v>
      </c>
      <c r="C67" s="20" t="n">
        <v>144139007</v>
      </c>
      <c r="D67" s="20" t="inlineStr">
        <is>
          <t>0.006010</t>
        </is>
      </c>
      <c r="E67" s="20" t="inlineStr">
        <is>
          <t>5.100 SOL</t>
        </is>
      </c>
      <c r="F67" s="20" t="inlineStr">
        <is>
          <t>6.112 SOL</t>
        </is>
      </c>
      <c r="G67" s="22" t="inlineStr">
        <is>
          <t>1.006 SOL</t>
        </is>
      </c>
      <c r="H67" s="22" t="inlineStr">
        <is>
          <t>19.71%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25.10.2024 06:41:14</t>
        </is>
      </c>
      <c r="M67" s="18" t="inlineStr">
        <is>
          <t>7 sec</t>
        </is>
      </c>
      <c r="N67" s="20" t="inlineStr">
        <is>
          <t xml:space="preserve">          7K             7K             5K</t>
        </is>
      </c>
      <c r="O67" s="20" t="inlineStr">
        <is>
          <t>CgG28gxn3QHvUG7y9Ko2uNX5UamFuDb2jHy79rDfpump</t>
        </is>
      </c>
      <c r="P67" s="20">
        <f>HYPERLINK("https://photon-sol.tinyastro.io/en/lp/CgG28gxn3QHvUG7y9Ko2uNX5UamFuDb2jHy79rDfpump?handle=676050794bc1b1657a56b", "View")</f>
        <v/>
      </c>
    </row>
    <row r="68">
      <c r="A68" s="15" t="inlineStr">
        <is>
          <t>AREA 51</t>
        </is>
      </c>
      <c r="B68" s="16" t="n">
        <v>133675275</v>
      </c>
      <c r="C68" s="16" t="n">
        <v>133675275</v>
      </c>
      <c r="D68" s="16" t="inlineStr">
        <is>
          <t>0.006010</t>
        </is>
      </c>
      <c r="E68" s="16" t="inlineStr">
        <is>
          <t>5.100 SOL</t>
        </is>
      </c>
      <c r="F68" s="16" t="inlineStr">
        <is>
          <t>7.671 SOL</t>
        </is>
      </c>
      <c r="G68" s="23" t="inlineStr">
        <is>
          <t>2.565 SOL</t>
        </is>
      </c>
      <c r="H68" s="23" t="inlineStr">
        <is>
          <t>50.23%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25.10.2024 06:40:45</t>
        </is>
      </c>
      <c r="M68" s="18" t="inlineStr">
        <is>
          <t>7 sec</t>
        </is>
      </c>
      <c r="N68" s="16" t="inlineStr">
        <is>
          <t xml:space="preserve">          7K            11K             5K</t>
        </is>
      </c>
      <c r="O68" s="16" t="inlineStr">
        <is>
          <t>F2a8g6AvH6ujvM5Zn8sWPgqSXZmHf6pVJDp1urCCpump</t>
        </is>
      </c>
      <c r="P68" s="16">
        <f>HYPERLINK("https://photon-sol.tinyastro.io/en/lp/F2a8g6AvH6ujvM5Zn8sWPgqSXZmHf6pVJDp1urCCpump?handle=676050794bc1b1657a56b", "View")</f>
        <v/>
      </c>
    </row>
    <row r="69">
      <c r="A69" s="19" t="inlineStr">
        <is>
          <t>SHERIF</t>
        </is>
      </c>
      <c r="B69" s="20" t="n">
        <v>135785680</v>
      </c>
      <c r="C69" s="20" t="n">
        <v>135785680</v>
      </c>
      <c r="D69" s="20" t="inlineStr">
        <is>
          <t>0.103010</t>
        </is>
      </c>
      <c r="E69" s="20" t="inlineStr">
        <is>
          <t>5.100 SOL</t>
        </is>
      </c>
      <c r="F69" s="20" t="inlineStr">
        <is>
          <t>5.324 SOL</t>
        </is>
      </c>
      <c r="G69" s="22" t="inlineStr">
        <is>
          <t>0.121 SOL</t>
        </is>
      </c>
      <c r="H69" s="22" t="inlineStr">
        <is>
          <t>2.33%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25.10.2024 06:40:23</t>
        </is>
      </c>
      <c r="M69" s="18" t="inlineStr">
        <is>
          <t>9 sec</t>
        </is>
      </c>
      <c r="N69" s="20" t="inlineStr">
        <is>
          <t xml:space="preserve">          7K             7K             5K</t>
        </is>
      </c>
      <c r="O69" s="20" t="inlineStr">
        <is>
          <t>7KP4HsrQ5QvYFZGks9AJNKG8df1GUfhamiPzVUUznBdJ</t>
        </is>
      </c>
      <c r="P69" s="20">
        <f>HYPERLINK("https://photon-sol.tinyastro.io/en/lp/7KP4HsrQ5QvYFZGks9AJNKG8df1GUfhamiPzVUUznBdJ?handle=676050794bc1b1657a56b", "View")</f>
        <v/>
      </c>
    </row>
    <row r="70">
      <c r="A70" s="15" t="inlineStr">
        <is>
          <t>$GOATS</t>
        </is>
      </c>
      <c r="B70" s="16" t="n">
        <v>93025296</v>
      </c>
      <c r="C70" s="16" t="n">
        <v>93025296</v>
      </c>
      <c r="D70" s="16" t="inlineStr">
        <is>
          <t>0.006010</t>
        </is>
      </c>
      <c r="E70" s="16" t="inlineStr">
        <is>
          <t>3.062 SOL</t>
        </is>
      </c>
      <c r="F70" s="16" t="inlineStr">
        <is>
          <t>4.677 SOL</t>
        </is>
      </c>
      <c r="G70" s="23" t="inlineStr">
        <is>
          <t>1.609 SOL</t>
        </is>
      </c>
      <c r="H70" s="23" t="inlineStr">
        <is>
          <t>52.45%</t>
        </is>
      </c>
      <c r="I70" s="16" t="inlineStr">
        <is>
          <t>N/A</t>
        </is>
      </c>
      <c r="J70" s="16" t="n">
        <v>1</v>
      </c>
      <c r="K70" s="16" t="n">
        <v>1</v>
      </c>
      <c r="L70" s="16" t="inlineStr">
        <is>
          <t>25.10.2024 06:39:49</t>
        </is>
      </c>
      <c r="M70" s="16" t="inlineStr">
        <is>
          <t>1 min</t>
        </is>
      </c>
      <c r="N70" s="16" t="inlineStr">
        <is>
          <t xml:space="preserve">          5K             9K             5K</t>
        </is>
      </c>
      <c r="O70" s="16" t="inlineStr">
        <is>
          <t>GEQJdDthMsEiGvC7fHLaPZLoBk3jC6MDDRb13doypump</t>
        </is>
      </c>
      <c r="P70" s="16">
        <f>HYPERLINK("https://photon-sol.tinyastro.io/en/lp/GEQJdDthMsEiGvC7fHLaPZLoBk3jC6MDDRb13doypump?handle=676050794bc1b1657a56b", "View")</f>
        <v/>
      </c>
    </row>
    <row r="71">
      <c r="A71" s="19" t="inlineStr">
        <is>
          <t>qrWIF</t>
        </is>
      </c>
      <c r="B71" s="20" t="n">
        <v>180468445</v>
      </c>
      <c r="C71" s="20" t="n">
        <v>180468445</v>
      </c>
      <c r="D71" s="20" t="inlineStr">
        <is>
          <t>0.006010</t>
        </is>
      </c>
      <c r="E71" s="20" t="inlineStr">
        <is>
          <t>7.138 SOL</t>
        </is>
      </c>
      <c r="F71" s="20" t="inlineStr">
        <is>
          <t>8.186 SOL</t>
        </is>
      </c>
      <c r="G71" s="22" t="inlineStr">
        <is>
          <t>1.042 SOL</t>
        </is>
      </c>
      <c r="H71" s="22" t="inlineStr">
        <is>
          <t>14.59%</t>
        </is>
      </c>
      <c r="I71" s="20" t="inlineStr">
        <is>
          <t>N/A</t>
        </is>
      </c>
      <c r="J71" s="20" t="n">
        <v>1</v>
      </c>
      <c r="K71" s="20" t="n">
        <v>1</v>
      </c>
      <c r="L71" s="20" t="inlineStr">
        <is>
          <t>25.10.2024 06:37:47</t>
        </is>
      </c>
      <c r="M71" s="18" t="inlineStr">
        <is>
          <t>10 sec</t>
        </is>
      </c>
      <c r="N71" s="20" t="inlineStr">
        <is>
          <t xml:space="preserve">          7K             9K             5K</t>
        </is>
      </c>
      <c r="O71" s="20" t="inlineStr">
        <is>
          <t>FZ4CQfshmnb9wGb2674siWmAfvUVs1pjuzkKuGx6pump</t>
        </is>
      </c>
      <c r="P71" s="20">
        <f>HYPERLINK("https://photon-sol.tinyastro.io/en/lp/FZ4CQfshmnb9wGb2674siWmAfvUVs1pjuzkKuGx6pump?handle=676050794bc1b1657a56b", "View")</f>
        <v/>
      </c>
    </row>
    <row r="72">
      <c r="A72" s="15" t="inlineStr">
        <is>
          <t>BUSH</t>
        </is>
      </c>
      <c r="B72" s="16" t="n">
        <v>210325986</v>
      </c>
      <c r="C72" s="16" t="n">
        <v>210343762</v>
      </c>
      <c r="D72" s="16" t="inlineStr">
        <is>
          <t>0.006010</t>
        </is>
      </c>
      <c r="E72" s="16" t="inlineStr">
        <is>
          <t>8.000 SOL</t>
        </is>
      </c>
      <c r="F72" s="16" t="inlineStr">
        <is>
          <t>11.337 SOL</t>
        </is>
      </c>
      <c r="G72" s="22" t="inlineStr">
        <is>
          <t>3.331 SOL</t>
        </is>
      </c>
      <c r="H72" s="22" t="inlineStr">
        <is>
          <t>41.61%</t>
        </is>
      </c>
      <c r="I72" s="16" t="inlineStr">
        <is>
          <t>N/A</t>
        </is>
      </c>
      <c r="J72" s="16" t="n">
        <v>1</v>
      </c>
      <c r="K72" s="16" t="n">
        <v>1</v>
      </c>
      <c r="L72" s="16" t="inlineStr">
        <is>
          <t>25.10.2024 06:36:36</t>
        </is>
      </c>
      <c r="M72" s="18" t="inlineStr">
        <is>
          <t>32 sec</t>
        </is>
      </c>
      <c r="N72" s="16" t="inlineStr">
        <is>
          <t xml:space="preserve">          7K             9K             5K</t>
        </is>
      </c>
      <c r="O72" s="16" t="inlineStr">
        <is>
          <t>Fwtyjwmuu44LCNRi1eBdQTT1srdj1ZHfzDsxAm3cpump</t>
        </is>
      </c>
      <c r="P72" s="16">
        <f>HYPERLINK("https://dexscreener.com/solana/Fwtyjwmuu44LCNRi1eBdQTT1srdj1ZHfzDsxAm3cpump", "View")</f>
        <v/>
      </c>
    </row>
    <row r="73">
      <c r="A73" s="19" t="inlineStr">
        <is>
          <t>$AUDOG</t>
        </is>
      </c>
      <c r="B73" s="20" t="n">
        <v>171317651</v>
      </c>
      <c r="C73" s="20" t="n">
        <v>171317651</v>
      </c>
      <c r="D73" s="20" t="inlineStr">
        <is>
          <t>0.006010</t>
        </is>
      </c>
      <c r="E73" s="20" t="inlineStr">
        <is>
          <t>7.138 SOL</t>
        </is>
      </c>
      <c r="F73" s="20" t="inlineStr">
        <is>
          <t>12.142 SOL</t>
        </is>
      </c>
      <c r="G73" s="23" t="inlineStr">
        <is>
          <t>4.998 SOL</t>
        </is>
      </c>
      <c r="H73" s="23" t="inlineStr">
        <is>
          <t>69.96%</t>
        </is>
      </c>
      <c r="I73" s="20" t="inlineStr">
        <is>
          <t>N/A</t>
        </is>
      </c>
      <c r="J73" s="20" t="n">
        <v>1</v>
      </c>
      <c r="K73" s="20" t="n">
        <v>1</v>
      </c>
      <c r="L73" s="20" t="inlineStr">
        <is>
          <t>25.10.2024 06:35:39</t>
        </is>
      </c>
      <c r="M73" s="18" t="inlineStr">
        <is>
          <t>8 sec</t>
        </is>
      </c>
      <c r="N73" s="20" t="inlineStr">
        <is>
          <t xml:space="preserve">          7K            12K             5K</t>
        </is>
      </c>
      <c r="O73" s="20" t="inlineStr">
        <is>
          <t>5tN7HoPftQ8E9upZQVTfH3hg6m6SocBPc6Xw89nGpump</t>
        </is>
      </c>
      <c r="P73" s="20">
        <f>HYPERLINK("https://photon-sol.tinyastro.io/en/lp/5tN7HoPftQ8E9upZQVTfH3hg6m6SocBPc6Xw89nGpump?handle=676050794bc1b1657a56b", "View")</f>
        <v/>
      </c>
    </row>
    <row r="74">
      <c r="A74" s="15" t="inlineStr">
        <is>
          <t xml:space="preserve">ASI </t>
        </is>
      </c>
      <c r="B74" s="16" t="n">
        <v>209239572</v>
      </c>
      <c r="C74" s="16" t="n">
        <v>209239572</v>
      </c>
      <c r="D74" s="16" t="inlineStr">
        <is>
          <t>0.006010</t>
        </is>
      </c>
      <c r="E74" s="16" t="inlineStr">
        <is>
          <t>10.000 SOL</t>
        </is>
      </c>
      <c r="F74" s="16" t="inlineStr">
        <is>
          <t>18.603 SOL</t>
        </is>
      </c>
      <c r="G74" s="23" t="inlineStr">
        <is>
          <t>8.597 SOL</t>
        </is>
      </c>
      <c r="H74" s="23" t="inlineStr">
        <is>
          <t>85.92%</t>
        </is>
      </c>
      <c r="I74" s="16" t="inlineStr">
        <is>
          <t>N/A</t>
        </is>
      </c>
      <c r="J74" s="16" t="n">
        <v>1</v>
      </c>
      <c r="K74" s="16" t="n">
        <v>1</v>
      </c>
      <c r="L74" s="16" t="inlineStr">
        <is>
          <t>25.10.2024 03:53:46</t>
        </is>
      </c>
      <c r="M74" s="18" t="inlineStr">
        <is>
          <t>10 sec</t>
        </is>
      </c>
      <c r="N74" s="16" t="inlineStr">
        <is>
          <t xml:space="preserve">          9K            16K             4K</t>
        </is>
      </c>
      <c r="O74" s="16" t="inlineStr">
        <is>
          <t>Ux8UWqxQsfGixxHSHn268j1zzfyG8iL4k5sm4P2pump</t>
        </is>
      </c>
      <c r="P74" s="16">
        <f>HYPERLINK("https://dexscreener.com/solana/Ux8UWqxQsfGixxHSHn268j1zzfyG8iL4k5sm4P2pump", "View")</f>
        <v/>
      </c>
    </row>
    <row r="75">
      <c r="A75" s="19" t="inlineStr">
        <is>
          <t>Project69</t>
        </is>
      </c>
      <c r="B75" s="20" t="n">
        <v>299118274</v>
      </c>
      <c r="C75" s="20" t="n">
        <v>299118274</v>
      </c>
      <c r="D75" s="20" t="inlineStr">
        <is>
          <t>0.006010</t>
        </is>
      </c>
      <c r="E75" s="20" t="inlineStr">
        <is>
          <t>10.000 SOL</t>
        </is>
      </c>
      <c r="F75" s="20" t="inlineStr">
        <is>
          <t>20.145 SOL</t>
        </is>
      </c>
      <c r="G75" s="23" t="inlineStr">
        <is>
          <t>10.139 SOL</t>
        </is>
      </c>
      <c r="H75" s="23" t="inlineStr">
        <is>
          <t>101.33%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25.10.2024 03:53:01</t>
        </is>
      </c>
      <c r="M75" s="18" t="inlineStr">
        <is>
          <t>12 sec</t>
        </is>
      </c>
      <c r="N75" s="20" t="inlineStr">
        <is>
          <t xml:space="preserve">          5K            12K             4K</t>
        </is>
      </c>
      <c r="O75" s="20" t="inlineStr">
        <is>
          <t>B1kNhPWwqNtWdds9Sy4oVm8iaYTXN3LAd4S6GYSDpump</t>
        </is>
      </c>
      <c r="P75" s="20">
        <f>HYPERLINK("https://dexscreener.com/solana/B1kNhPWwqNtWdds9Sy4oVm8iaYTXN3LAd4S6GYSDpump", "View")</f>
        <v/>
      </c>
    </row>
    <row r="76">
      <c r="A76" s="15" t="inlineStr">
        <is>
          <t>OneirOS</t>
        </is>
      </c>
      <c r="B76" s="16" t="n">
        <v>19801266</v>
      </c>
      <c r="C76" s="16" t="n">
        <v>29801266</v>
      </c>
      <c r="D76" s="16" t="inlineStr">
        <is>
          <t>0.103240</t>
        </is>
      </c>
      <c r="E76" s="16" t="inlineStr">
        <is>
          <t>10.000 SOL</t>
        </is>
      </c>
      <c r="F76" s="16" t="inlineStr">
        <is>
          <t>37.578 SOL</t>
        </is>
      </c>
      <c r="G76" s="23" t="inlineStr">
        <is>
          <t>27.474 SOL</t>
        </is>
      </c>
      <c r="H76" s="23" t="inlineStr">
        <is>
          <t>271.94%</t>
        </is>
      </c>
      <c r="I76" s="16" t="inlineStr">
        <is>
          <t>N/A</t>
        </is>
      </c>
      <c r="J76" s="16" t="n">
        <v>1</v>
      </c>
      <c r="K76" s="16" t="n">
        <v>2</v>
      </c>
      <c r="L76" s="16" t="inlineStr">
        <is>
          <t>25.10.2024 01:12:33</t>
        </is>
      </c>
      <c r="M76" s="16" t="inlineStr">
        <is>
          <t>5 hours</t>
        </is>
      </c>
      <c r="N76" s="16" t="inlineStr">
        <is>
          <t xml:space="preserve">         90K            90K            35K</t>
        </is>
      </c>
      <c r="O76" s="16" t="inlineStr">
        <is>
          <t>4FdqyFg3rYs9NRjC7shGmSH7YG4iQgAPSUyzDkWxpump</t>
        </is>
      </c>
      <c r="P76" s="16">
        <f>HYPERLINK("https://dexscreener.com/solana/4FdqyFg3rYs9NRjC7shGmSH7YG4iQgAPSUyzDkWxpump", "View")</f>
        <v/>
      </c>
    </row>
    <row r="77">
      <c r="A77" s="19" t="inlineStr">
        <is>
          <t>Ai dev</t>
        </is>
      </c>
      <c r="B77" s="20" t="n">
        <v>176766556</v>
      </c>
      <c r="C77" s="20" t="n">
        <v>176766556</v>
      </c>
      <c r="D77" s="20" t="inlineStr">
        <is>
          <t>0.000460</t>
        </is>
      </c>
      <c r="E77" s="20" t="inlineStr">
        <is>
          <t>5.000 SOL</t>
        </is>
      </c>
      <c r="F77" s="20" t="inlineStr">
        <is>
          <t>9.736 SOL</t>
        </is>
      </c>
      <c r="G77" s="23" t="inlineStr">
        <is>
          <t>4.735 SOL</t>
        </is>
      </c>
      <c r="H77" s="23" t="inlineStr">
        <is>
          <t>94.70%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25.10.2024 00:20:18</t>
        </is>
      </c>
      <c r="M77" s="18" t="inlineStr">
        <is>
          <t>48 sec</t>
        </is>
      </c>
      <c r="N77" s="20" t="inlineStr">
        <is>
          <t xml:space="preserve">          5K            11K             4K</t>
        </is>
      </c>
      <c r="O77" s="20" t="inlineStr">
        <is>
          <t>HqnsoKfH9XayKxk1NgsgArB8CF63CnGgbUA6w69cpump</t>
        </is>
      </c>
      <c r="P77" s="20">
        <f>HYPERLINK("https://dexscreener.com/solana/HqnsoKfH9XayKxk1NgsgArB8CF63CnGgbUA6w69cpump", "View")</f>
        <v/>
      </c>
    </row>
    <row r="78">
      <c r="A78" s="15" t="inlineStr">
        <is>
          <t>AIDEV</t>
        </is>
      </c>
      <c r="B78" s="16" t="n">
        <v>344001324</v>
      </c>
      <c r="C78" s="16" t="n">
        <v>344001324</v>
      </c>
      <c r="D78" s="16" t="inlineStr">
        <is>
          <t>0.000460</t>
        </is>
      </c>
      <c r="E78" s="16" t="inlineStr">
        <is>
          <t>10.000 SOL</t>
        </is>
      </c>
      <c r="F78" s="16" t="inlineStr">
        <is>
          <t>17.273 SOL</t>
        </is>
      </c>
      <c r="G78" s="23" t="inlineStr">
        <is>
          <t>7.273 SOL</t>
        </is>
      </c>
      <c r="H78" s="23" t="inlineStr">
        <is>
          <t>72.72%</t>
        </is>
      </c>
      <c r="I78" s="16" t="inlineStr">
        <is>
          <t>N/A</t>
        </is>
      </c>
      <c r="J78" s="16" t="n">
        <v>1</v>
      </c>
      <c r="K78" s="16" t="n">
        <v>1</v>
      </c>
      <c r="L78" s="16" t="inlineStr">
        <is>
          <t>25.10.2024 00:19:07</t>
        </is>
      </c>
      <c r="M78" s="18" t="inlineStr">
        <is>
          <t>10 sec</t>
        </is>
      </c>
      <c r="N78" s="16" t="inlineStr">
        <is>
          <t xml:space="preserve">          5K             9K             3K</t>
        </is>
      </c>
      <c r="O78" s="16" t="inlineStr">
        <is>
          <t>ADE2cNeWr3un2oGd1sSoKvDgk1qZ3cGd7u3JS3TzGKR3</t>
        </is>
      </c>
      <c r="P78" s="16">
        <f>HYPERLINK("https://dexscreener.com/solana/ADE2cNeWr3un2oGd1sSoKvDgk1qZ3cGd7u3JS3TzGKR3", "View")</f>
        <v/>
      </c>
    </row>
    <row r="79">
      <c r="A79" s="19" t="inlineStr">
        <is>
          <t>aidev</t>
        </is>
      </c>
      <c r="B79" s="20" t="n">
        <v>472668044</v>
      </c>
      <c r="C79" s="20" t="n">
        <v>472668044</v>
      </c>
      <c r="D79" s="20" t="inlineStr">
        <is>
          <t>0.000920</t>
        </is>
      </c>
      <c r="E79" s="20" t="inlineStr">
        <is>
          <t>15.000 SOL</t>
        </is>
      </c>
      <c r="F79" s="20" t="inlineStr">
        <is>
          <t>56.448 SOL</t>
        </is>
      </c>
      <c r="G79" s="23" t="inlineStr">
        <is>
          <t>41.447 SOL</t>
        </is>
      </c>
      <c r="H79" s="23" t="inlineStr">
        <is>
          <t>276.30%</t>
        </is>
      </c>
      <c r="I79" s="20" t="inlineStr">
        <is>
          <t>N/A</t>
        </is>
      </c>
      <c r="J79" s="20" t="n">
        <v>2</v>
      </c>
      <c r="K79" s="20" t="n">
        <v>2</v>
      </c>
      <c r="L79" s="20" t="inlineStr">
        <is>
          <t>25.10.2024 00:00:27</t>
        </is>
      </c>
      <c r="M79" s="20" t="inlineStr">
        <is>
          <t>55 min</t>
        </is>
      </c>
      <c r="N79" s="20" t="inlineStr">
        <is>
          <t xml:space="preserve">          5K            25K             4K</t>
        </is>
      </c>
      <c r="O79" s="20" t="inlineStr">
        <is>
          <t>7LVUGzAUfS7j6Lm7zYFF7AbJXkskVkh3BbmCPqkupump</t>
        </is>
      </c>
      <c r="P79" s="20">
        <f>HYPERLINK("https://dexscreener.com/solana/7LVUGzAUfS7j6Lm7zYFF7AbJXkskVkh3BbmCPqkupump", "View")</f>
        <v/>
      </c>
    </row>
    <row r="80">
      <c r="A80" s="15" t="inlineStr">
        <is>
          <t>gpt5</t>
        </is>
      </c>
      <c r="B80" s="16" t="n">
        <v>241242066</v>
      </c>
      <c r="C80" s="16" t="n">
        <v>241242066</v>
      </c>
      <c r="D80" s="16" t="inlineStr">
        <is>
          <t>0.007740</t>
        </is>
      </c>
      <c r="E80" s="16" t="inlineStr">
        <is>
          <t>10.000 SOL</t>
        </is>
      </c>
      <c r="F80" s="16" t="inlineStr">
        <is>
          <t>18.212 SOL</t>
        </is>
      </c>
      <c r="G80" s="23" t="inlineStr">
        <is>
          <t>8.205 SOL</t>
        </is>
      </c>
      <c r="H80" s="23" t="inlineStr">
        <is>
          <t>81.98%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24.10.2024 23:59:03</t>
        </is>
      </c>
      <c r="M80" s="18" t="inlineStr">
        <is>
          <t>17 sec</t>
        </is>
      </c>
      <c r="N80" s="16" t="inlineStr">
        <is>
          <t xml:space="preserve">          7K            14K             4K</t>
        </is>
      </c>
      <c r="O80" s="16" t="inlineStr">
        <is>
          <t>8tY1CQVDQrqXcPvYJVQ5THdYseSrFuiSZFXFH17dpump</t>
        </is>
      </c>
      <c r="P80" s="16">
        <f>HYPERLINK("https://dexscreener.com/solana/8tY1CQVDQrqXcPvYJVQ5THdYseSrFuiSZFXFH17dpump", "View")</f>
        <v/>
      </c>
    </row>
    <row r="81">
      <c r="A81" s="19" t="inlineStr">
        <is>
          <t>AIDEVcoin</t>
        </is>
      </c>
      <c r="B81" s="20" t="n">
        <v>268156137</v>
      </c>
      <c r="C81" s="20" t="n">
        <v>268156137</v>
      </c>
      <c r="D81" s="20" t="inlineStr">
        <is>
          <t>0.000460</t>
        </is>
      </c>
      <c r="E81" s="20" t="inlineStr">
        <is>
          <t>10.192 SOL</t>
        </is>
      </c>
      <c r="F81" s="20" t="inlineStr">
        <is>
          <t>34.637 SOL</t>
        </is>
      </c>
      <c r="G81" s="23" t="inlineStr">
        <is>
          <t>24.444 SOL</t>
        </is>
      </c>
      <c r="H81" s="23" t="inlineStr">
        <is>
          <t>239.82%</t>
        </is>
      </c>
      <c r="I81" s="20" t="inlineStr">
        <is>
          <t>N/A</t>
        </is>
      </c>
      <c r="J81" s="20" t="n">
        <v>1</v>
      </c>
      <c r="K81" s="20" t="n">
        <v>1</v>
      </c>
      <c r="L81" s="20" t="inlineStr">
        <is>
          <t>24.10.2024 23:08:15</t>
        </is>
      </c>
      <c r="M81" s="18" t="inlineStr">
        <is>
          <t>56 sec</t>
        </is>
      </c>
      <c r="N81" s="20" t="inlineStr">
        <is>
          <t xml:space="preserve">          7K            23K             5K</t>
        </is>
      </c>
      <c r="O81" s="20" t="inlineStr">
        <is>
          <t>D69F5Jd3GkKRT7C55N9egCN1V4MaF2gZ5rTaab4ipump</t>
        </is>
      </c>
      <c r="P81" s="20">
        <f>HYPERLINK("https://photon-sol.tinyastro.io/en/lp/D69F5Jd3GkKRT7C55N9egCN1V4MaF2gZ5rTaab4ipump?handle=676050794bc1b1657a56b", "View")</f>
        <v/>
      </c>
    </row>
    <row r="82">
      <c r="A82" s="15" t="inlineStr">
        <is>
          <t>Oneirocom</t>
        </is>
      </c>
      <c r="B82" s="16" t="n">
        <v>8932031</v>
      </c>
      <c r="C82" s="16" t="n">
        <v>8932031</v>
      </c>
      <c r="D82" s="16" t="inlineStr">
        <is>
          <t>0.000460</t>
        </is>
      </c>
      <c r="E82" s="16" t="inlineStr">
        <is>
          <t>5.000 SOL</t>
        </is>
      </c>
      <c r="F82" s="16" t="inlineStr">
        <is>
          <t>11.113 SOL</t>
        </is>
      </c>
      <c r="G82" s="23" t="inlineStr">
        <is>
          <t>6.113 SOL</t>
        </is>
      </c>
      <c r="H82" s="23" t="inlineStr">
        <is>
          <t>122.25%</t>
        </is>
      </c>
      <c r="I82" s="16" t="inlineStr">
        <is>
          <t>N/A</t>
        </is>
      </c>
      <c r="J82" s="16" t="n">
        <v>1</v>
      </c>
      <c r="K82" s="16" t="n">
        <v>1</v>
      </c>
      <c r="L82" s="16" t="inlineStr">
        <is>
          <t>24.10.2024 23:03:15</t>
        </is>
      </c>
      <c r="M82" s="18" t="inlineStr">
        <is>
          <t>12 sec</t>
        </is>
      </c>
      <c r="N82" s="16" t="inlineStr">
        <is>
          <t xml:space="preserve">         98K           218K            14K</t>
        </is>
      </c>
      <c r="O82" s="16" t="inlineStr">
        <is>
          <t>4FXm3uodVkE5Gsm6xFiCsuhx1yhCixszVypraeAfpump</t>
        </is>
      </c>
      <c r="P82" s="16">
        <f>HYPERLINK("https://dexscreener.com/solana/4FXm3uodVkE5Gsm6xFiCsuhx1yhCixszVypraeAfpump", "View")</f>
        <v/>
      </c>
    </row>
    <row r="83">
      <c r="A83" s="19" t="inlineStr">
        <is>
          <t>test</t>
        </is>
      </c>
      <c r="B83" s="20" t="n">
        <v>19301668</v>
      </c>
      <c r="C83" s="20" t="n">
        <v>19301668</v>
      </c>
      <c r="D83" s="20" t="inlineStr">
        <is>
          <t>0.016160</t>
        </is>
      </c>
      <c r="E83" s="20" t="inlineStr">
        <is>
          <t>3.059 SOL</t>
        </is>
      </c>
      <c r="F83" s="20" t="inlineStr">
        <is>
          <t>139.983 SOL</t>
        </is>
      </c>
      <c r="G83" s="23" t="inlineStr">
        <is>
          <t>136.908 SOL</t>
        </is>
      </c>
      <c r="H83" s="23" t="inlineStr">
        <is>
          <t>4451.66%</t>
        </is>
      </c>
      <c r="I83" s="20" t="inlineStr">
        <is>
          <t>N/A</t>
        </is>
      </c>
      <c r="J83" s="20" t="n">
        <v>1</v>
      </c>
      <c r="K83" s="20" t="n">
        <v>6</v>
      </c>
      <c r="L83" s="20" t="inlineStr">
        <is>
          <t>24.10.2024 22:26:08</t>
        </is>
      </c>
      <c r="M83" s="20" t="inlineStr">
        <is>
          <t>29 min</t>
        </is>
      </c>
      <c r="N83" s="20" t="inlineStr">
        <is>
          <t xml:space="preserve">         27K            27K            16K</t>
        </is>
      </c>
      <c r="O83" s="20" t="inlineStr">
        <is>
          <t>451zhKaaoX9jt68s5rWpmSKp8uKSu9LZwNmsj5XLpump</t>
        </is>
      </c>
      <c r="P83" s="20">
        <f>HYPERLINK("https://photon-sol.tinyastro.io/en/lp/451zhKaaoX9jt68s5rWpmSKp8uKSu9LZwNmsj5XLpump?handle=676050794bc1b1657a56b", "View")</f>
        <v/>
      </c>
    </row>
    <row r="84">
      <c r="A84" s="15" t="inlineStr">
        <is>
          <t>ICR</t>
        </is>
      </c>
      <c r="B84" s="16" t="n">
        <v>19035717</v>
      </c>
      <c r="C84" s="16" t="n">
        <v>0</v>
      </c>
      <c r="D84" s="16" t="inlineStr">
        <is>
          <t>0.007510</t>
        </is>
      </c>
      <c r="E84" s="16" t="inlineStr">
        <is>
          <t>5.854 SOL</t>
        </is>
      </c>
      <c r="F84" s="16" t="inlineStr">
        <is>
          <t>0.000 SOL</t>
        </is>
      </c>
      <c r="G84" s="17" t="inlineStr">
        <is>
          <t>-5.862 SOL</t>
        </is>
      </c>
      <c r="H84" s="17" t="inlineStr">
        <is>
          <t>0.00%</t>
        </is>
      </c>
      <c r="I84" s="16" t="inlineStr">
        <is>
          <t>19,035,717</t>
        </is>
      </c>
      <c r="J84" s="16" t="n">
        <v>1</v>
      </c>
      <c r="K84" s="16" t="n">
        <v>0</v>
      </c>
      <c r="L84" s="16" t="inlineStr">
        <is>
          <t>24.10.2024 21:44:29</t>
        </is>
      </c>
      <c r="M84" s="18" t="inlineStr">
        <is>
          <t>0 sec</t>
        </is>
      </c>
      <c r="N84" s="16" t="inlineStr">
        <is>
          <t xml:space="preserve">         54K            54K             4K</t>
        </is>
      </c>
      <c r="O84" s="16" t="inlineStr">
        <is>
          <t>E9WEmMYZHcYHnmjKU54vp7KhWwwnMwzLRTj6G9jYpump</t>
        </is>
      </c>
      <c r="P84" s="16">
        <f>HYPERLINK("https://photon-sol.tinyastro.io/en/lp/E9WEmMYZHcYHnmjKU54vp7KhWwwnMwzLRTj6G9jYpump?handle=676050794bc1b1657a56b", "View")</f>
        <v/>
      </c>
    </row>
    <row r="85">
      <c r="A85" s="19" t="inlineStr">
        <is>
          <t>omegapoint</t>
        </is>
      </c>
      <c r="B85" s="20" t="n">
        <v>36500498</v>
      </c>
      <c r="C85" s="20" t="n">
        <v>0</v>
      </c>
      <c r="D85" s="20" t="inlineStr">
        <is>
          <t>0.000230</t>
        </is>
      </c>
      <c r="E85" s="20" t="inlineStr">
        <is>
          <t>1.557 SOL</t>
        </is>
      </c>
      <c r="F85" s="20" t="inlineStr">
        <is>
          <t>0.000 SOL</t>
        </is>
      </c>
      <c r="G85" s="17" t="inlineStr">
        <is>
          <t>-1.557 SOL</t>
        </is>
      </c>
      <c r="H85" s="17" t="inlineStr">
        <is>
          <t>0.00%</t>
        </is>
      </c>
      <c r="I85" s="20" t="inlineStr">
        <is>
          <t>36,500,498</t>
        </is>
      </c>
      <c r="J85" s="20" t="n">
        <v>1</v>
      </c>
      <c r="K85" s="20" t="n">
        <v>0</v>
      </c>
      <c r="L85" s="20" t="inlineStr">
        <is>
          <t>24.10.2024 21:37:16</t>
        </is>
      </c>
      <c r="M85" s="18" t="inlineStr">
        <is>
          <t>0 sec</t>
        </is>
      </c>
      <c r="N85" s="20" t="inlineStr">
        <is>
          <t xml:space="preserve">          7K             7K             6K</t>
        </is>
      </c>
      <c r="O85" s="20" t="inlineStr">
        <is>
          <t>3ysN8D1saprgf6ieHPh67K8JWfMSqxRnsrxWzn78pump</t>
        </is>
      </c>
      <c r="P85" s="20">
        <f>HYPERLINK("https://photon-sol.tinyastro.io/en/lp/3ysN8D1saprgf6ieHPh67K8JWfMSqxRnsrxWzn78pump?handle=676050794bc1b1657a56b", "View")</f>
        <v/>
      </c>
    </row>
    <row r="86">
      <c r="A86" s="15" t="inlineStr">
        <is>
          <t>ARCHONS</t>
        </is>
      </c>
      <c r="B86" s="16" t="n">
        <v>35561845</v>
      </c>
      <c r="C86" s="16" t="n">
        <v>0</v>
      </c>
      <c r="D86" s="16" t="inlineStr">
        <is>
          <t>0.000230</t>
        </is>
      </c>
      <c r="E86" s="16" t="inlineStr">
        <is>
          <t>5.259 SOL</t>
        </is>
      </c>
      <c r="F86" s="16" t="inlineStr">
        <is>
          <t>0.000 SOL</t>
        </is>
      </c>
      <c r="G86" s="17" t="inlineStr">
        <is>
          <t>-5.259 SOL</t>
        </is>
      </c>
      <c r="H86" s="17" t="inlineStr">
        <is>
          <t>0.00%</t>
        </is>
      </c>
      <c r="I86" s="16" t="inlineStr">
        <is>
          <t>35,561,845</t>
        </is>
      </c>
      <c r="J86" s="16" t="n">
        <v>1</v>
      </c>
      <c r="K86" s="16" t="n">
        <v>0</v>
      </c>
      <c r="L86" s="16" t="inlineStr">
        <is>
          <t>24.10.2024 21:33:40</t>
        </is>
      </c>
      <c r="M86" s="18" t="inlineStr">
        <is>
          <t>0 sec</t>
        </is>
      </c>
      <c r="N86" s="16" t="inlineStr">
        <is>
          <t xml:space="preserve">         26K            26K             4K</t>
        </is>
      </c>
      <c r="O86" s="16" t="inlineStr">
        <is>
          <t>8kJVzjpj8Nd2Vz79hQYWZGbAWVauLRNZopNeuCKEpump</t>
        </is>
      </c>
      <c r="P86" s="16">
        <f>HYPERLINK("https://photon-sol.tinyastro.io/en/lp/8kJVzjpj8Nd2Vz79hQYWZGbAWVauLRNZopNeuCKEpump?handle=676050794bc1b1657a56b", "View")</f>
        <v/>
      </c>
    </row>
    <row r="87">
      <c r="A87" s="19" t="inlineStr">
        <is>
          <t>GOAT</t>
        </is>
      </c>
      <c r="B87" s="20" t="n">
        <v>30103434</v>
      </c>
      <c r="C87" s="20" t="n">
        <v>30103434</v>
      </c>
      <c r="D87" s="20" t="inlineStr">
        <is>
          <t>0.007970</t>
        </is>
      </c>
      <c r="E87" s="20" t="inlineStr">
        <is>
          <t>5.565 SOL</t>
        </is>
      </c>
      <c r="F87" s="20" t="inlineStr">
        <is>
          <t>14.076 SOL</t>
        </is>
      </c>
      <c r="G87" s="23" t="inlineStr">
        <is>
          <t>8.503 SOL</t>
        </is>
      </c>
      <c r="H87" s="23" t="inlineStr">
        <is>
          <t>152.57%</t>
        </is>
      </c>
      <c r="I87" s="20" t="inlineStr">
        <is>
          <t>N/A</t>
        </is>
      </c>
      <c r="J87" s="20" t="n">
        <v>1</v>
      </c>
      <c r="K87" s="20" t="n">
        <v>2</v>
      </c>
      <c r="L87" s="20" t="inlineStr">
        <is>
          <t>24.10.2024 17:58:56</t>
        </is>
      </c>
      <c r="M87" s="20" t="inlineStr">
        <is>
          <t>1 hours</t>
        </is>
      </c>
      <c r="N87" s="20" t="inlineStr">
        <is>
          <t xml:space="preserve">         32K            32K             5K</t>
        </is>
      </c>
      <c r="O87" s="20" t="inlineStr">
        <is>
          <t>B6fSL8sMoAGKJEafNbKsGsV9KuiKCmaFZrGLX26Zpump</t>
        </is>
      </c>
      <c r="P87" s="20">
        <f>HYPERLINK("https://photon-sol.tinyastro.io/en/lp/B6fSL8sMoAGKJEafNbKsGsV9KuiKCmaFZrGLX26Zpump?handle=676050794bc1b1657a56b", "View")</f>
        <v/>
      </c>
    </row>
    <row r="88">
      <c r="A88" s="15" t="inlineStr">
        <is>
          <t>MAGAMAN</t>
        </is>
      </c>
      <c r="B88" s="16" t="n">
        <v>218913858</v>
      </c>
      <c r="C88" s="16" t="n">
        <v>218913858</v>
      </c>
      <c r="D88" s="16" t="inlineStr">
        <is>
          <t>0.000460</t>
        </is>
      </c>
      <c r="E88" s="16" t="inlineStr">
        <is>
          <t>5.000 SOL</t>
        </is>
      </c>
      <c r="F88" s="16" t="inlineStr">
        <is>
          <t>6.340 SOL</t>
        </is>
      </c>
      <c r="G88" s="22" t="inlineStr">
        <is>
          <t>1.340 SOL</t>
        </is>
      </c>
      <c r="H88" s="22" t="inlineStr">
        <is>
          <t>26.79%</t>
        </is>
      </c>
      <c r="I88" s="16" t="inlineStr">
        <is>
          <t>N/A</t>
        </is>
      </c>
      <c r="J88" s="16" t="n">
        <v>1</v>
      </c>
      <c r="K88" s="16" t="n">
        <v>1</v>
      </c>
      <c r="L88" s="16" t="inlineStr">
        <is>
          <t>24.10.2024 07:04:17</t>
        </is>
      </c>
      <c r="M88" s="18" t="inlineStr">
        <is>
          <t>7 sec</t>
        </is>
      </c>
      <c r="N88" s="16" t="inlineStr">
        <is>
          <t xml:space="preserve">          4K             5K             3K</t>
        </is>
      </c>
      <c r="O88" s="16" t="inlineStr">
        <is>
          <t>9Sxs9vNTZ3tjaEHVuk6dEqRsh5QFj5oX4evHgv94nqmp</t>
        </is>
      </c>
      <c r="P88" s="16">
        <f>HYPERLINK("https://dexscreener.com/solana/9Sxs9vNTZ3tjaEHVuk6dEqRsh5QFj5oX4evHgv94nqmp", "View")</f>
        <v/>
      </c>
    </row>
    <row r="89">
      <c r="A89" s="19" t="inlineStr">
        <is>
          <t>Daikiti</t>
        </is>
      </c>
      <c r="B89" s="20" t="n">
        <v>293617242</v>
      </c>
      <c r="C89" s="20" t="n">
        <v>293617242</v>
      </c>
      <c r="D89" s="20" t="inlineStr">
        <is>
          <t>0.000460</t>
        </is>
      </c>
      <c r="E89" s="20" t="inlineStr">
        <is>
          <t>10.000 SOL</t>
        </is>
      </c>
      <c r="F89" s="20" t="inlineStr">
        <is>
          <t>12.994 SOL</t>
        </is>
      </c>
      <c r="G89" s="22" t="inlineStr">
        <is>
          <t>2.993 SOL</t>
        </is>
      </c>
      <c r="H89" s="22" t="inlineStr">
        <is>
          <t>29.93%</t>
        </is>
      </c>
      <c r="I89" s="20" t="inlineStr">
        <is>
          <t>N/A</t>
        </is>
      </c>
      <c r="J89" s="20" t="n">
        <v>1</v>
      </c>
      <c r="K89" s="20" t="n">
        <v>1</v>
      </c>
      <c r="L89" s="20" t="inlineStr">
        <is>
          <t>24.10.2024 07:00:57</t>
        </is>
      </c>
      <c r="M89" s="18" t="inlineStr">
        <is>
          <t>7 sec</t>
        </is>
      </c>
      <c r="N89" s="20" t="inlineStr">
        <is>
          <t xml:space="preserve">          5K             7K             4K</t>
        </is>
      </c>
      <c r="O89" s="20" t="inlineStr">
        <is>
          <t>854aGbcKYdkt48Cx6depxUmH71a1ATcdcTvjQg8Tpump</t>
        </is>
      </c>
      <c r="P89" s="20">
        <f>HYPERLINK("https://dexscreener.com/solana/854aGbcKYdkt48Cx6depxUmH71a1ATcdcTvjQg8Tpump", "View")</f>
        <v/>
      </c>
    </row>
    <row r="90">
      <c r="A90" s="15" t="inlineStr">
        <is>
          <t>PMPFN</t>
        </is>
      </c>
      <c r="B90" s="16" t="n">
        <v>245363761</v>
      </c>
      <c r="C90" s="16" t="n">
        <v>245363761</v>
      </c>
      <c r="D90" s="16" t="inlineStr">
        <is>
          <t>0.000460</t>
        </is>
      </c>
      <c r="E90" s="16" t="inlineStr">
        <is>
          <t>10.000 SOL</t>
        </is>
      </c>
      <c r="F90" s="16" t="inlineStr">
        <is>
          <t>13.049 SOL</t>
        </is>
      </c>
      <c r="G90" s="22" t="inlineStr">
        <is>
          <t>3.048 SOL</t>
        </is>
      </c>
      <c r="H90" s="22" t="inlineStr">
        <is>
          <t>30.48%</t>
        </is>
      </c>
      <c r="I90" s="16" t="inlineStr">
        <is>
          <t>N/A</t>
        </is>
      </c>
      <c r="J90" s="16" t="n">
        <v>1</v>
      </c>
      <c r="K90" s="16" t="n">
        <v>1</v>
      </c>
      <c r="L90" s="16" t="inlineStr">
        <is>
          <t>24.10.2024 06:33:38</t>
        </is>
      </c>
      <c r="M90" s="18" t="inlineStr">
        <is>
          <t>6 sec</t>
        </is>
      </c>
      <c r="N90" s="16" t="inlineStr">
        <is>
          <t xml:space="preserve">          7K             9K             5K</t>
        </is>
      </c>
      <c r="O90" s="16" t="inlineStr">
        <is>
          <t>DBVLyL7bmwyED4gUh2NQ38kdRJTKNrYSK6JasBsopump</t>
        </is>
      </c>
      <c r="P90" s="16">
        <f>HYPERLINK("https://dexscreener.com/solana/DBVLyL7bmwyED4gUh2NQ38kdRJTKNrYSK6JasBsopump", "View")</f>
        <v/>
      </c>
    </row>
    <row r="91">
      <c r="A91" s="19" t="inlineStr">
        <is>
          <t>CW-001</t>
        </is>
      </c>
      <c r="B91" s="20" t="n">
        <v>231482957</v>
      </c>
      <c r="C91" s="20" t="n">
        <v>231482957</v>
      </c>
      <c r="D91" s="20" t="inlineStr">
        <is>
          <t>0.000460</t>
        </is>
      </c>
      <c r="E91" s="20" t="inlineStr">
        <is>
          <t>10.000 SOL</t>
        </is>
      </c>
      <c r="F91" s="20" t="inlineStr">
        <is>
          <t>13.501 SOL</t>
        </is>
      </c>
      <c r="G91" s="22" t="inlineStr">
        <is>
          <t>3.500 SOL</t>
        </is>
      </c>
      <c r="H91" s="22" t="inlineStr">
        <is>
          <t>35.00%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24.10.2024 06:33:08</t>
        </is>
      </c>
      <c r="M91" s="18" t="inlineStr">
        <is>
          <t>25 sec</t>
        </is>
      </c>
      <c r="N91" s="20" t="inlineStr">
        <is>
          <t xml:space="preserve">          7K            11K             4K</t>
        </is>
      </c>
      <c r="O91" s="20" t="inlineStr">
        <is>
          <t>CSfPePADjnrv39RTA3ChuzLQ213o4Jqf7rNQRicdpump</t>
        </is>
      </c>
      <c r="P91" s="20">
        <f>HYPERLINK("https://dexscreener.com/solana/CSfPePADjnrv39RTA3ChuzLQ213o4Jqf7rNQRicdpump", "View")</f>
        <v/>
      </c>
    </row>
    <row r="92">
      <c r="A92" s="15" t="inlineStr">
        <is>
          <t>Elektro</t>
        </is>
      </c>
      <c r="B92" s="16" t="n">
        <v>333894551</v>
      </c>
      <c r="C92" s="16" t="n">
        <v>333894551</v>
      </c>
      <c r="D92" s="16" t="inlineStr">
        <is>
          <t>0.000460</t>
        </is>
      </c>
      <c r="E92" s="16" t="inlineStr">
        <is>
          <t>10.000 SOL</t>
        </is>
      </c>
      <c r="F92" s="16" t="inlineStr">
        <is>
          <t>13.606 SOL</t>
        </is>
      </c>
      <c r="G92" s="22" t="inlineStr">
        <is>
          <t>3.605 SOL</t>
        </is>
      </c>
      <c r="H92" s="22" t="inlineStr">
        <is>
          <t>36.05%</t>
        </is>
      </c>
      <c r="I92" s="16" t="inlineStr">
        <is>
          <t>N/A</t>
        </is>
      </c>
      <c r="J92" s="16" t="n">
        <v>1</v>
      </c>
      <c r="K92" s="16" t="n">
        <v>1</v>
      </c>
      <c r="L92" s="16" t="inlineStr">
        <is>
          <t>24.10.2024 06:28:49</t>
        </is>
      </c>
      <c r="M92" s="18" t="inlineStr">
        <is>
          <t>11 sec</t>
        </is>
      </c>
      <c r="N92" s="16" t="inlineStr">
        <is>
          <t xml:space="preserve">          5K             7K             3K</t>
        </is>
      </c>
      <c r="O92" s="16" t="inlineStr">
        <is>
          <t>FTx9QygEVXGEgJWz8sJD3wB18vuFnLTYnjXeqnSupump</t>
        </is>
      </c>
      <c r="P92" s="16">
        <f>HYPERLINK("https://dexscreener.com/solana/FTx9QygEVXGEgJWz8sJD3wB18vuFnLTYnjXeqnSupump", "View")</f>
        <v/>
      </c>
    </row>
    <row r="93">
      <c r="A93" s="19" t="inlineStr">
        <is>
          <t>SIMULATION</t>
        </is>
      </c>
      <c r="B93" s="20" t="n">
        <v>530715668</v>
      </c>
      <c r="C93" s="20" t="n">
        <v>530715668</v>
      </c>
      <c r="D93" s="20" t="inlineStr">
        <is>
          <t>0.000920</t>
        </is>
      </c>
      <c r="E93" s="20" t="inlineStr">
        <is>
          <t>20.000 SOL</t>
        </is>
      </c>
      <c r="F93" s="20" t="inlineStr">
        <is>
          <t>28.749 SOL</t>
        </is>
      </c>
      <c r="G93" s="22" t="inlineStr">
        <is>
          <t>8.748 SOL</t>
        </is>
      </c>
      <c r="H93" s="22" t="inlineStr">
        <is>
          <t>43.74%</t>
        </is>
      </c>
      <c r="I93" s="20" t="inlineStr">
        <is>
          <t>N/A</t>
        </is>
      </c>
      <c r="J93" s="20" t="n">
        <v>2</v>
      </c>
      <c r="K93" s="20" t="n">
        <v>2</v>
      </c>
      <c r="L93" s="20" t="inlineStr">
        <is>
          <t>24.10.2024 06:27:47</t>
        </is>
      </c>
      <c r="M93" s="20" t="inlineStr">
        <is>
          <t>28 min</t>
        </is>
      </c>
      <c r="N93" s="20" t="inlineStr">
        <is>
          <t xml:space="preserve">          7K             9K             4K</t>
        </is>
      </c>
      <c r="O93" s="20" t="inlineStr">
        <is>
          <t>5faG6uL42QE92n8UAFUxiYdyK6HMCgN5K97oG5bvpump</t>
        </is>
      </c>
      <c r="P93" s="20">
        <f>HYPERLINK("https://dexscreener.com/solana/5faG6uL42QE92n8UAFUxiYdyK6HMCgN5K97oG5bvpump", "View")</f>
        <v/>
      </c>
    </row>
    <row r="94">
      <c r="A94" s="15" t="inlineStr">
        <is>
          <t>100</t>
        </is>
      </c>
      <c r="B94" s="16" t="n">
        <v>34</v>
      </c>
      <c r="C94" s="16" t="n">
        <v>34</v>
      </c>
      <c r="D94" s="16" t="inlineStr">
        <is>
          <t>0.007740</t>
        </is>
      </c>
      <c r="E94" s="16" t="inlineStr">
        <is>
          <t>5.000 SOL</t>
        </is>
      </c>
      <c r="F94" s="16" t="inlineStr">
        <is>
          <t>6.697 SOL</t>
        </is>
      </c>
      <c r="G94" s="22" t="inlineStr">
        <is>
          <t>1.689 SOL</t>
        </is>
      </c>
      <c r="H94" s="22" t="inlineStr">
        <is>
          <t>33.73%</t>
        </is>
      </c>
      <c r="I94" s="16" t="inlineStr">
        <is>
          <t>N/A</t>
        </is>
      </c>
      <c r="J94" s="16" t="n">
        <v>1</v>
      </c>
      <c r="K94" s="16" t="n">
        <v>1</v>
      </c>
      <c r="L94" s="16" t="inlineStr">
        <is>
          <t>24.10.2024 05:58:20</t>
        </is>
      </c>
      <c r="M94" s="18" t="inlineStr">
        <is>
          <t>14 sec</t>
        </is>
      </c>
      <c r="N94" s="16" t="inlineStr">
        <is>
          <t xml:space="preserve">        N/A           N/A           N/A</t>
        </is>
      </c>
      <c r="O94" s="16" t="inlineStr">
        <is>
          <t>4VnAkUhvHECXZpaL46SMhAhHDquDZwMeXFZd8UGwnH62</t>
        </is>
      </c>
      <c r="P94" s="16">
        <f>HYPERLINK("https://dexscreener.com/solana/4VnAkUhvHECXZpaL46SMhAhHDquDZwMeXFZd8UGwnH62", "View")</f>
        <v/>
      </c>
    </row>
    <row r="95">
      <c r="A95" s="19" t="inlineStr">
        <is>
          <t>WUN</t>
        </is>
      </c>
      <c r="B95" s="20" t="n">
        <v>297097306</v>
      </c>
      <c r="C95" s="20" t="n">
        <v>297097306</v>
      </c>
      <c r="D95" s="20" t="inlineStr">
        <is>
          <t>0.007740</t>
        </is>
      </c>
      <c r="E95" s="20" t="inlineStr">
        <is>
          <t>10.000 SOL</t>
        </is>
      </c>
      <c r="F95" s="20" t="inlineStr">
        <is>
          <t>16.749 SOL</t>
        </is>
      </c>
      <c r="G95" s="23" t="inlineStr">
        <is>
          <t>6.741 SOL</t>
        </is>
      </c>
      <c r="H95" s="23" t="inlineStr">
        <is>
          <t>67.36%</t>
        </is>
      </c>
      <c r="I95" s="20" t="inlineStr">
        <is>
          <t>N/A</t>
        </is>
      </c>
      <c r="J95" s="20" t="n">
        <v>1</v>
      </c>
      <c r="K95" s="20" t="n">
        <v>1</v>
      </c>
      <c r="L95" s="20" t="inlineStr">
        <is>
          <t>24.10.2024 05:54:23</t>
        </is>
      </c>
      <c r="M95" s="18" t="inlineStr">
        <is>
          <t>9 sec</t>
        </is>
      </c>
      <c r="N95" s="20" t="inlineStr">
        <is>
          <t xml:space="preserve">          5K            11K             3K</t>
        </is>
      </c>
      <c r="O95" s="20" t="inlineStr">
        <is>
          <t>6syGL29Kf14313hTx6poc9UFMaDH2NmDpBY5b8EHpump</t>
        </is>
      </c>
      <c r="P95" s="20">
        <f>HYPERLINK("https://dexscreener.com/solana/6syGL29Kf14313hTx6poc9UFMaDH2NmDpBY5b8EHpump", "View")</f>
        <v/>
      </c>
    </row>
    <row r="96">
      <c r="A96" s="15" t="inlineStr">
        <is>
          <t>Fiona</t>
        </is>
      </c>
      <c r="B96" s="16" t="n">
        <v>272682944</v>
      </c>
      <c r="C96" s="16" t="n">
        <v>272682944</v>
      </c>
      <c r="D96" s="16" t="inlineStr">
        <is>
          <t>0.000020</t>
        </is>
      </c>
      <c r="E96" s="16" t="inlineStr">
        <is>
          <t>10.000 SOL</t>
        </is>
      </c>
      <c r="F96" s="16" t="inlineStr">
        <is>
          <t>16.303 SOL</t>
        </is>
      </c>
      <c r="G96" s="23" t="inlineStr">
        <is>
          <t>6.303 SOL</t>
        </is>
      </c>
      <c r="H96" s="23" t="inlineStr">
        <is>
          <t>63.03%</t>
        </is>
      </c>
      <c r="I96" s="16" t="inlineStr">
        <is>
          <t>N/A</t>
        </is>
      </c>
      <c r="J96" s="16" t="n">
        <v>1</v>
      </c>
      <c r="K96" s="16" t="n">
        <v>1</v>
      </c>
      <c r="L96" s="16" t="inlineStr">
        <is>
          <t>24.10.2024 05:07:23</t>
        </is>
      </c>
      <c r="M96" s="18" t="inlineStr">
        <is>
          <t>11 sec</t>
        </is>
      </c>
      <c r="N96" s="16" t="inlineStr">
        <is>
          <t xml:space="preserve">          7K            11K             3K</t>
        </is>
      </c>
      <c r="O96" s="16" t="inlineStr">
        <is>
          <t>EZBrRhkcBVGMkixrdJXXoiXoMzT1Zaas3XZG5wT1pump</t>
        </is>
      </c>
      <c r="P96" s="16">
        <f>HYPERLINK("https://dexscreener.com/solana/EZBrRhkcBVGMkixrdJXXoiXoMzT1Zaas3XZG5wT1pump", "View")</f>
        <v/>
      </c>
    </row>
    <row r="97">
      <c r="A97" s="19" t="inlineStr">
        <is>
          <t>1.5t3st</t>
        </is>
      </c>
      <c r="B97" s="20" t="n">
        <v>268250000</v>
      </c>
      <c r="C97" s="20" t="n">
        <v>268250000</v>
      </c>
      <c r="D97" s="20" t="inlineStr">
        <is>
          <t>0.000240</t>
        </is>
      </c>
      <c r="E97" s="20" t="inlineStr">
        <is>
          <t>10.192 SOL</t>
        </is>
      </c>
      <c r="F97" s="20" t="inlineStr">
        <is>
          <t>12.832 SOL</t>
        </is>
      </c>
      <c r="G97" s="22" t="inlineStr">
        <is>
          <t>2.639 SOL</t>
        </is>
      </c>
      <c r="H97" s="22" t="inlineStr">
        <is>
          <t>25.90%</t>
        </is>
      </c>
      <c r="I97" s="20" t="inlineStr">
        <is>
          <t>N/A</t>
        </is>
      </c>
      <c r="J97" s="20" t="n">
        <v>1</v>
      </c>
      <c r="K97" s="20" t="n">
        <v>1</v>
      </c>
      <c r="L97" s="20" t="inlineStr">
        <is>
          <t>24.10.2024 05:03:00</t>
        </is>
      </c>
      <c r="M97" s="18" t="inlineStr">
        <is>
          <t>12 sec</t>
        </is>
      </c>
      <c r="N97" s="20" t="inlineStr">
        <is>
          <t xml:space="preserve">          7K             9K             5K</t>
        </is>
      </c>
      <c r="O97" s="20" t="inlineStr">
        <is>
          <t>2Jz9Q1Crz3hyUAutesPqXPmWTSCRiqaomhKxQexWpump</t>
        </is>
      </c>
      <c r="P97" s="20">
        <f>HYPERLINK("https://photon-sol.tinyastro.io/en/lp/2Jz9Q1Crz3hyUAutesPqXPmWTSCRiqaomhKxQexWpump?handle=676050794bc1b1657a56b", "View")</f>
        <v/>
      </c>
    </row>
    <row r="98">
      <c r="A98" s="15" t="inlineStr">
        <is>
          <t>BOOMCAT</t>
        </is>
      </c>
      <c r="B98" s="16" t="n">
        <v>252434287</v>
      </c>
      <c r="C98" s="16" t="n">
        <v>252434287</v>
      </c>
      <c r="D98" s="16" t="inlineStr">
        <is>
          <t>0.000240</t>
        </is>
      </c>
      <c r="E98" s="16" t="inlineStr">
        <is>
          <t>10.192 SOL</t>
        </is>
      </c>
      <c r="F98" s="16" t="inlineStr">
        <is>
          <t>13.186 SOL</t>
        </is>
      </c>
      <c r="G98" s="22" t="inlineStr">
        <is>
          <t>2.993 SOL</t>
        </is>
      </c>
      <c r="H98" s="22" t="inlineStr">
        <is>
          <t>29.37%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24.10.2024 05:00:36</t>
        </is>
      </c>
      <c r="M98" s="18" t="inlineStr">
        <is>
          <t>8 sec</t>
        </is>
      </c>
      <c r="N98" s="16" t="inlineStr">
        <is>
          <t xml:space="preserve">          7K             9K             5K</t>
        </is>
      </c>
      <c r="O98" s="16" t="inlineStr">
        <is>
          <t>VnCK1JK6JMezUDgze3ekGcaNAyKKdv8qiLP4QLnpump</t>
        </is>
      </c>
      <c r="P98" s="16">
        <f>HYPERLINK("https://photon-sol.tinyastro.io/en/lp/VnCK1JK6JMezUDgze3ekGcaNAyKKdv8qiLP4QLnpump?handle=676050794bc1b1657a56b", "View")</f>
        <v/>
      </c>
    </row>
    <row r="99">
      <c r="A99" s="19" t="inlineStr">
        <is>
          <t>QAI</t>
        </is>
      </c>
      <c r="B99" s="20" t="n">
        <v>131450801</v>
      </c>
      <c r="C99" s="20" t="n">
        <v>131450801</v>
      </c>
      <c r="D99" s="20" t="inlineStr">
        <is>
          <t>0.000020</t>
        </is>
      </c>
      <c r="E99" s="20" t="inlineStr">
        <is>
          <t>5.097 SOL</t>
        </is>
      </c>
      <c r="F99" s="20" t="inlineStr">
        <is>
          <t>9.551 SOL</t>
        </is>
      </c>
      <c r="G99" s="23" t="inlineStr">
        <is>
          <t>4.454 SOL</t>
        </is>
      </c>
      <c r="H99" s="23" t="inlineStr">
        <is>
          <t>87.38%</t>
        </is>
      </c>
      <c r="I99" s="20" t="inlineStr">
        <is>
          <t>N/A</t>
        </is>
      </c>
      <c r="J99" s="20" t="n">
        <v>1</v>
      </c>
      <c r="K99" s="20" t="n">
        <v>1</v>
      </c>
      <c r="L99" s="20" t="inlineStr">
        <is>
          <t>24.10.2024 04:41:26</t>
        </is>
      </c>
      <c r="M99" s="18" t="inlineStr">
        <is>
          <t>12 sec</t>
        </is>
      </c>
      <c r="N99" s="20" t="inlineStr">
        <is>
          <t xml:space="preserve">          7K            12K             5K</t>
        </is>
      </c>
      <c r="O99" s="20" t="inlineStr">
        <is>
          <t>E2mjsKMZhZ98B8v3Gk158jey7jEfxTP7mFDqazPapump</t>
        </is>
      </c>
      <c r="P99" s="20">
        <f>HYPERLINK("https://photon-sol.tinyastro.io/en/lp/E2mjsKMZhZ98B8v3Gk158jey7jEfxTP7mFDqazPapump?handle=676050794bc1b1657a56b", "View")</f>
        <v/>
      </c>
    </row>
    <row r="100">
      <c r="A100" s="15" t="inlineStr">
        <is>
          <t>LOL</t>
        </is>
      </c>
      <c r="B100" s="16" t="n">
        <v>99756754</v>
      </c>
      <c r="C100" s="16" t="n">
        <v>99756754</v>
      </c>
      <c r="D100" s="16" t="inlineStr">
        <is>
          <t>0.007520</t>
        </is>
      </c>
      <c r="E100" s="16" t="inlineStr">
        <is>
          <t>6.124 SOL</t>
        </is>
      </c>
      <c r="F100" s="16" t="inlineStr">
        <is>
          <t>8.108 SOL</t>
        </is>
      </c>
      <c r="G100" s="22" t="inlineStr">
        <is>
          <t>1.977 SOL</t>
        </is>
      </c>
      <c r="H100" s="22" t="inlineStr">
        <is>
          <t>32.24%</t>
        </is>
      </c>
      <c r="I100" s="16" t="inlineStr">
        <is>
          <t>N/A</t>
        </is>
      </c>
      <c r="J100" s="16" t="n">
        <v>1</v>
      </c>
      <c r="K100" s="16" t="n">
        <v>1</v>
      </c>
      <c r="L100" s="16" t="inlineStr">
        <is>
          <t>24.10.2024 04:26:57</t>
        </is>
      </c>
      <c r="M100" s="18" t="inlineStr">
        <is>
          <t>43 sec</t>
        </is>
      </c>
      <c r="N100" s="16" t="inlineStr">
        <is>
          <t xml:space="preserve">         11K            14K             5K</t>
        </is>
      </c>
      <c r="O100" s="16" t="inlineStr">
        <is>
          <t>CgS3EvWyTQzQsPAWjZTsA3aebzYuto6C1Pjn1JK7pump</t>
        </is>
      </c>
      <c r="P100" s="16">
        <f>HYPERLINK("https://photon-sol.tinyastro.io/en/lp/CgS3EvWyTQzQsPAWjZTsA3aebzYuto6C1Pjn1JK7pump?handle=676050794bc1b1657a56b", "View")</f>
        <v/>
      </c>
    </row>
    <row r="101">
      <c r="A101" s="19" t="inlineStr">
        <is>
          <t>$GAPE</t>
        </is>
      </c>
      <c r="B101" s="20" t="n">
        <v>18957188</v>
      </c>
      <c r="C101" s="20" t="n">
        <v>18957188</v>
      </c>
      <c r="D101" s="20" t="inlineStr">
        <is>
          <t>0.000020</t>
        </is>
      </c>
      <c r="E101" s="20" t="inlineStr">
        <is>
          <t>6.000 SOL</t>
        </is>
      </c>
      <c r="F101" s="20" t="inlineStr">
        <is>
          <t>16.152 SOL</t>
        </is>
      </c>
      <c r="G101" s="23" t="inlineStr">
        <is>
          <t>10.152 SOL</t>
        </is>
      </c>
      <c r="H101" s="23" t="inlineStr">
        <is>
          <t>169.20%</t>
        </is>
      </c>
      <c r="I101" s="20" t="inlineStr">
        <is>
          <t>N/A</t>
        </is>
      </c>
      <c r="J101" s="20" t="n">
        <v>1</v>
      </c>
      <c r="K101" s="20" t="n">
        <v>1</v>
      </c>
      <c r="L101" s="20" t="inlineStr">
        <is>
          <t>24.10.2024 04:17:14</t>
        </is>
      </c>
      <c r="M101" s="20" t="inlineStr">
        <is>
          <t>6 min</t>
        </is>
      </c>
      <c r="N101" s="20" t="inlineStr">
        <is>
          <t xml:space="preserve">         56K           149K            10K</t>
        </is>
      </c>
      <c r="O101" s="20" t="inlineStr">
        <is>
          <t>5hQUyV2UudJ4P87B1A7o94s3wRpToadr5Sakqywpump</t>
        </is>
      </c>
      <c r="P101" s="20">
        <f>HYPERLINK("https://dexscreener.com/solana/5hQUyV2UudJ4P87B1A7o94s3wRpToadr5Sakqywpump", "View")</f>
        <v/>
      </c>
    </row>
    <row r="102">
      <c r="A102" s="15" t="inlineStr">
        <is>
          <t>meolloween</t>
        </is>
      </c>
      <c r="B102" s="16" t="n">
        <v>17090245</v>
      </c>
      <c r="C102" s="16" t="n">
        <v>17090245</v>
      </c>
      <c r="D102" s="16" t="inlineStr">
        <is>
          <t>0.000020</t>
        </is>
      </c>
      <c r="E102" s="16" t="inlineStr">
        <is>
          <t>2.040 SOL</t>
        </is>
      </c>
      <c r="F102" s="16" t="inlineStr">
        <is>
          <t>14.557 SOL</t>
        </is>
      </c>
      <c r="G102" s="23" t="inlineStr">
        <is>
          <t>12.517 SOL</t>
        </is>
      </c>
      <c r="H102" s="23" t="inlineStr">
        <is>
          <t>613.53%</t>
        </is>
      </c>
      <c r="I102" s="16" t="inlineStr">
        <is>
          <t>N/A</t>
        </is>
      </c>
      <c r="J102" s="16" t="n">
        <v>1</v>
      </c>
      <c r="K102" s="16" t="n">
        <v>1</v>
      </c>
      <c r="L102" s="16" t="inlineStr">
        <is>
          <t>24.10.2024 01:16:42</t>
        </is>
      </c>
      <c r="M102" s="16" t="inlineStr">
        <is>
          <t>49 min</t>
        </is>
      </c>
      <c r="N102" s="16" t="inlineStr">
        <is>
          <t xml:space="preserve">         21K            21K            23K</t>
        </is>
      </c>
      <c r="O102" s="16" t="inlineStr">
        <is>
          <t>GkCQFumKUjvj7Riyfispn2my8b86J4jEuatT9z7apump</t>
        </is>
      </c>
      <c r="P102" s="16">
        <f>HYPERLINK("https://photon-sol.tinyastro.io/en/lp/GkCQFumKUjvj7Riyfispn2my8b86J4jEuatT9z7apump?handle=676050794bc1b1657a56b", "View")</f>
        <v/>
      </c>
    </row>
    <row r="103">
      <c r="A103" s="19" t="inlineStr">
        <is>
          <t>TOP</t>
        </is>
      </c>
      <c r="B103" s="20" t="n">
        <v>131904007</v>
      </c>
      <c r="C103" s="20" t="n">
        <v>131904007</v>
      </c>
      <c r="D103" s="20" t="inlineStr">
        <is>
          <t>0.000030</t>
        </is>
      </c>
      <c r="E103" s="20" t="inlineStr">
        <is>
          <t>5.608 SOL</t>
        </is>
      </c>
      <c r="F103" s="20" t="inlineStr">
        <is>
          <t>12.895 SOL</t>
        </is>
      </c>
      <c r="G103" s="23" t="inlineStr">
        <is>
          <t>7.287 SOL</t>
        </is>
      </c>
      <c r="H103" s="23" t="inlineStr">
        <is>
          <t>129.94%</t>
        </is>
      </c>
      <c r="I103" s="20" t="inlineStr">
        <is>
          <t>N/A</t>
        </is>
      </c>
      <c r="J103" s="20" t="n">
        <v>2</v>
      </c>
      <c r="K103" s="20" t="n">
        <v>1</v>
      </c>
      <c r="L103" s="20" t="inlineStr">
        <is>
          <t>23.10.2024 23:13:08</t>
        </is>
      </c>
      <c r="M103" s="20" t="inlineStr">
        <is>
          <t>1 min</t>
        </is>
      </c>
      <c r="N103" s="20" t="inlineStr">
        <is>
          <t xml:space="preserve">          7K            18K             5K</t>
        </is>
      </c>
      <c r="O103" s="20" t="inlineStr">
        <is>
          <t>FAMbsvUyweh9cM8Knd52ACV44Zff4BpXbETNSj8xpump</t>
        </is>
      </c>
      <c r="P103" s="20">
        <f>HYPERLINK("https://photon-sol.tinyastro.io/en/lp/FAMbsvUyweh9cM8Knd52ACV44Zff4BpXbETNSj8xpump?handle=676050794bc1b1657a56b", "View")</f>
        <v/>
      </c>
    </row>
    <row r="104">
      <c r="A104" s="15" t="inlineStr">
        <is>
          <t>exo</t>
        </is>
      </c>
      <c r="B104" s="16" t="n">
        <v>28012527</v>
      </c>
      <c r="C104" s="16" t="n">
        <v>28012527</v>
      </c>
      <c r="D104" s="16" t="inlineStr">
        <is>
          <t>0.007540</t>
        </is>
      </c>
      <c r="E104" s="16" t="inlineStr">
        <is>
          <t>6.000 SOL</t>
        </is>
      </c>
      <c r="F104" s="16" t="inlineStr">
        <is>
          <t>136.878 SOL</t>
        </is>
      </c>
      <c r="G104" s="23" t="inlineStr">
        <is>
          <t>130.871 SOL</t>
        </is>
      </c>
      <c r="H104" s="23" t="inlineStr">
        <is>
          <t>2178.44%</t>
        </is>
      </c>
      <c r="I104" s="16" t="inlineStr">
        <is>
          <t>N/A</t>
        </is>
      </c>
      <c r="J104" s="16" t="n">
        <v>1</v>
      </c>
      <c r="K104" s="16" t="n">
        <v>3</v>
      </c>
      <c r="L104" s="16" t="inlineStr">
        <is>
          <t>23.10.2024 22:10:41</t>
        </is>
      </c>
      <c r="M104" s="16" t="inlineStr">
        <is>
          <t>1 hours</t>
        </is>
      </c>
      <c r="N104" s="16" t="inlineStr">
        <is>
          <t xml:space="preserve">         37K            37K            25K</t>
        </is>
      </c>
      <c r="O104" s="16" t="inlineStr">
        <is>
          <t>26LDHcthoC5jeQtYJFyRJ14yFVYqwsrMDznAUhWepump</t>
        </is>
      </c>
      <c r="P104" s="16">
        <f>HYPERLINK("https://dexscreener.com/solana/26LDHcthoC5jeQtYJFyRJ14yFVYqwsrMDznAUhWepump", "View")</f>
        <v/>
      </c>
    </row>
    <row r="105">
      <c r="A105" s="19" t="inlineStr">
        <is>
          <t>TCOS</t>
        </is>
      </c>
      <c r="B105" s="20" t="n">
        <v>147758055</v>
      </c>
      <c r="C105" s="20" t="n">
        <v>147758055</v>
      </c>
      <c r="D105" s="20" t="inlineStr">
        <is>
          <t>0.022520</t>
        </is>
      </c>
      <c r="E105" s="20" t="inlineStr">
        <is>
          <t>5.105 SOL</t>
        </is>
      </c>
      <c r="F105" s="20" t="inlineStr">
        <is>
          <t>7.424 SOL</t>
        </is>
      </c>
      <c r="G105" s="22" t="inlineStr">
        <is>
          <t>2.297 SOL</t>
        </is>
      </c>
      <c r="H105" s="22" t="inlineStr">
        <is>
          <t>44.80%</t>
        </is>
      </c>
      <c r="I105" s="20" t="inlineStr">
        <is>
          <t>N/A</t>
        </is>
      </c>
      <c r="J105" s="20" t="n">
        <v>1</v>
      </c>
      <c r="K105" s="20" t="n">
        <v>2</v>
      </c>
      <c r="L105" s="20" t="inlineStr">
        <is>
          <t>23.10.2024 18:05:42</t>
        </is>
      </c>
      <c r="M105" s="20" t="inlineStr">
        <is>
          <t>1 min</t>
        </is>
      </c>
      <c r="N105" s="20" t="inlineStr">
        <is>
          <t xml:space="preserve">          5K             7K             5K</t>
        </is>
      </c>
      <c r="O105" s="20" t="inlineStr">
        <is>
          <t>4WKsaCEZ8V218r8qztLsRXYcX8Rhc1ucyoB6MBg1pump</t>
        </is>
      </c>
      <c r="P105" s="20">
        <f>HYPERLINK("https://photon-sol.tinyastro.io/en/lp/4WKsaCEZ8V218r8qztLsRXYcX8Rhc1ucyoB6MBg1pump?handle=676050794bc1b1657a56b", "View")</f>
        <v/>
      </c>
    </row>
    <row r="106">
      <c r="A106" s="15" t="inlineStr">
        <is>
          <t>CRYMNE</t>
        </is>
      </c>
      <c r="B106" s="16" t="n">
        <v>2787965</v>
      </c>
      <c r="C106" s="16" t="n">
        <v>2787965</v>
      </c>
      <c r="D106" s="16" t="inlineStr">
        <is>
          <t>0.015010</t>
        </is>
      </c>
      <c r="E106" s="16" t="inlineStr">
        <is>
          <t>50.000 SOL</t>
        </is>
      </c>
      <c r="F106" s="16" t="inlineStr">
        <is>
          <t>20.454 SOL</t>
        </is>
      </c>
      <c r="G106" s="24" t="inlineStr">
        <is>
          <t>-29.561 SOL</t>
        </is>
      </c>
      <c r="H106" s="24" t="inlineStr">
        <is>
          <t>-59.10%</t>
        </is>
      </c>
      <c r="I106" s="16" t="inlineStr">
        <is>
          <t>N/A</t>
        </is>
      </c>
      <c r="J106" s="16" t="n">
        <v>1</v>
      </c>
      <c r="K106" s="16" t="n">
        <v>1</v>
      </c>
      <c r="L106" s="16" t="inlineStr">
        <is>
          <t>23.10.2024 18:01:07</t>
        </is>
      </c>
      <c r="M106" s="16" t="inlineStr">
        <is>
          <t>2 min</t>
        </is>
      </c>
      <c r="N106" s="16" t="inlineStr">
        <is>
          <t xml:space="preserve">          3M             1M            18K</t>
        </is>
      </c>
      <c r="O106" s="16" t="inlineStr">
        <is>
          <t>4HEN6QcmzjGfhSgpyyfTsE7ohdamb5jMPHRg2RXapump</t>
        </is>
      </c>
      <c r="P106" s="16">
        <f>HYPERLINK("https://dexscreener.com/solana/4HEN6QcmzjGfhSgpyyfTsE7ohdamb5jMPHRg2RXapump", "View")</f>
        <v/>
      </c>
    </row>
    <row r="107">
      <c r="A107" s="19" t="inlineStr">
        <is>
          <t>Dabloons</t>
        </is>
      </c>
      <c r="B107" s="20" t="n">
        <v>19785478</v>
      </c>
      <c r="C107" s="20" t="n">
        <v>19785478</v>
      </c>
      <c r="D107" s="20" t="inlineStr">
        <is>
          <t>0.015010</t>
        </is>
      </c>
      <c r="E107" s="20" t="inlineStr">
        <is>
          <t>3.000 SOL</t>
        </is>
      </c>
      <c r="F107" s="20" t="inlineStr">
        <is>
          <t>5.286 SOL</t>
        </is>
      </c>
      <c r="G107" s="23" t="inlineStr">
        <is>
          <t>2.271 SOL</t>
        </is>
      </c>
      <c r="H107" s="23" t="inlineStr">
        <is>
          <t>75.31%</t>
        </is>
      </c>
      <c r="I107" s="20" t="inlineStr">
        <is>
          <t>N/A</t>
        </is>
      </c>
      <c r="J107" s="20" t="n">
        <v>1</v>
      </c>
      <c r="K107" s="20" t="n">
        <v>1</v>
      </c>
      <c r="L107" s="20" t="inlineStr">
        <is>
          <t>23.10.2024 16:48:20</t>
        </is>
      </c>
      <c r="M107" s="20" t="inlineStr">
        <is>
          <t>15 min</t>
        </is>
      </c>
      <c r="N107" s="20" t="inlineStr">
        <is>
          <t xml:space="preserve">         26K            26K             8K</t>
        </is>
      </c>
      <c r="O107" s="20" t="inlineStr">
        <is>
          <t>6X7RPMghSZcwQ6AMScxCQ5xYp5Wa9A5xUeWYv6Arpump</t>
        </is>
      </c>
      <c r="P107" s="20">
        <f>HYPERLINK("https://dexscreener.com/solana/6X7RPMghSZcwQ6AMScxCQ5xYp5Wa9A5xUeWYv6Arpump", "View")</f>
        <v/>
      </c>
    </row>
    <row r="108">
      <c r="A108" s="15" t="inlineStr">
        <is>
          <t>$BELLA</t>
        </is>
      </c>
      <c r="B108" s="16" t="n">
        <v>43319381</v>
      </c>
      <c r="C108" s="16" t="n">
        <v>43319381</v>
      </c>
      <c r="D108" s="16" t="inlineStr">
        <is>
          <t>0.015010</t>
        </is>
      </c>
      <c r="E108" s="16" t="inlineStr">
        <is>
          <t>3.219 SOL</t>
        </is>
      </c>
      <c r="F108" s="16" t="inlineStr">
        <is>
          <t>10.938 SOL</t>
        </is>
      </c>
      <c r="G108" s="23" t="inlineStr">
        <is>
          <t>7.705 SOL</t>
        </is>
      </c>
      <c r="H108" s="23" t="inlineStr">
        <is>
          <t>238.28%</t>
        </is>
      </c>
      <c r="I108" s="16" t="inlineStr">
        <is>
          <t>N/A</t>
        </is>
      </c>
      <c r="J108" s="16" t="n">
        <v>1</v>
      </c>
      <c r="K108" s="16" t="n">
        <v>1</v>
      </c>
      <c r="L108" s="16" t="inlineStr">
        <is>
          <t>23.10.2024 16:19:05</t>
        </is>
      </c>
      <c r="M108" s="16" t="inlineStr">
        <is>
          <t>2 min</t>
        </is>
      </c>
      <c r="N108" s="16" t="inlineStr">
        <is>
          <t xml:space="preserve">         12K            44K             5K</t>
        </is>
      </c>
      <c r="O108" s="16" t="inlineStr">
        <is>
          <t>H3bmyVLBebW8LNwHkbBK1CsWV5rqEDuSYGaBhRoNpump</t>
        </is>
      </c>
      <c r="P108" s="16">
        <f>HYPERLINK("https://photon-sol.tinyastro.io/en/lp/H3bmyVLBebW8LNwHkbBK1CsWV5rqEDuSYGaBhRoNpump?handle=676050794bc1b1657a56b", "View")</f>
        <v/>
      </c>
    </row>
    <row r="109">
      <c r="A109" s="19" t="inlineStr">
        <is>
          <t>Repeat</t>
        </is>
      </c>
      <c r="B109" s="20" t="n">
        <v>19342534</v>
      </c>
      <c r="C109" s="20" t="n">
        <v>19342534</v>
      </c>
      <c r="D109" s="20" t="inlineStr">
        <is>
          <t>0.015010</t>
        </is>
      </c>
      <c r="E109" s="20" t="inlineStr">
        <is>
          <t>3.000 SOL</t>
        </is>
      </c>
      <c r="F109" s="20" t="inlineStr">
        <is>
          <t>4.276 SOL</t>
        </is>
      </c>
      <c r="G109" s="22" t="inlineStr">
        <is>
          <t>1.261 SOL</t>
        </is>
      </c>
      <c r="H109" s="22" t="inlineStr">
        <is>
          <t>41.81%</t>
        </is>
      </c>
      <c r="I109" s="20" t="inlineStr">
        <is>
          <t>N/A</t>
        </is>
      </c>
      <c r="J109" s="20" t="n">
        <v>1</v>
      </c>
      <c r="K109" s="20" t="n">
        <v>1</v>
      </c>
      <c r="L109" s="20" t="inlineStr">
        <is>
          <t>23.10.2024 16:17:24</t>
        </is>
      </c>
      <c r="M109" s="20" t="inlineStr">
        <is>
          <t>18 min</t>
        </is>
      </c>
      <c r="N109" s="20" t="inlineStr">
        <is>
          <t xml:space="preserve">         25K            25K            23K</t>
        </is>
      </c>
      <c r="O109" s="20" t="inlineStr">
        <is>
          <t>Cho3sYESAMQnMM6VVb1imEq8ja58NXDxZJJSwLjgpump</t>
        </is>
      </c>
      <c r="P109" s="20">
        <f>HYPERLINK("https://dexscreener.com/solana/Cho3sYESAMQnMM6VVb1imEq8ja58NXDxZJJSwLjgpump", "View")</f>
        <v/>
      </c>
    </row>
    <row r="110">
      <c r="A110" s="15" t="inlineStr">
        <is>
          <t>HEAVEN</t>
        </is>
      </c>
      <c r="B110" s="16" t="n">
        <v>86274817</v>
      </c>
      <c r="C110" s="16" t="n">
        <v>86274817</v>
      </c>
      <c r="D110" s="16" t="inlineStr">
        <is>
          <t>0.007520</t>
        </is>
      </c>
      <c r="E110" s="16" t="inlineStr">
        <is>
          <t>3.067 SOL</t>
        </is>
      </c>
      <c r="F110" s="16" t="inlineStr">
        <is>
          <t>4.350 SOL</t>
        </is>
      </c>
      <c r="G110" s="22" t="inlineStr">
        <is>
          <t>1.276 SOL</t>
        </is>
      </c>
      <c r="H110" s="22" t="inlineStr">
        <is>
          <t>41.51%</t>
        </is>
      </c>
      <c r="I110" s="16" t="inlineStr">
        <is>
          <t>N/A</t>
        </is>
      </c>
      <c r="J110" s="16" t="n">
        <v>1</v>
      </c>
      <c r="K110" s="16" t="n">
        <v>1</v>
      </c>
      <c r="L110" s="16" t="inlineStr">
        <is>
          <t>23.10.2024 08:14:00</t>
        </is>
      </c>
      <c r="M110" s="18" t="inlineStr">
        <is>
          <t>11 sec</t>
        </is>
      </c>
      <c r="N110" s="16" t="inlineStr">
        <is>
          <t xml:space="preserve">          7K             9K             5K</t>
        </is>
      </c>
      <c r="O110" s="16" t="inlineStr">
        <is>
          <t>Fid5WYd8vM8VAvNhoSaYN1zXDSr7LkDRdaoYLMrbpump</t>
        </is>
      </c>
      <c r="P110" s="16">
        <f>HYPERLINK("https://photon-sol.tinyastro.io/en/lp/Fid5WYd8vM8VAvNhoSaYN1zXDSr7LkDRdaoYLMrbpump?handle=676050794bc1b1657a56b", "View")</f>
        <v/>
      </c>
    </row>
    <row r="111">
      <c r="A111" s="19" t="inlineStr">
        <is>
          <t>STL</t>
        </is>
      </c>
      <c r="B111" s="20" t="n">
        <v>84026996</v>
      </c>
      <c r="C111" s="20" t="n">
        <v>84026996</v>
      </c>
      <c r="D111" s="20" t="inlineStr">
        <is>
          <t>0.000020</t>
        </is>
      </c>
      <c r="E111" s="20" t="inlineStr">
        <is>
          <t>3.059 SOL</t>
        </is>
      </c>
      <c r="F111" s="20" t="inlineStr">
        <is>
          <t>4.381 SOL</t>
        </is>
      </c>
      <c r="G111" s="22" t="inlineStr">
        <is>
          <t>1.322 SOL</t>
        </is>
      </c>
      <c r="H111" s="22" t="inlineStr">
        <is>
          <t>43.20%</t>
        </is>
      </c>
      <c r="I111" s="20" t="inlineStr">
        <is>
          <t>N/A</t>
        </is>
      </c>
      <c r="J111" s="20" t="n">
        <v>1</v>
      </c>
      <c r="K111" s="20" t="n">
        <v>1</v>
      </c>
      <c r="L111" s="20" t="inlineStr">
        <is>
          <t>23.10.2024 08:13:17</t>
        </is>
      </c>
      <c r="M111" s="18" t="inlineStr">
        <is>
          <t>11 sec</t>
        </is>
      </c>
      <c r="N111" s="20" t="inlineStr">
        <is>
          <t xml:space="preserve">          7K             9K             5K</t>
        </is>
      </c>
      <c r="O111" s="20" t="inlineStr">
        <is>
          <t>5jz9n75uXRSgw31hyTmFsFExorFLhujpJHqXz6TZpump</t>
        </is>
      </c>
      <c r="P111" s="20">
        <f>HYPERLINK("https://photon-sol.tinyastro.io/en/lp/5jz9n75uXRSgw31hyTmFsFExorFLhujpJHqXz6TZpump?handle=676050794bc1b1657a56b", "View")</f>
        <v/>
      </c>
    </row>
    <row r="112">
      <c r="A112" s="15" t="inlineStr">
        <is>
          <t>ote</t>
        </is>
      </c>
      <c r="B112" s="16" t="n">
        <v>95746364</v>
      </c>
      <c r="C112" s="16" t="n">
        <v>95746364</v>
      </c>
      <c r="D112" s="16" t="inlineStr">
        <is>
          <t>0.007520</t>
        </is>
      </c>
      <c r="E112" s="16" t="inlineStr">
        <is>
          <t>3.067 SOL</t>
        </is>
      </c>
      <c r="F112" s="16" t="inlineStr">
        <is>
          <t>4.035 SOL</t>
        </is>
      </c>
      <c r="G112" s="22" t="inlineStr">
        <is>
          <t>0.961 SOL</t>
        </is>
      </c>
      <c r="H112" s="22" t="inlineStr">
        <is>
          <t>31.26%</t>
        </is>
      </c>
      <c r="I112" s="16" t="inlineStr">
        <is>
          <t>N/A</t>
        </is>
      </c>
      <c r="J112" s="16" t="n">
        <v>1</v>
      </c>
      <c r="K112" s="16" t="n">
        <v>1</v>
      </c>
      <c r="L112" s="16" t="inlineStr">
        <is>
          <t>23.10.2024 08:02:12</t>
        </is>
      </c>
      <c r="M112" s="18" t="inlineStr">
        <is>
          <t>9 sec</t>
        </is>
      </c>
      <c r="N112" s="16" t="inlineStr">
        <is>
          <t xml:space="preserve">          5K             7K             5K</t>
        </is>
      </c>
      <c r="O112" s="16" t="inlineStr">
        <is>
          <t>EPsd9jjAwjrfyJ2dGgxANWpTFj4zrAGKLRVVTf3yhbt6</t>
        </is>
      </c>
      <c r="P112" s="16">
        <f>HYPERLINK("https://photon-sol.tinyastro.io/en/lp/EPsd9jjAwjrfyJ2dGgxANWpTFj4zrAGKLRVVTf3yhbt6?handle=676050794bc1b1657a56b", "View")</f>
        <v/>
      </c>
    </row>
    <row r="113">
      <c r="A113" s="19" t="inlineStr">
        <is>
          <t>Hand</t>
        </is>
      </c>
      <c r="B113" s="20" t="n">
        <v>90502699</v>
      </c>
      <c r="C113" s="20" t="n">
        <v>90502699</v>
      </c>
      <c r="D113" s="20" t="inlineStr">
        <is>
          <t>0.007520</t>
        </is>
      </c>
      <c r="E113" s="20" t="inlineStr">
        <is>
          <t>3.059 SOL</t>
        </is>
      </c>
      <c r="F113" s="20" t="inlineStr">
        <is>
          <t>5.582 SOL</t>
        </is>
      </c>
      <c r="G113" s="23" t="inlineStr">
        <is>
          <t>2.516 SOL</t>
        </is>
      </c>
      <c r="H113" s="23" t="inlineStr">
        <is>
          <t>82.03%</t>
        </is>
      </c>
      <c r="I113" s="20" t="inlineStr">
        <is>
          <t>N/A</t>
        </is>
      </c>
      <c r="J113" s="20" t="n">
        <v>1</v>
      </c>
      <c r="K113" s="20" t="n">
        <v>1</v>
      </c>
      <c r="L113" s="20" t="inlineStr">
        <is>
          <t>23.10.2024 07:57:34</t>
        </is>
      </c>
      <c r="M113" s="20" t="inlineStr">
        <is>
          <t>1 min</t>
        </is>
      </c>
      <c r="N113" s="20" t="inlineStr">
        <is>
          <t xml:space="preserve">          5K            11K             5K</t>
        </is>
      </c>
      <c r="O113" s="20" t="inlineStr">
        <is>
          <t>Cq7k9rmKjsfYoQkUsgVrKWzDdGCcithyvuTvrmsipump</t>
        </is>
      </c>
      <c r="P113" s="20">
        <f>HYPERLINK("https://photon-sol.tinyastro.io/en/lp/Cq7k9rmKjsfYoQkUsgVrKWzDdGCcithyvuTvrmsipump?handle=676050794bc1b1657a56b", "View")</f>
        <v/>
      </c>
    </row>
    <row r="114">
      <c r="A114" s="15" t="inlineStr">
        <is>
          <t>Sophie</t>
        </is>
      </c>
      <c r="B114" s="16" t="n">
        <v>148303430</v>
      </c>
      <c r="C114" s="16" t="n">
        <v>148303430</v>
      </c>
      <c r="D114" s="16" t="inlineStr">
        <is>
          <t>0.000020</t>
        </is>
      </c>
      <c r="E114" s="16" t="inlineStr">
        <is>
          <t>5.097 SOL</t>
        </is>
      </c>
      <c r="F114" s="16" t="inlineStr">
        <is>
          <t>6.616 SOL</t>
        </is>
      </c>
      <c r="G114" s="22" t="inlineStr">
        <is>
          <t>1.519 SOL</t>
        </is>
      </c>
      <c r="H114" s="22" t="inlineStr">
        <is>
          <t>29.80%</t>
        </is>
      </c>
      <c r="I114" s="16" t="inlineStr">
        <is>
          <t>N/A</t>
        </is>
      </c>
      <c r="J114" s="16" t="n">
        <v>1</v>
      </c>
      <c r="K114" s="16" t="n">
        <v>1</v>
      </c>
      <c r="L114" s="16" t="inlineStr">
        <is>
          <t>23.10.2024 07:55:22</t>
        </is>
      </c>
      <c r="M114" s="18" t="inlineStr">
        <is>
          <t>24 sec</t>
        </is>
      </c>
      <c r="N114" s="16" t="inlineStr">
        <is>
          <t xml:space="preserve">          5K             7K             5K</t>
        </is>
      </c>
      <c r="O114" s="16" t="inlineStr">
        <is>
          <t>GB9EeNvpsmLMxSuEYYTxamYHUb6UWJBpSR1miR7bpump</t>
        </is>
      </c>
      <c r="P114" s="16">
        <f>HYPERLINK("https://photon-sol.tinyastro.io/en/lp/GB9EeNvpsmLMxSuEYYTxamYHUb6UWJBpSR1miR7bpump?handle=676050794bc1b1657a56b", "View")</f>
        <v/>
      </c>
    </row>
    <row r="115">
      <c r="A115" s="19" t="inlineStr">
        <is>
          <t>GNBC</t>
        </is>
      </c>
      <c r="B115" s="20" t="n">
        <v>136870946</v>
      </c>
      <c r="C115" s="20" t="n">
        <v>136870946</v>
      </c>
      <c r="D115" s="20" t="inlineStr">
        <is>
          <t>0.007520</t>
        </is>
      </c>
      <c r="E115" s="20" t="inlineStr">
        <is>
          <t>5.445 SOL</t>
        </is>
      </c>
      <c r="F115" s="20" t="inlineStr">
        <is>
          <t>7.434 SOL</t>
        </is>
      </c>
      <c r="G115" s="22" t="inlineStr">
        <is>
          <t>1.981 SOL</t>
        </is>
      </c>
      <c r="H115" s="22" t="inlineStr">
        <is>
          <t>36.33%</t>
        </is>
      </c>
      <c r="I115" s="20" t="inlineStr">
        <is>
          <t>N/A</t>
        </is>
      </c>
      <c r="J115" s="20" t="n">
        <v>1</v>
      </c>
      <c r="K115" s="20" t="n">
        <v>1</v>
      </c>
      <c r="L115" s="20" t="inlineStr">
        <is>
          <t>23.10.2024 05:27:37</t>
        </is>
      </c>
      <c r="M115" s="18" t="inlineStr">
        <is>
          <t>14 sec</t>
        </is>
      </c>
      <c r="N115" s="20" t="inlineStr">
        <is>
          <t xml:space="preserve">          7K             9K             5K</t>
        </is>
      </c>
      <c r="O115" s="20" t="inlineStr">
        <is>
          <t>2ZBLq9M72e4ZyAVnNj3FQcQM9tdbgtdWWyDDA8xJpump</t>
        </is>
      </c>
      <c r="P115" s="20">
        <f>HYPERLINK("https://photon-sol.tinyastro.io/en/lp/2ZBLq9M72e4ZyAVnNj3FQcQM9tdbgtdWWyDDA8xJpump?handle=676050794bc1b1657a56b", "View")</f>
        <v/>
      </c>
    </row>
    <row r="116">
      <c r="A116" s="15" t="inlineStr">
        <is>
          <t>000</t>
        </is>
      </c>
      <c r="B116" s="16" t="n">
        <v>124620644</v>
      </c>
      <c r="C116" s="16" t="n">
        <v>124620644</v>
      </c>
      <c r="D116" s="16" t="inlineStr">
        <is>
          <t>0.015010</t>
        </is>
      </c>
      <c r="E116" s="16" t="inlineStr">
        <is>
          <t>5.861 SOL</t>
        </is>
      </c>
      <c r="F116" s="16" t="inlineStr">
        <is>
          <t>12.861 SOL</t>
        </is>
      </c>
      <c r="G116" s="23" t="inlineStr">
        <is>
          <t>6.986 SOL</t>
        </is>
      </c>
      <c r="H116" s="23" t="inlineStr">
        <is>
          <t>118.89%</t>
        </is>
      </c>
      <c r="I116" s="16" t="inlineStr">
        <is>
          <t>N/A</t>
        </is>
      </c>
      <c r="J116" s="16" t="n">
        <v>1</v>
      </c>
      <c r="K116" s="16" t="n">
        <v>1</v>
      </c>
      <c r="L116" s="16" t="inlineStr">
        <is>
          <t>23.10.2024 05:25:45</t>
        </is>
      </c>
      <c r="M116" s="18" t="inlineStr">
        <is>
          <t>54 sec</t>
        </is>
      </c>
      <c r="N116" s="16" t="inlineStr">
        <is>
          <t xml:space="preserve">          9K            18K             5K</t>
        </is>
      </c>
      <c r="O116" s="16" t="inlineStr">
        <is>
          <t>5i85RBCq55G9Pgnomb7w69MG57LF5SMzxYez5e3dpump</t>
        </is>
      </c>
      <c r="P116" s="16">
        <f>HYPERLINK("https://photon-sol.tinyastro.io/en/lp/5i85RBCq55G9Pgnomb7w69MG57LF5SMzxYez5e3dpump?handle=676050794bc1b1657a56b", "View")</f>
        <v/>
      </c>
    </row>
    <row r="117">
      <c r="A117" s="19" t="inlineStr">
        <is>
          <t>888</t>
        </is>
      </c>
      <c r="B117" s="20" t="n">
        <v>68651077</v>
      </c>
      <c r="C117" s="20" t="n">
        <v>58651077</v>
      </c>
      <c r="D117" s="20" t="inlineStr">
        <is>
          <t>0.007520</t>
        </is>
      </c>
      <c r="E117" s="20" t="inlineStr">
        <is>
          <t>5.105 SOL</t>
        </is>
      </c>
      <c r="F117" s="20" t="inlineStr">
        <is>
          <t>39.841 SOL</t>
        </is>
      </c>
      <c r="G117" s="23" t="inlineStr">
        <is>
          <t>34.728 SOL</t>
        </is>
      </c>
      <c r="H117" s="23" t="inlineStr">
        <is>
          <t>679.34%</t>
        </is>
      </c>
      <c r="I117" s="20" t="inlineStr">
        <is>
          <t>N/A</t>
        </is>
      </c>
      <c r="J117" s="20" t="n">
        <v>1</v>
      </c>
      <c r="K117" s="20" t="n">
        <v>1</v>
      </c>
      <c r="L117" s="20" t="inlineStr">
        <is>
          <t>23.10.2024 05:19:09</t>
        </is>
      </c>
      <c r="M117" s="20" t="inlineStr">
        <is>
          <t>1 hours</t>
        </is>
      </c>
      <c r="N117" s="20" t="inlineStr">
        <is>
          <t xml:space="preserve">         12K            12K            12K</t>
        </is>
      </c>
      <c r="O117" s="20" t="inlineStr">
        <is>
          <t>C65t4Bd52R1ZdV1GVzzSyLqphoPrShiajsK5nJBrpump</t>
        </is>
      </c>
      <c r="P117" s="20">
        <f>HYPERLINK("https://photon-sol.tinyastro.io/en/lp/C65t4Bd52R1ZdV1GVzzSyLqphoPrShiajsK5nJBrpump?handle=676050794bc1b1657a56b", "View")</f>
        <v/>
      </c>
    </row>
    <row r="118">
      <c r="A118" s="15" t="inlineStr">
        <is>
          <t>420</t>
        </is>
      </c>
      <c r="B118" s="16" t="n">
        <v>16640518</v>
      </c>
      <c r="C118" s="16" t="n">
        <v>16640518</v>
      </c>
      <c r="D118" s="16" t="inlineStr">
        <is>
          <t>0.007520</t>
        </is>
      </c>
      <c r="E118" s="16" t="inlineStr">
        <is>
          <t>2.051 SOL</t>
        </is>
      </c>
      <c r="F118" s="16" t="inlineStr">
        <is>
          <t>1.758 SOL</t>
        </is>
      </c>
      <c r="G118" s="21" t="inlineStr">
        <is>
          <t>-0.301 SOL</t>
        </is>
      </c>
      <c r="H118" s="21" t="inlineStr">
        <is>
          <t>-14.63%</t>
        </is>
      </c>
      <c r="I118" s="16" t="inlineStr">
        <is>
          <t>N/A</t>
        </is>
      </c>
      <c r="J118" s="16" t="n">
        <v>1</v>
      </c>
      <c r="K118" s="16" t="n">
        <v>1</v>
      </c>
      <c r="L118" s="16" t="inlineStr">
        <is>
          <t>23.10.2024 05:04:52</t>
        </is>
      </c>
      <c r="M118" s="16" t="inlineStr">
        <is>
          <t>18 min</t>
        </is>
      </c>
      <c r="N118" s="16" t="inlineStr">
        <is>
          <t xml:space="preserve">         21K            21K             4K</t>
        </is>
      </c>
      <c r="O118" s="16" t="inlineStr">
        <is>
          <t>8a1BT9xFjUHYVzD55d34x47MiwGfp5WfMTEiAs7Fpump</t>
        </is>
      </c>
      <c r="P118" s="16">
        <f>HYPERLINK("https://photon-sol.tinyastro.io/en/lp/8a1BT9xFjUHYVzD55d34x47MiwGfp5WfMTEiAs7Fpump?handle=676050794bc1b1657a56b", "View")</f>
        <v/>
      </c>
    </row>
    <row r="119">
      <c r="A119" s="19" t="inlineStr">
        <is>
          <t>MEIZHU</t>
        </is>
      </c>
      <c r="B119" s="20" t="n">
        <v>16917664</v>
      </c>
      <c r="C119" s="20" t="n">
        <v>16917664</v>
      </c>
      <c r="D119" s="20" t="inlineStr">
        <is>
          <t>0.030020</t>
        </is>
      </c>
      <c r="E119" s="20" t="inlineStr">
        <is>
          <t>15.000 SOL</t>
        </is>
      </c>
      <c r="F119" s="20" t="inlineStr">
        <is>
          <t>133.311 SOL</t>
        </is>
      </c>
      <c r="G119" s="23" t="inlineStr">
        <is>
          <t>118.281 SOL</t>
        </is>
      </c>
      <c r="H119" s="23" t="inlineStr">
        <is>
          <t>786.96%</t>
        </is>
      </c>
      <c r="I119" s="20" t="inlineStr">
        <is>
          <t>N/A</t>
        </is>
      </c>
      <c r="J119" s="20" t="n">
        <v>1</v>
      </c>
      <c r="K119" s="20" t="n">
        <v>3</v>
      </c>
      <c r="L119" s="20" t="inlineStr">
        <is>
          <t>22.10.2024 18:17:05</t>
        </is>
      </c>
      <c r="M119" s="20" t="inlineStr">
        <is>
          <t>1 hours</t>
        </is>
      </c>
      <c r="N119" s="20" t="inlineStr">
        <is>
          <t xml:space="preserve">        156K           156K            50K</t>
        </is>
      </c>
      <c r="O119" s="20" t="inlineStr">
        <is>
          <t>7RSwX9BqJFpEh1Qz7bu97rwHE8XhwofZ3St99pH2pump</t>
        </is>
      </c>
      <c r="P119" s="20">
        <f>HYPERLINK("https://dexscreener.com/solana/7RSwX9BqJFpEh1Qz7bu97rwHE8XhwofZ3St99pH2pump", "View")</f>
        <v/>
      </c>
    </row>
    <row r="120">
      <c r="A120" s="15" t="inlineStr">
        <is>
          <t>MONA</t>
        </is>
      </c>
      <c r="B120" s="16" t="n">
        <v>4064546</v>
      </c>
      <c r="C120" s="16" t="n">
        <v>4064546</v>
      </c>
      <c r="D120" s="16" t="inlineStr">
        <is>
          <t>0.015010</t>
        </is>
      </c>
      <c r="E120" s="16" t="inlineStr">
        <is>
          <t>5.000 SOL</t>
        </is>
      </c>
      <c r="F120" s="16" t="inlineStr">
        <is>
          <t>3.903 SOL</t>
        </is>
      </c>
      <c r="G120" s="21" t="inlineStr">
        <is>
          <t>-1.112 SOL</t>
        </is>
      </c>
      <c r="H120" s="21" t="inlineStr">
        <is>
          <t>-22.16%</t>
        </is>
      </c>
      <c r="I120" s="16" t="inlineStr">
        <is>
          <t>N/A</t>
        </is>
      </c>
      <c r="J120" s="16" t="n">
        <v>1</v>
      </c>
      <c r="K120" s="16" t="n">
        <v>1</v>
      </c>
      <c r="L120" s="16" t="inlineStr">
        <is>
          <t>22.10.2024 08:42:40</t>
        </is>
      </c>
      <c r="M120" s="18" t="inlineStr">
        <is>
          <t>27 sec</t>
        </is>
      </c>
      <c r="N120" s="16" t="inlineStr">
        <is>
          <t xml:space="preserve">        216K           169K            17K</t>
        </is>
      </c>
      <c r="O120" s="16" t="inlineStr">
        <is>
          <t>Gfcr2oLwtZefC3tCzXWDBsuRFdKZWtbwsei2WfjMpump</t>
        </is>
      </c>
      <c r="P120" s="16">
        <f>HYPERLINK("https://dexscreener.com/solana/Gfcr2oLwtZefC3tCzXWDBsuRFdKZWtbwsei2WfjMpump", "View")</f>
        <v/>
      </c>
    </row>
    <row r="121">
      <c r="A121" s="19" t="inlineStr">
        <is>
          <t>Gabriel</t>
        </is>
      </c>
      <c r="B121" s="20" t="n">
        <v>23848001</v>
      </c>
      <c r="C121" s="20" t="n">
        <v>23848001</v>
      </c>
      <c r="D121" s="20" t="inlineStr">
        <is>
          <t>0.015010</t>
        </is>
      </c>
      <c r="E121" s="20" t="inlineStr">
        <is>
          <t>5.000 SOL</t>
        </is>
      </c>
      <c r="F121" s="20" t="inlineStr">
        <is>
          <t>11.156 SOL</t>
        </is>
      </c>
      <c r="G121" s="23" t="inlineStr">
        <is>
          <t>6.141 SOL</t>
        </is>
      </c>
      <c r="H121" s="23" t="inlineStr">
        <is>
          <t>122.46%</t>
        </is>
      </c>
      <c r="I121" s="20" t="inlineStr">
        <is>
          <t>N/A</t>
        </is>
      </c>
      <c r="J121" s="20" t="n">
        <v>1</v>
      </c>
      <c r="K121" s="20" t="n">
        <v>1</v>
      </c>
      <c r="L121" s="20" t="inlineStr">
        <is>
          <t>22.10.2024 07:34:32</t>
        </is>
      </c>
      <c r="M121" s="20" t="inlineStr">
        <is>
          <t>10 min</t>
        </is>
      </c>
      <c r="N121" s="20" t="inlineStr">
        <is>
          <t xml:space="preserve">         37K            83K             6K</t>
        </is>
      </c>
      <c r="O121" s="20" t="inlineStr">
        <is>
          <t>HS7Q3wFt22uaWA1S2SQNd6ft1kQcxDvPuBMmPYqANGps</t>
        </is>
      </c>
      <c r="P121" s="20">
        <f>HYPERLINK("https://dexscreener.com/solana/HS7Q3wFt22uaWA1S2SQNd6ft1kQcxDvPuBMmPYqANGps", "View")</f>
        <v/>
      </c>
    </row>
    <row r="122">
      <c r="A122" s="15" t="inlineStr">
        <is>
          <t>MEMECORE</t>
        </is>
      </c>
      <c r="B122" s="16" t="n">
        <v>104441870</v>
      </c>
      <c r="C122" s="16" t="n">
        <v>104441870</v>
      </c>
      <c r="D122" s="16" t="inlineStr">
        <is>
          <t>0.045090</t>
        </is>
      </c>
      <c r="E122" s="16" t="inlineStr">
        <is>
          <t>76.000 SOL</t>
        </is>
      </c>
      <c r="F122" s="16" t="inlineStr">
        <is>
          <t>85.266 SOL</t>
        </is>
      </c>
      <c r="G122" s="22" t="inlineStr">
        <is>
          <t>9.221 SOL</t>
        </is>
      </c>
      <c r="H122" s="22" t="inlineStr">
        <is>
          <t>12.13%</t>
        </is>
      </c>
      <c r="I122" s="16" t="inlineStr">
        <is>
          <t>N/A</t>
        </is>
      </c>
      <c r="J122" s="16" t="n">
        <v>6</v>
      </c>
      <c r="K122" s="16" t="n">
        <v>6</v>
      </c>
      <c r="L122" s="16" t="inlineStr">
        <is>
          <t>22.10.2024 03:24:16</t>
        </is>
      </c>
      <c r="M122" s="16" t="inlineStr">
        <is>
          <t>1 days</t>
        </is>
      </c>
      <c r="N122" s="16" t="inlineStr">
        <is>
          <t xml:space="preserve">        118K           153K            30K</t>
        </is>
      </c>
      <c r="O122" s="16" t="inlineStr">
        <is>
          <t>GpLF6vGzZvn2ZPdVxP7m1LTuAndbiKrpAbnFNVSEpump</t>
        </is>
      </c>
      <c r="P122" s="16">
        <f>HYPERLINK("https://dexscreener.com/solana/GpLF6vGzZvn2ZPdVxP7m1LTuAndbiKrpAbnFNVSEpump", "View")</f>
        <v/>
      </c>
    </row>
    <row r="123">
      <c r="A123" s="19" t="inlineStr">
        <is>
          <t>WojakAI</t>
        </is>
      </c>
      <c r="B123" s="20" t="n">
        <v>16216686</v>
      </c>
      <c r="C123" s="20" t="n">
        <v>16216686</v>
      </c>
      <c r="D123" s="20" t="inlineStr">
        <is>
          <t>0.022520</t>
        </is>
      </c>
      <c r="E123" s="20" t="inlineStr">
        <is>
          <t>10.000 SOL</t>
        </is>
      </c>
      <c r="F123" s="20" t="inlineStr">
        <is>
          <t>22.192 SOL</t>
        </is>
      </c>
      <c r="G123" s="23" t="inlineStr">
        <is>
          <t>12.169 SOL</t>
        </is>
      </c>
      <c r="H123" s="23" t="inlineStr">
        <is>
          <t>121.42%</t>
        </is>
      </c>
      <c r="I123" s="20" t="inlineStr">
        <is>
          <t>N/A</t>
        </is>
      </c>
      <c r="J123" s="20" t="n">
        <v>1</v>
      </c>
      <c r="K123" s="20" t="n">
        <v>2</v>
      </c>
      <c r="L123" s="20" t="inlineStr">
        <is>
          <t>21.10.2024 23:19:04</t>
        </is>
      </c>
      <c r="M123" s="20" t="inlineStr">
        <is>
          <t>25 min</t>
        </is>
      </c>
      <c r="N123" s="20" t="inlineStr">
        <is>
          <t xml:space="preserve">        109K           207K            14K</t>
        </is>
      </c>
      <c r="O123" s="20" t="inlineStr">
        <is>
          <t>GLz7XZbAuqakNKqpheYFZfkj7gcY3K3RxFLQPqFpump</t>
        </is>
      </c>
      <c r="P123" s="20">
        <f>HYPERLINK("https://dexscreener.com/solana/GLz7XZbAuqakNKqpheYFZfkj7gcY3K3RxFLQPqFpump", "View")</f>
        <v/>
      </c>
    </row>
    <row r="124">
      <c r="A124" s="15" t="inlineStr">
        <is>
          <t>WMM</t>
        </is>
      </c>
      <c r="B124" s="16" t="n">
        <v>37906403</v>
      </c>
      <c r="C124" s="16" t="n">
        <v>37906403</v>
      </c>
      <c r="D124" s="16" t="inlineStr">
        <is>
          <t>0.075070</t>
        </is>
      </c>
      <c r="E124" s="16" t="inlineStr">
        <is>
          <t>8.146 SOL</t>
        </is>
      </c>
      <c r="F124" s="16" t="inlineStr">
        <is>
          <t>233.490 SOL</t>
        </is>
      </c>
      <c r="G124" s="23" t="inlineStr">
        <is>
          <t>225.269 SOL</t>
        </is>
      </c>
      <c r="H124" s="23" t="inlineStr">
        <is>
          <t>2740.05%</t>
        </is>
      </c>
      <c r="I124" s="16" t="inlineStr">
        <is>
          <t>N/A</t>
        </is>
      </c>
      <c r="J124" s="16" t="n">
        <v>2</v>
      </c>
      <c r="K124" s="16" t="n">
        <v>10</v>
      </c>
      <c r="L124" s="16" t="inlineStr">
        <is>
          <t>21.10.2024 23:06:23</t>
        </is>
      </c>
      <c r="M124" s="16" t="inlineStr">
        <is>
          <t>3 hours</t>
        </is>
      </c>
      <c r="N124" s="16" t="inlineStr">
        <is>
          <t xml:space="preserve">         37K           653K             4M</t>
        </is>
      </c>
      <c r="O124" s="16" t="inlineStr">
        <is>
          <t>9pWPUXoZKWNPWyaegPQeR3Kn8aFz9nrGtm5jeAFzpump</t>
        </is>
      </c>
      <c r="P124" s="16">
        <f>HYPERLINK("https://photon-sol.tinyastro.io/en/lp/9pWPUXoZKWNPWyaegPQeR3Kn8aFz9nrGtm5jeAFzpump?handle=676050794bc1b1657a56b", "View")</f>
        <v/>
      </c>
    </row>
    <row r="125">
      <c r="A125" s="19" t="inlineStr">
        <is>
          <t>MONKEY</t>
        </is>
      </c>
      <c r="B125" s="20" t="n">
        <v>34085042</v>
      </c>
      <c r="C125" s="20" t="n">
        <v>34085042</v>
      </c>
      <c r="D125" s="20" t="inlineStr">
        <is>
          <t>0.015010</t>
        </is>
      </c>
      <c r="E125" s="20" t="inlineStr">
        <is>
          <t>2.907 SOL</t>
        </is>
      </c>
      <c r="F125" s="20" t="inlineStr">
        <is>
          <t>2.579 SOL</t>
        </is>
      </c>
      <c r="G125" s="21" t="inlineStr">
        <is>
          <t>-0.343 SOL</t>
        </is>
      </c>
      <c r="H125" s="21" t="inlineStr">
        <is>
          <t>-11.75%</t>
        </is>
      </c>
      <c r="I125" s="20" t="inlineStr">
        <is>
          <t>N/A</t>
        </is>
      </c>
      <c r="J125" s="20" t="n">
        <v>1</v>
      </c>
      <c r="K125" s="20" t="n">
        <v>1</v>
      </c>
      <c r="L125" s="20" t="inlineStr">
        <is>
          <t>21.10.2024 21:15:21</t>
        </is>
      </c>
      <c r="M125" s="20" t="inlineStr">
        <is>
          <t>5 min</t>
        </is>
      </c>
      <c r="N125" s="20" t="inlineStr">
        <is>
          <t xml:space="preserve">         16K            14K             5K</t>
        </is>
      </c>
      <c r="O125" s="20" t="inlineStr">
        <is>
          <t>EjPSHFpuuc3oYEtsJ42n9hGJbcfoS1aGFd929wTXpump</t>
        </is>
      </c>
      <c r="P125" s="20">
        <f>HYPERLINK("https://photon-sol.tinyastro.io/en/lp/EjPSHFpuuc3oYEtsJ42n9hGJbcfoS1aGFd929wTXpump?handle=676050794bc1b1657a56b", "View")</f>
        <v/>
      </c>
    </row>
    <row r="126">
      <c r="A126" s="15" t="inlineStr">
        <is>
          <t>LOA</t>
        </is>
      </c>
      <c r="B126" s="16" t="n">
        <v>31714663</v>
      </c>
      <c r="C126" s="16" t="n">
        <v>31714663</v>
      </c>
      <c r="D126" s="16" t="inlineStr">
        <is>
          <t>0.007520</t>
        </is>
      </c>
      <c r="E126" s="16" t="inlineStr">
        <is>
          <t>1.029 SOL</t>
        </is>
      </c>
      <c r="F126" s="16" t="inlineStr">
        <is>
          <t>2.546 SOL</t>
        </is>
      </c>
      <c r="G126" s="23" t="inlineStr">
        <is>
          <t>1.510 SOL</t>
        </is>
      </c>
      <c r="H126" s="23" t="inlineStr">
        <is>
          <t>145.78%</t>
        </is>
      </c>
      <c r="I126" s="16" t="inlineStr">
        <is>
          <t>N/A</t>
        </is>
      </c>
      <c r="J126" s="16" t="n">
        <v>1</v>
      </c>
      <c r="K126" s="16" t="n">
        <v>1</v>
      </c>
      <c r="L126" s="16" t="inlineStr">
        <is>
          <t>21.10.2024 21:06:07</t>
        </is>
      </c>
      <c r="M126" s="16" t="inlineStr">
        <is>
          <t>6 min</t>
        </is>
      </c>
      <c r="N126" s="16" t="inlineStr">
        <is>
          <t xml:space="preserve">          5K            14K             5K</t>
        </is>
      </c>
      <c r="O126" s="16" t="inlineStr">
        <is>
          <t>9DcaGLPEmo4BKC3VYVzghvbFUCC7yTrfr21evquApump</t>
        </is>
      </c>
      <c r="P126" s="16">
        <f>HYPERLINK("https://photon-sol.tinyastro.io/en/lp/9DcaGLPEmo4BKC3VYVzghvbFUCC7yTrfr21evquApump?handle=676050794bc1b1657a56b", "View")</f>
        <v/>
      </c>
    </row>
    <row r="127">
      <c r="A127" s="19" t="inlineStr">
        <is>
          <t>Troilans</t>
        </is>
      </c>
      <c r="B127" s="20" t="n">
        <v>27200113</v>
      </c>
      <c r="C127" s="20" t="n">
        <v>27200113</v>
      </c>
      <c r="D127" s="20" t="inlineStr">
        <is>
          <t>0.000020</t>
        </is>
      </c>
      <c r="E127" s="20" t="inlineStr">
        <is>
          <t>3.037 SOL</t>
        </is>
      </c>
      <c r="F127" s="20" t="inlineStr">
        <is>
          <t>4.288 SOL</t>
        </is>
      </c>
      <c r="G127" s="22" t="inlineStr">
        <is>
          <t>1.251 SOL</t>
        </is>
      </c>
      <c r="H127" s="22" t="inlineStr">
        <is>
          <t>41.18%</t>
        </is>
      </c>
      <c r="I127" s="20" t="inlineStr">
        <is>
          <t>N/A</t>
        </is>
      </c>
      <c r="J127" s="20" t="n">
        <v>1</v>
      </c>
      <c r="K127" s="20" t="n">
        <v>1</v>
      </c>
      <c r="L127" s="20" t="inlineStr">
        <is>
          <t>21.10.2024 20:46:51</t>
        </is>
      </c>
      <c r="M127" s="18" t="inlineStr">
        <is>
          <t>10 sec</t>
        </is>
      </c>
      <c r="N127" s="20" t="inlineStr">
        <is>
          <t xml:space="preserve">         19K            28K             5K</t>
        </is>
      </c>
      <c r="O127" s="20" t="inlineStr">
        <is>
          <t>4jKMfdp8dhNCZdgBNts3EkEYkFV2yVup7xeYGxBDyD4B</t>
        </is>
      </c>
      <c r="P127" s="20">
        <f>HYPERLINK("https://photon-sol.tinyastro.io/en/lp/4jKMfdp8dhNCZdgBNts3EkEYkFV2yVup7xeYGxBDyD4B?handle=676050794bc1b1657a56b", "View")</f>
        <v/>
      </c>
    </row>
    <row r="128">
      <c r="A128" s="15" t="inlineStr">
        <is>
          <t>SOLM</t>
        </is>
      </c>
      <c r="B128" s="16" t="n">
        <v>11942593</v>
      </c>
      <c r="C128" s="16" t="n">
        <v>11942593</v>
      </c>
      <c r="D128" s="16" t="inlineStr">
        <is>
          <t>0.022530</t>
        </is>
      </c>
      <c r="E128" s="16" t="inlineStr">
        <is>
          <t>20.000 SOL</t>
        </is>
      </c>
      <c r="F128" s="16" t="inlineStr">
        <is>
          <t>72.162 SOL</t>
        </is>
      </c>
      <c r="G128" s="23" t="inlineStr">
        <is>
          <t>52.140 SOL</t>
        </is>
      </c>
      <c r="H128" s="23" t="inlineStr">
        <is>
          <t>260.40%</t>
        </is>
      </c>
      <c r="I128" s="16" t="inlineStr">
        <is>
          <t>N/A</t>
        </is>
      </c>
      <c r="J128" s="16" t="n">
        <v>1</v>
      </c>
      <c r="K128" s="16" t="n">
        <v>3</v>
      </c>
      <c r="L128" s="16" t="inlineStr">
        <is>
          <t>21.10.2024 19:52:39</t>
        </is>
      </c>
      <c r="M128" s="16" t="inlineStr">
        <is>
          <t>1 hours</t>
        </is>
      </c>
      <c r="N128" s="16" t="inlineStr">
        <is>
          <t xml:space="preserve">        262K           262K            14K</t>
        </is>
      </c>
      <c r="O128" s="16" t="inlineStr">
        <is>
          <t>AGLsGEYqNHxkZomHMo1jESRGZ98kfuaLGgNHgT92pump</t>
        </is>
      </c>
      <c r="P128" s="16">
        <f>HYPERLINK("https://dexscreener.com/solana/AGLsGEYqNHxkZomHMo1jESRGZ98kfuaLGgNHgT92pump", "View")</f>
        <v/>
      </c>
    </row>
    <row r="129">
      <c r="A129" s="19" t="inlineStr">
        <is>
          <t>TCO</t>
        </is>
      </c>
      <c r="B129" s="20" t="n">
        <v>130330581</v>
      </c>
      <c r="C129" s="20" t="n">
        <v>130330581</v>
      </c>
      <c r="D129" s="20" t="inlineStr">
        <is>
          <t>0.007530</t>
        </is>
      </c>
      <c r="E129" s="20" t="inlineStr">
        <is>
          <t>5.607 SOL</t>
        </is>
      </c>
      <c r="F129" s="20" t="inlineStr">
        <is>
          <t>9.256 SOL</t>
        </is>
      </c>
      <c r="G129" s="23" t="inlineStr">
        <is>
          <t>3.642 SOL</t>
        </is>
      </c>
      <c r="H129" s="23" t="inlineStr">
        <is>
          <t>64.88%</t>
        </is>
      </c>
      <c r="I129" s="20" t="inlineStr">
        <is>
          <t>N/A</t>
        </is>
      </c>
      <c r="J129" s="20" t="n">
        <v>2</v>
      </c>
      <c r="K129" s="20" t="n">
        <v>1</v>
      </c>
      <c r="L129" s="20" t="inlineStr">
        <is>
          <t>21.10.2024 09:02:32</t>
        </is>
      </c>
      <c r="M129" s="20" t="inlineStr">
        <is>
          <t>1 min</t>
        </is>
      </c>
      <c r="N129" s="20" t="inlineStr">
        <is>
          <t xml:space="preserve">          7K            12K             5K</t>
        </is>
      </c>
      <c r="O129" s="20" t="inlineStr">
        <is>
          <t>4UqXvdM9XprcSDSrGNDakvGZMSGaVpqvMnsYQyBspump</t>
        </is>
      </c>
      <c r="P129" s="20">
        <f>HYPERLINK("https://photon-sol.tinyastro.io/en/lp/4UqXvdM9XprcSDSrGNDakvGZMSGaVpqvMnsYQyBspump?handle=676050794bc1b1657a56b", "View")</f>
        <v/>
      </c>
    </row>
    <row r="130">
      <c r="A130" s="15" t="inlineStr">
        <is>
          <t>Errordio</t>
        </is>
      </c>
      <c r="B130" s="16" t="n">
        <v>237543305</v>
      </c>
      <c r="C130" s="16" t="n">
        <v>237543305</v>
      </c>
      <c r="D130" s="16" t="inlineStr">
        <is>
          <t>0.007520</t>
        </is>
      </c>
      <c r="E130" s="16" t="inlineStr">
        <is>
          <t>11.209 SOL</t>
        </is>
      </c>
      <c r="F130" s="16" t="inlineStr">
        <is>
          <t>12.389 SOL</t>
        </is>
      </c>
      <c r="G130" s="22" t="inlineStr">
        <is>
          <t>1.173 SOL</t>
        </is>
      </c>
      <c r="H130" s="22" t="inlineStr">
        <is>
          <t>10.46%</t>
        </is>
      </c>
      <c r="I130" s="16" t="inlineStr">
        <is>
          <t>N/A</t>
        </is>
      </c>
      <c r="J130" s="16" t="n">
        <v>1</v>
      </c>
      <c r="K130" s="16" t="n">
        <v>1</v>
      </c>
      <c r="L130" s="16" t="inlineStr">
        <is>
          <t>21.10.2024 09:00:28</t>
        </is>
      </c>
      <c r="M130" s="18" t="inlineStr">
        <is>
          <t>10 sec</t>
        </is>
      </c>
      <c r="N130" s="16" t="inlineStr">
        <is>
          <t xml:space="preserve">          9K             9K             5K</t>
        </is>
      </c>
      <c r="O130" s="16" t="inlineStr">
        <is>
          <t>7SX2N1w32GvKRrSJu5kewqQ2HPSdEvoAxkntu6zGpump</t>
        </is>
      </c>
      <c r="P130" s="16">
        <f>HYPERLINK("https://photon-sol.tinyastro.io/en/lp/7SX2N1w32GvKRrSJu5kewqQ2HPSdEvoAxkntu6zGpump?handle=676050794bc1b1657a56b", "View")</f>
        <v/>
      </c>
    </row>
    <row r="131">
      <c r="A131" s="19" t="inlineStr">
        <is>
          <t>STRAWBERRY</t>
        </is>
      </c>
      <c r="B131" s="20" t="n">
        <v>21452089</v>
      </c>
      <c r="C131" s="20" t="n">
        <v>21452089</v>
      </c>
      <c r="D131" s="20" t="inlineStr">
        <is>
          <t>0.022520</t>
        </is>
      </c>
      <c r="E131" s="20" t="inlineStr">
        <is>
          <t>10.609 SOL</t>
        </is>
      </c>
      <c r="F131" s="20" t="inlineStr">
        <is>
          <t>5.144 SOL</t>
        </is>
      </c>
      <c r="G131" s="24" t="inlineStr">
        <is>
          <t>-5.488 SOL</t>
        </is>
      </c>
      <c r="H131" s="24" t="inlineStr">
        <is>
          <t>-51.62%</t>
        </is>
      </c>
      <c r="I131" s="20" t="inlineStr">
        <is>
          <t>N/A</t>
        </is>
      </c>
      <c r="J131" s="20" t="n">
        <v>2</v>
      </c>
      <c r="K131" s="20" t="n">
        <v>1</v>
      </c>
      <c r="L131" s="20" t="inlineStr">
        <is>
          <t>21.10.2024 08:59:13</t>
        </is>
      </c>
      <c r="M131" s="20" t="inlineStr">
        <is>
          <t>36 min</t>
        </is>
      </c>
      <c r="N131" s="20" t="inlineStr">
        <is>
          <t xml:space="preserve">         68K           126K            52K</t>
        </is>
      </c>
      <c r="O131" s="20" t="inlineStr">
        <is>
          <t>CFzhqSNqYZRsUszCGwZ3SJ9iPHLvSumffaS6gWuupump</t>
        </is>
      </c>
      <c r="P131" s="20">
        <f>HYPERLINK("https://photon-sol.tinyastro.io/en/lp/CFzhqSNqYZRsUszCGwZ3SJ9iPHLvSumffaS6gWuupump?handle=676050794bc1b1657a56b", "View")</f>
        <v/>
      </c>
    </row>
    <row r="132">
      <c r="A132" s="15" t="inlineStr">
        <is>
          <t>$slop</t>
        </is>
      </c>
      <c r="B132" s="16" t="n">
        <v>1308724</v>
      </c>
      <c r="C132" s="16" t="n">
        <v>1308724</v>
      </c>
      <c r="D132" s="16" t="inlineStr">
        <is>
          <t>0.015040</t>
        </is>
      </c>
      <c r="E132" s="16" t="inlineStr">
        <is>
          <t>120.000 SOL</t>
        </is>
      </c>
      <c r="F132" s="16" t="inlineStr">
        <is>
          <t>144.590 SOL</t>
        </is>
      </c>
      <c r="G132" s="22" t="inlineStr">
        <is>
          <t>24.575 SOL</t>
        </is>
      </c>
      <c r="H132" s="22" t="inlineStr">
        <is>
          <t>20.48%</t>
        </is>
      </c>
      <c r="I132" s="16" t="inlineStr">
        <is>
          <t>N/A</t>
        </is>
      </c>
      <c r="J132" s="16" t="n">
        <v>3</v>
      </c>
      <c r="K132" s="16" t="n">
        <v>2</v>
      </c>
      <c r="L132" s="16" t="inlineStr">
        <is>
          <t>21.10.2024 08:12:38</t>
        </is>
      </c>
      <c r="M132" s="16" t="inlineStr">
        <is>
          <t>1 hours</t>
        </is>
      </c>
      <c r="N132" s="16" t="inlineStr">
        <is>
          <t xml:space="preserve">         15M            18M             3M</t>
        </is>
      </c>
      <c r="O132" s="16" t="inlineStr">
        <is>
          <t>FqvtZ2UFR9we82Ni4LeacC1zyTiQ77usDo31DUokpump</t>
        </is>
      </c>
      <c r="P132" s="16">
        <f>HYPERLINK("https://dexscreener.com/solana/FqvtZ2UFR9we82Ni4LeacC1zyTiQ77usDo31DUokpump", "View")</f>
        <v/>
      </c>
    </row>
    <row r="133">
      <c r="A133" s="19" t="inlineStr">
        <is>
          <t>an/gel</t>
        </is>
      </c>
      <c r="B133" s="20" t="n">
        <v>22009923</v>
      </c>
      <c r="C133" s="20" t="n">
        <v>22009923</v>
      </c>
      <c r="D133" s="20" t="inlineStr">
        <is>
          <t>0.007550</t>
        </is>
      </c>
      <c r="E133" s="20" t="inlineStr">
        <is>
          <t>20.000 SOL</t>
        </is>
      </c>
      <c r="F133" s="20" t="inlineStr">
        <is>
          <t>15.158 SOL</t>
        </is>
      </c>
      <c r="G133" s="21" t="inlineStr">
        <is>
          <t>-4.849 SOL</t>
        </is>
      </c>
      <c r="H133" s="21" t="inlineStr">
        <is>
          <t>-24.24%</t>
        </is>
      </c>
      <c r="I133" s="20" t="inlineStr">
        <is>
          <t>N/A</t>
        </is>
      </c>
      <c r="J133" s="20" t="n">
        <v>3</v>
      </c>
      <c r="K133" s="20" t="n">
        <v>2</v>
      </c>
      <c r="L133" s="20" t="inlineStr">
        <is>
          <t>21.10.2024 06:57:11</t>
        </is>
      </c>
      <c r="M133" s="20" t="inlineStr">
        <is>
          <t>2 days</t>
        </is>
      </c>
      <c r="N133" s="20" t="inlineStr">
        <is>
          <t xml:space="preserve">        140K           126K            65K</t>
        </is>
      </c>
      <c r="O133" s="20" t="inlineStr">
        <is>
          <t>G4LJcPktZLrgsxu8VSJiBvm2mUVkYvPWzTHSAQ1spump</t>
        </is>
      </c>
      <c r="P133" s="20">
        <f>HYPERLINK("https://dexscreener.com/solana/G4LJcPktZLrgsxu8VSJiBvm2mUVkYvPWzTHSAQ1spump", "View")</f>
        <v/>
      </c>
    </row>
    <row r="134">
      <c r="A134" s="15" t="inlineStr">
        <is>
          <t>life</t>
        </is>
      </c>
      <c r="B134" s="16" t="n">
        <v>37161146</v>
      </c>
      <c r="C134" s="16" t="n">
        <v>37161146</v>
      </c>
      <c r="D134" s="16" t="inlineStr">
        <is>
          <t>0.007520</t>
        </is>
      </c>
      <c r="E134" s="16" t="inlineStr">
        <is>
          <t>3.516 SOL</t>
        </is>
      </c>
      <c r="F134" s="16" t="inlineStr">
        <is>
          <t>3.472 SOL</t>
        </is>
      </c>
      <c r="G134" s="21" t="inlineStr">
        <is>
          <t>-0.052 SOL</t>
        </is>
      </c>
      <c r="H134" s="21" t="inlineStr">
        <is>
          <t>-1.47%</t>
        </is>
      </c>
      <c r="I134" s="16" t="inlineStr">
        <is>
          <t>N/A</t>
        </is>
      </c>
      <c r="J134" s="16" t="n">
        <v>1</v>
      </c>
      <c r="K134" s="16" t="n">
        <v>1</v>
      </c>
      <c r="L134" s="16" t="inlineStr">
        <is>
          <t>21.10.2024 06:36:20</t>
        </is>
      </c>
      <c r="M134" s="16" t="inlineStr">
        <is>
          <t>35 min</t>
        </is>
      </c>
      <c r="N134" s="16" t="inlineStr">
        <is>
          <t xml:space="preserve">         16K            16K             5K</t>
        </is>
      </c>
      <c r="O134" s="16" t="inlineStr">
        <is>
          <t>8m7tbpwbgScGnYYLMvxu2r2SvofYT9nMLq4QtJT8pump</t>
        </is>
      </c>
      <c r="P134" s="16">
        <f>HYPERLINK("https://photon-sol.tinyastro.io/en/lp/8m7tbpwbgScGnYYLMvxu2r2SvofYT9nMLq4QtJT8pump?handle=676050794bc1b1657a56b", "View")</f>
        <v/>
      </c>
    </row>
    <row r="135">
      <c r="A135" s="19" t="inlineStr">
        <is>
          <t>gideon</t>
        </is>
      </c>
      <c r="B135" s="20" t="n">
        <v>31865706</v>
      </c>
      <c r="C135" s="20" t="n">
        <v>31865706</v>
      </c>
      <c r="D135" s="20" t="inlineStr">
        <is>
          <t>0.015020</t>
        </is>
      </c>
      <c r="E135" s="20" t="inlineStr">
        <is>
          <t>3.811 SOL</t>
        </is>
      </c>
      <c r="F135" s="20" t="inlineStr">
        <is>
          <t>5.788 SOL</t>
        </is>
      </c>
      <c r="G135" s="23" t="inlineStr">
        <is>
          <t>1.962 SOL</t>
        </is>
      </c>
      <c r="H135" s="23" t="inlineStr">
        <is>
          <t>51.28%</t>
        </is>
      </c>
      <c r="I135" s="20" t="inlineStr">
        <is>
          <t>N/A</t>
        </is>
      </c>
      <c r="J135" s="20" t="n">
        <v>2</v>
      </c>
      <c r="K135" s="20" t="n">
        <v>1</v>
      </c>
      <c r="L135" s="20" t="inlineStr">
        <is>
          <t>21.10.2024 06:35:58</t>
        </is>
      </c>
      <c r="M135" s="20" t="inlineStr">
        <is>
          <t>26 min</t>
        </is>
      </c>
      <c r="N135" s="20" t="inlineStr">
        <is>
          <t xml:space="preserve">         19K            32K             5K</t>
        </is>
      </c>
      <c r="O135" s="20" t="inlineStr">
        <is>
          <t>GeaNaDiJ1YJNrm4KqSCLonDvhJZeNMiLykrSU6NUpump</t>
        </is>
      </c>
      <c r="P135" s="20">
        <f>HYPERLINK("https://photon-sol.tinyastro.io/en/lp/GeaNaDiJ1YJNrm4KqSCLonDvhJZeNMiLykrSU6NUpump?handle=676050794bc1b1657a56b", "View")</f>
        <v/>
      </c>
    </row>
    <row r="136">
      <c r="A136" s="15" t="inlineStr">
        <is>
          <t>NAM-SHUB</t>
        </is>
      </c>
      <c r="B136" s="16" t="n">
        <v>79140714</v>
      </c>
      <c r="C136" s="16" t="n">
        <v>79140714</v>
      </c>
      <c r="D136" s="16" t="inlineStr">
        <is>
          <t>0.015020</t>
        </is>
      </c>
      <c r="E136" s="16" t="inlineStr">
        <is>
          <t>3.000 SOL</t>
        </is>
      </c>
      <c r="F136" s="16" t="inlineStr">
        <is>
          <t>27.555 SOL</t>
        </is>
      </c>
      <c r="G136" s="23" t="inlineStr">
        <is>
          <t>24.540 SOL</t>
        </is>
      </c>
      <c r="H136" s="23" t="inlineStr">
        <is>
          <t>813.94%</t>
        </is>
      </c>
      <c r="I136" s="16" t="inlineStr">
        <is>
          <t>N/A</t>
        </is>
      </c>
      <c r="J136" s="16" t="n">
        <v>1</v>
      </c>
      <c r="K136" s="16" t="n">
        <v>2</v>
      </c>
      <c r="L136" s="16" t="inlineStr">
        <is>
          <t>21.10.2024 06:12:20</t>
        </is>
      </c>
      <c r="M136" s="16" t="inlineStr">
        <is>
          <t>11 min</t>
        </is>
      </c>
      <c r="N136" s="16" t="inlineStr">
        <is>
          <t xml:space="preserve">          7K            26K             4K</t>
        </is>
      </c>
      <c r="O136" s="16" t="inlineStr">
        <is>
          <t>v7SyKw3NST3V1v3vkQiqkmCFMTFGqZWjExnhdgVnump</t>
        </is>
      </c>
      <c r="P136" s="16">
        <f>HYPERLINK("https://dexscreener.com/solana/v7SyKw3NST3V1v3vkQiqkmCFMTFGqZWjExnhdgVnump", "View")</f>
        <v/>
      </c>
    </row>
    <row r="137">
      <c r="A137" s="19" t="inlineStr">
        <is>
          <t>SHMA</t>
        </is>
      </c>
      <c r="B137" s="20" t="n">
        <v>48197771</v>
      </c>
      <c r="C137" s="20" t="n">
        <v>48197771</v>
      </c>
      <c r="D137" s="20" t="inlineStr">
        <is>
          <t>0.000020</t>
        </is>
      </c>
      <c r="E137" s="20" t="inlineStr">
        <is>
          <t>3.000 SOL</t>
        </is>
      </c>
      <c r="F137" s="20" t="inlineStr">
        <is>
          <t>9.887 SOL</t>
        </is>
      </c>
      <c r="G137" s="23" t="inlineStr">
        <is>
          <t>6.887 SOL</t>
        </is>
      </c>
      <c r="H137" s="23" t="inlineStr">
        <is>
          <t>229.57%</t>
        </is>
      </c>
      <c r="I137" s="20" t="inlineStr">
        <is>
          <t>N/A</t>
        </is>
      </c>
      <c r="J137" s="20" t="n">
        <v>1</v>
      </c>
      <c r="K137" s="20" t="n">
        <v>1</v>
      </c>
      <c r="L137" s="20" t="inlineStr">
        <is>
          <t>21.10.2024 00:59:46</t>
        </is>
      </c>
      <c r="M137" s="20" t="inlineStr">
        <is>
          <t>4 hours</t>
        </is>
      </c>
      <c r="N137" s="20" t="inlineStr">
        <is>
          <t xml:space="preserve">         11K            11K             6K</t>
        </is>
      </c>
      <c r="O137" s="20" t="inlineStr">
        <is>
          <t>CtFY7fGuX9fio6ZKP7FNP4vCdMcZTVBSUrycuatRpump</t>
        </is>
      </c>
      <c r="P137" s="20">
        <f>HYPERLINK("https://dexscreener.com/solana/CtFY7fGuX9fio6ZKP7FNP4vCdMcZTVBSUrycuatRpump", "View")</f>
        <v/>
      </c>
    </row>
    <row r="138">
      <c r="A138" s="15" t="inlineStr">
        <is>
          <t>اصل</t>
        </is>
      </c>
      <c r="B138" s="16" t="n">
        <v>87775376</v>
      </c>
      <c r="C138" s="16" t="n">
        <v>87775376</v>
      </c>
      <c r="D138" s="16" t="inlineStr">
        <is>
          <t>0.007520</t>
        </is>
      </c>
      <c r="E138" s="16" t="inlineStr">
        <is>
          <t>3.520 SOL</t>
        </is>
      </c>
      <c r="F138" s="16" t="inlineStr">
        <is>
          <t>6.188 SOL</t>
        </is>
      </c>
      <c r="G138" s="23" t="inlineStr">
        <is>
          <t>2.661 SOL</t>
        </is>
      </c>
      <c r="H138" s="23" t="inlineStr">
        <is>
          <t>75.43%</t>
        </is>
      </c>
      <c r="I138" s="16" t="inlineStr">
        <is>
          <t>N/A</t>
        </is>
      </c>
      <c r="J138" s="16" t="n">
        <v>1</v>
      </c>
      <c r="K138" s="16" t="n">
        <v>1</v>
      </c>
      <c r="L138" s="16" t="inlineStr">
        <is>
          <t>20.10.2024 21:08:03</t>
        </is>
      </c>
      <c r="M138" s="18" t="inlineStr">
        <is>
          <t>20 sec</t>
        </is>
      </c>
      <c r="N138" s="16" t="inlineStr">
        <is>
          <t xml:space="preserve">          7K            12K             5K</t>
        </is>
      </c>
      <c r="O138" s="16" t="inlineStr">
        <is>
          <t>D9vvw17RnHjXAqMFD7iaHEyF1aGEqHNhvzEP1moapump</t>
        </is>
      </c>
      <c r="P138" s="16">
        <f>HYPERLINK("https://photon-sol.tinyastro.io/en/lp/D9vvw17RnHjXAqMFD7iaHEyF1aGEqHNhvzEP1moapump?handle=676050794bc1b1657a56b", "View")</f>
        <v/>
      </c>
    </row>
    <row r="139">
      <c r="A139" s="19" t="inlineStr">
        <is>
          <t>ARAGO</t>
        </is>
      </c>
      <c r="B139" s="20" t="n">
        <v>53244161</v>
      </c>
      <c r="C139" s="20" t="n">
        <v>53244161</v>
      </c>
      <c r="D139" s="20" t="inlineStr">
        <is>
          <t>0.000050</t>
        </is>
      </c>
      <c r="E139" s="20" t="inlineStr">
        <is>
          <t>6.344 SOL</t>
        </is>
      </c>
      <c r="F139" s="20" t="inlineStr">
        <is>
          <t>40.454 SOL</t>
        </is>
      </c>
      <c r="G139" s="23" t="inlineStr">
        <is>
          <t>34.110 SOL</t>
        </is>
      </c>
      <c r="H139" s="23" t="inlineStr">
        <is>
          <t>537.66%</t>
        </is>
      </c>
      <c r="I139" s="20" t="inlineStr">
        <is>
          <t>N/A</t>
        </is>
      </c>
      <c r="J139" s="20" t="n">
        <v>2</v>
      </c>
      <c r="K139" s="20" t="n">
        <v>3</v>
      </c>
      <c r="L139" s="20" t="inlineStr">
        <is>
          <t>20.10.2024 19:52:23</t>
        </is>
      </c>
      <c r="M139" s="20" t="inlineStr">
        <is>
          <t>37 min</t>
        </is>
      </c>
      <c r="N139" s="20" t="inlineStr">
        <is>
          <t xml:space="preserve">         12K            93K             6K</t>
        </is>
      </c>
      <c r="O139" s="20" t="inlineStr">
        <is>
          <t>4itSP9EqyDpDyLTWVqtzHA11EH6a6eXVVpMPusmwpump</t>
        </is>
      </c>
      <c r="P139" s="20">
        <f>HYPERLINK("https://photon-sol.tinyastro.io/en/lp/4itSP9EqyDpDyLTWVqtzHA11EH6a6eXVVpMPusmwpump?handle=676050794bc1b1657a56b", "View")</f>
        <v/>
      </c>
    </row>
    <row r="140">
      <c r="A140" s="15" t="inlineStr">
        <is>
          <t>McD</t>
        </is>
      </c>
      <c r="B140" s="16" t="n">
        <v>31175049</v>
      </c>
      <c r="C140" s="16" t="n">
        <v>31175049</v>
      </c>
      <c r="D140" s="16" t="inlineStr">
        <is>
          <t>0.007520</t>
        </is>
      </c>
      <c r="E140" s="16" t="inlineStr">
        <is>
          <t>3.114 SOL</t>
        </is>
      </c>
      <c r="F140" s="16" t="inlineStr">
        <is>
          <t>5.021 SOL</t>
        </is>
      </c>
      <c r="G140" s="23" t="inlineStr">
        <is>
          <t>1.898 SOL</t>
        </is>
      </c>
      <c r="H140" s="23" t="inlineStr">
        <is>
          <t>60.81%</t>
        </is>
      </c>
      <c r="I140" s="16" t="inlineStr">
        <is>
          <t>N/A</t>
        </is>
      </c>
      <c r="J140" s="16" t="n">
        <v>1</v>
      </c>
      <c r="K140" s="16" t="n">
        <v>1</v>
      </c>
      <c r="L140" s="16" t="inlineStr">
        <is>
          <t>20.10.2024 19:37:42</t>
        </is>
      </c>
      <c r="M140" s="16" t="inlineStr">
        <is>
          <t>18 min</t>
        </is>
      </c>
      <c r="N140" s="16" t="inlineStr">
        <is>
          <t xml:space="preserve">        N/A           N/A           N/A</t>
        </is>
      </c>
      <c r="O140" s="16" t="inlineStr">
        <is>
          <t>5CrTpmEHYor3qkqTqkcZPrQvudDDsRMY286uiqBosTdG</t>
        </is>
      </c>
      <c r="P140" s="16">
        <f>HYPERLINK("https://photon-sol.tinyastro.io/en/lp/5CrTpmEHYor3qkqTqkcZPrQvudDDsRMY286uiqBosTdG?handle=676050794bc1b1657a56b", "View")</f>
        <v/>
      </c>
    </row>
    <row r="141">
      <c r="A141" s="19" t="inlineStr">
        <is>
          <t>lemur</t>
        </is>
      </c>
      <c r="B141" s="20" t="n">
        <v>44761929</v>
      </c>
      <c r="C141" s="20" t="n">
        <v>44761929</v>
      </c>
      <c r="D141" s="20" t="inlineStr">
        <is>
          <t>0.007650</t>
        </is>
      </c>
      <c r="E141" s="20" t="inlineStr">
        <is>
          <t>85.000 SOL</t>
        </is>
      </c>
      <c r="F141" s="20" t="inlineStr">
        <is>
          <t>150.619 SOL</t>
        </is>
      </c>
      <c r="G141" s="23" t="inlineStr">
        <is>
          <t>65.611 SOL</t>
        </is>
      </c>
      <c r="H141" s="23" t="inlineStr">
        <is>
          <t>77.18%</t>
        </is>
      </c>
      <c r="I141" s="20" t="inlineStr">
        <is>
          <t>N/A</t>
        </is>
      </c>
      <c r="J141" s="20" t="n">
        <v>9</v>
      </c>
      <c r="K141" s="20" t="n">
        <v>6</v>
      </c>
      <c r="L141" s="20" t="inlineStr">
        <is>
          <t>20.10.2024 06:24:24</t>
        </is>
      </c>
      <c r="M141" s="20" t="inlineStr">
        <is>
          <t>2 hours</t>
        </is>
      </c>
      <c r="N141" s="20" t="inlineStr">
        <is>
          <t xml:space="preserve">        140K           393K            10K</t>
        </is>
      </c>
      <c r="O141" s="20" t="inlineStr">
        <is>
          <t>9vqsBhx1jPoKokZfCY8JMU7ob5ZFm7XtkwY3T2hapump</t>
        </is>
      </c>
      <c r="P141" s="20">
        <f>HYPERLINK("https://dexscreener.com/solana/9vqsBhx1jPoKokZfCY8JMU7ob5ZFm7XtkwY3T2hapump", "View")</f>
        <v/>
      </c>
    </row>
    <row r="142">
      <c r="A142" s="15" t="inlineStr">
        <is>
          <t>KOTH</t>
        </is>
      </c>
      <c r="B142" s="16" t="n">
        <v>5924518</v>
      </c>
      <c r="C142" s="16" t="n">
        <v>5924518</v>
      </c>
      <c r="D142" s="16" t="inlineStr">
        <is>
          <t>0.000020</t>
        </is>
      </c>
      <c r="E142" s="16" t="inlineStr">
        <is>
          <t>10.000 SOL</t>
        </is>
      </c>
      <c r="F142" s="16" t="inlineStr">
        <is>
          <t>8.709 SOL</t>
        </is>
      </c>
      <c r="G142" s="21" t="inlineStr">
        <is>
          <t>-1.291 SOL</t>
        </is>
      </c>
      <c r="H142" s="21" t="inlineStr">
        <is>
          <t>-12.91%</t>
        </is>
      </c>
      <c r="I142" s="16" t="inlineStr">
        <is>
          <t>N/A</t>
        </is>
      </c>
      <c r="J142" s="16" t="n">
        <v>1</v>
      </c>
      <c r="K142" s="16" t="n">
        <v>1</v>
      </c>
      <c r="L142" s="16" t="inlineStr">
        <is>
          <t>20.10.2024 06:16:28</t>
        </is>
      </c>
      <c r="M142" s="16" t="inlineStr">
        <is>
          <t>3 min</t>
        </is>
      </c>
      <c r="N142" s="16" t="inlineStr">
        <is>
          <t xml:space="preserve">        297K           258K             6K</t>
        </is>
      </c>
      <c r="O142" s="16" t="inlineStr">
        <is>
          <t>7gFGAkQDNpMnptAwLZdNJwEh6DRhH8Fdm9H3hMcvpump</t>
        </is>
      </c>
      <c r="P142" s="16">
        <f>HYPERLINK("https://dexscreener.com/solana/7gFGAkQDNpMnptAwLZdNJwEh6DRhH8Fdm9H3hMcvpump", "View")</f>
        <v/>
      </c>
    </row>
    <row r="143">
      <c r="A143" s="19" t="inlineStr">
        <is>
          <t>sand</t>
        </is>
      </c>
      <c r="B143" s="20" t="n">
        <v>28192944</v>
      </c>
      <c r="C143" s="20" t="n">
        <v>28192944</v>
      </c>
      <c r="D143" s="20" t="inlineStr">
        <is>
          <t>0.000030</t>
        </is>
      </c>
      <c r="E143" s="20" t="inlineStr">
        <is>
          <t>3.002 SOL</t>
        </is>
      </c>
      <c r="F143" s="20" t="inlineStr">
        <is>
          <t>4.318 SOL</t>
        </is>
      </c>
      <c r="G143" s="22" t="inlineStr">
        <is>
          <t>1.316 SOL</t>
        </is>
      </c>
      <c r="H143" s="22" t="inlineStr">
        <is>
          <t>43.85%</t>
        </is>
      </c>
      <c r="I143" s="20" t="inlineStr">
        <is>
          <t>N/A</t>
        </is>
      </c>
      <c r="J143" s="20" t="n">
        <v>2</v>
      </c>
      <c r="K143" s="20" t="n">
        <v>1</v>
      </c>
      <c r="L143" s="20" t="inlineStr">
        <is>
          <t>20.10.2024 06:16:05</t>
        </is>
      </c>
      <c r="M143" s="20" t="inlineStr">
        <is>
          <t>4 min</t>
        </is>
      </c>
      <c r="N143" s="20" t="inlineStr">
        <is>
          <t xml:space="preserve">          9K            26K             5K</t>
        </is>
      </c>
      <c r="O143" s="20" t="inlineStr">
        <is>
          <t>7wKgjUygya6fy5iHGtU74zNRY76vgouMjHiDyKSHpump</t>
        </is>
      </c>
      <c r="P143" s="20">
        <f>HYPERLINK("https://photon-sol.tinyastro.io/en/lp/7wKgjUygya6fy5iHGtU74zNRY76vgouMjHiDyKSHpump?handle=676050794bc1b1657a56b", "View")</f>
        <v/>
      </c>
    </row>
    <row r="144">
      <c r="A144" s="15" t="inlineStr">
        <is>
          <t>MEME</t>
        </is>
      </c>
      <c r="B144" s="16" t="n">
        <v>15898825</v>
      </c>
      <c r="C144" s="16" t="n">
        <v>15898825</v>
      </c>
      <c r="D144" s="16" t="inlineStr">
        <is>
          <t>0.000050</t>
        </is>
      </c>
      <c r="E144" s="16" t="inlineStr">
        <is>
          <t>13.000 SOL</t>
        </is>
      </c>
      <c r="F144" s="16" t="inlineStr">
        <is>
          <t>11.822 SOL</t>
        </is>
      </c>
      <c r="G144" s="21" t="inlineStr">
        <is>
          <t>-1.178 SOL</t>
        </is>
      </c>
      <c r="H144" s="21" t="inlineStr">
        <is>
          <t>-9.06%</t>
        </is>
      </c>
      <c r="I144" s="16" t="inlineStr">
        <is>
          <t>N/A</t>
        </is>
      </c>
      <c r="J144" s="16" t="n">
        <v>3</v>
      </c>
      <c r="K144" s="16" t="n">
        <v>2</v>
      </c>
      <c r="L144" s="16" t="inlineStr">
        <is>
          <t>20.10.2024 06:13:39</t>
        </is>
      </c>
      <c r="M144" s="16" t="inlineStr">
        <is>
          <t>9 hours</t>
        </is>
      </c>
      <c r="N144" s="16" t="inlineStr">
        <is>
          <t xml:space="preserve">        128K           135K            66K</t>
        </is>
      </c>
      <c r="O144" s="16" t="inlineStr">
        <is>
          <t>EWy1HPEUq4Lgm6H4pQ8augEuJ7WRwJgENZMTAUzrpump</t>
        </is>
      </c>
      <c r="P144" s="16">
        <f>HYPERLINK("https://dexscreener.com/solana/EWy1HPEUq4Lgm6H4pQ8augEuJ7WRwJgENZMTAUzrpump", "View")</f>
        <v/>
      </c>
    </row>
    <row r="145">
      <c r="A145" s="19" t="inlineStr">
        <is>
          <t>JANUS</t>
        </is>
      </c>
      <c r="B145" s="20" t="n">
        <v>32671258</v>
      </c>
      <c r="C145" s="20" t="n">
        <v>32671258</v>
      </c>
      <c r="D145" s="20" t="inlineStr">
        <is>
          <t>0.007580</t>
        </is>
      </c>
      <c r="E145" s="20" t="inlineStr">
        <is>
          <t>31.000 SOL</t>
        </is>
      </c>
      <c r="F145" s="20" t="inlineStr">
        <is>
          <t>73.814 SOL</t>
        </is>
      </c>
      <c r="G145" s="23" t="inlineStr">
        <is>
          <t>42.807 SOL</t>
        </is>
      </c>
      <c r="H145" s="23" t="inlineStr">
        <is>
          <t>138.05%</t>
        </is>
      </c>
      <c r="I145" s="20" t="inlineStr">
        <is>
          <t>N/A</t>
        </is>
      </c>
      <c r="J145" s="20" t="n">
        <v>3</v>
      </c>
      <c r="K145" s="20" t="n">
        <v>5</v>
      </c>
      <c r="L145" s="20" t="inlineStr">
        <is>
          <t>20.10.2024 04:58:05</t>
        </is>
      </c>
      <c r="M145" s="20" t="inlineStr">
        <is>
          <t>1 days</t>
        </is>
      </c>
      <c r="N145" s="20" t="inlineStr">
        <is>
          <t xml:space="preserve">        527K           307K            41K</t>
        </is>
      </c>
      <c r="O145" s="20" t="inlineStr">
        <is>
          <t>75dh1aVyE88DiDDqN396Lkbcf4Kxj2KNGJRCTkcUpump</t>
        </is>
      </c>
      <c r="P145" s="20">
        <f>HYPERLINK("https://dexscreener.com/solana/75dh1aVyE88DiDDqN396Lkbcf4Kxj2KNGJRCTkcUpump", "View")</f>
        <v/>
      </c>
    </row>
    <row r="146">
      <c r="A146" s="15" t="inlineStr">
        <is>
          <t>FRIES</t>
        </is>
      </c>
      <c r="B146" s="16" t="n">
        <v>153285714</v>
      </c>
      <c r="C146" s="16" t="n">
        <v>153285714</v>
      </c>
      <c r="D146" s="16" t="inlineStr">
        <is>
          <t>0.000020</t>
        </is>
      </c>
      <c r="E146" s="16" t="inlineStr">
        <is>
          <t>5.097 SOL</t>
        </is>
      </c>
      <c r="F146" s="16" t="inlineStr">
        <is>
          <t>7.462 SOL</t>
        </is>
      </c>
      <c r="G146" s="22" t="inlineStr">
        <is>
          <t>2.365 SOL</t>
        </is>
      </c>
      <c r="H146" s="22" t="inlineStr">
        <is>
          <t>46.40%</t>
        </is>
      </c>
      <c r="I146" s="16" t="inlineStr">
        <is>
          <t>N/A</t>
        </is>
      </c>
      <c r="J146" s="16" t="n">
        <v>1</v>
      </c>
      <c r="K146" s="16" t="n">
        <v>1</v>
      </c>
      <c r="L146" s="16" t="inlineStr">
        <is>
          <t>20.10.2024 04:22:35</t>
        </is>
      </c>
      <c r="M146" s="18" t="inlineStr">
        <is>
          <t>38 sec</t>
        </is>
      </c>
      <c r="N146" s="16" t="inlineStr">
        <is>
          <t xml:space="preserve">        N/A           N/A           N/A</t>
        </is>
      </c>
      <c r="O146" s="16" t="inlineStr">
        <is>
          <t>9naTwyRz5hHiDT77hHtxjJAMke6J4XergdES4KLQpump</t>
        </is>
      </c>
      <c r="P146" s="16">
        <f>HYPERLINK("https://photon-sol.tinyastro.io/en/lp/9naTwyRz5hHiDT77hHtxjJAMke6J4XergdES4KLQpump?handle=676050794bc1b1657a56b", "View")</f>
        <v/>
      </c>
    </row>
    <row r="147">
      <c r="A147" s="19" t="inlineStr">
        <is>
          <t>McRIB</t>
        </is>
      </c>
      <c r="B147" s="20" t="n">
        <v>2244641</v>
      </c>
      <c r="C147" s="20" t="n">
        <v>2244641</v>
      </c>
      <c r="D147" s="20" t="inlineStr">
        <is>
          <t>0.000020</t>
        </is>
      </c>
      <c r="E147" s="20" t="inlineStr">
        <is>
          <t>3.000 SOL</t>
        </is>
      </c>
      <c r="F147" s="20" t="inlineStr">
        <is>
          <t>4.171 SOL</t>
        </is>
      </c>
      <c r="G147" s="22" t="inlineStr">
        <is>
          <t>1.171 SOL</t>
        </is>
      </c>
      <c r="H147" s="22" t="inlineStr">
        <is>
          <t>39.03%</t>
        </is>
      </c>
      <c r="I147" s="20" t="inlineStr">
        <is>
          <t>N/A</t>
        </is>
      </c>
      <c r="J147" s="20" t="n">
        <v>1</v>
      </c>
      <c r="K147" s="20" t="n">
        <v>1</v>
      </c>
      <c r="L147" s="20" t="inlineStr">
        <is>
          <t>20.10.2024 04:03:26</t>
        </is>
      </c>
      <c r="M147" s="20" t="inlineStr">
        <is>
          <t>24 min</t>
        </is>
      </c>
      <c r="N147" s="20" t="inlineStr">
        <is>
          <t xml:space="preserve">         23K            32K             8K</t>
        </is>
      </c>
      <c r="O147" s="20" t="inlineStr">
        <is>
          <t>D6hSj745KdWTShL6PrEjBfa94wx2oXnSZpvo9wozWkbw</t>
        </is>
      </c>
      <c r="P147" s="20">
        <f>HYPERLINK("https://dexscreener.com/solana/D6hSj745KdWTShL6PrEjBfa94wx2oXnSZpvo9wozWkbw", "View")</f>
        <v/>
      </c>
    </row>
    <row r="148">
      <c r="A148" s="15" t="inlineStr">
        <is>
          <t>HOPE</t>
        </is>
      </c>
      <c r="B148" s="16" t="n">
        <v>10455206</v>
      </c>
      <c r="C148" s="16" t="n">
        <v>10455206</v>
      </c>
      <c r="D148" s="16" t="inlineStr">
        <is>
          <t>0.000030</t>
        </is>
      </c>
      <c r="E148" s="16" t="inlineStr">
        <is>
          <t>8.000 SOL</t>
        </is>
      </c>
      <c r="F148" s="16" t="inlineStr">
        <is>
          <t>5.441 SOL</t>
        </is>
      </c>
      <c r="G148" s="21" t="inlineStr">
        <is>
          <t>-2.559 SOL</t>
        </is>
      </c>
      <c r="H148" s="21" t="inlineStr">
        <is>
          <t>-31.98%</t>
        </is>
      </c>
      <c r="I148" s="16" t="inlineStr">
        <is>
          <t>N/A</t>
        </is>
      </c>
      <c r="J148" s="16" t="n">
        <v>2</v>
      </c>
      <c r="K148" s="16" t="n">
        <v>1</v>
      </c>
      <c r="L148" s="16" t="inlineStr">
        <is>
          <t>20.10.2024 03:41:36</t>
        </is>
      </c>
      <c r="M148" s="16" t="inlineStr">
        <is>
          <t>6 hours</t>
        </is>
      </c>
      <c r="N148" s="16" t="inlineStr">
        <is>
          <t xml:space="preserve">        N/A           N/A           N/A</t>
        </is>
      </c>
      <c r="O148" s="16" t="inlineStr">
        <is>
          <t>BBhmss7WDYaBud8PWyVAL2hEpgfLmxRczsRPNaNHpump</t>
        </is>
      </c>
      <c r="P148" s="16">
        <f>HYPERLINK("https://dexscreener.com/solana/BBhmss7WDYaBud8PWyVAL2hEpgfLmxRczsRPNaNHpump", "View")</f>
        <v/>
      </c>
    </row>
    <row r="149">
      <c r="A149" s="19" t="inlineStr">
        <is>
          <t>GRIMACE</t>
        </is>
      </c>
      <c r="B149" s="20" t="n">
        <v>647698267910768</v>
      </c>
      <c r="C149" s="20" t="n">
        <v>0</v>
      </c>
      <c r="D149" s="20" t="inlineStr">
        <is>
          <t>0.000010</t>
        </is>
      </c>
      <c r="E149" s="20" t="inlineStr">
        <is>
          <t>1.000 SOL</t>
        </is>
      </c>
      <c r="F149" s="20" t="inlineStr">
        <is>
          <t>0.000 SOL</t>
        </is>
      </c>
      <c r="G149" s="17" t="inlineStr">
        <is>
          <t>-1.000 SOL</t>
        </is>
      </c>
      <c r="H149" s="17" t="inlineStr">
        <is>
          <t>0.00%</t>
        </is>
      </c>
      <c r="I149" s="20" t="inlineStr">
        <is>
          <t>647,698,267,910,768</t>
        </is>
      </c>
      <c r="J149" s="20" t="n">
        <v>1</v>
      </c>
      <c r="K149" s="20" t="n">
        <v>0</v>
      </c>
      <c r="L149" s="20" t="inlineStr">
        <is>
          <t>20.10.2024 02:55:02</t>
        </is>
      </c>
      <c r="M149" s="18" t="inlineStr">
        <is>
          <t>0 sec</t>
        </is>
      </c>
      <c r="N149" s="20" t="inlineStr">
        <is>
          <t xml:space="preserve">        N/A           N/A           N/A</t>
        </is>
      </c>
      <c r="O149" s="20" t="inlineStr">
        <is>
          <t>H3xDLbT9jjvmFZ8jBV1cfjw111PrXG7ecWBUrbWcq6Jd</t>
        </is>
      </c>
      <c r="P149" s="20">
        <f>HYPERLINK("https://dexscreener.com/solana/H3xDLbT9jjvmFZ8jBV1cfjw111PrXG7ecWBUrbWcq6Jd", "View")</f>
        <v/>
      </c>
    </row>
    <row r="150">
      <c r="A150" s="15" t="inlineStr">
        <is>
          <t>sAI</t>
        </is>
      </c>
      <c r="B150" s="16" t="n">
        <v>7286637</v>
      </c>
      <c r="C150" s="16" t="n">
        <v>7286637</v>
      </c>
      <c r="D150" s="16" t="inlineStr">
        <is>
          <t>0.015020</t>
        </is>
      </c>
      <c r="E150" s="16" t="inlineStr">
        <is>
          <t>8.000 SOL</t>
        </is>
      </c>
      <c r="F150" s="16" t="inlineStr">
        <is>
          <t>5.556 SOL</t>
        </is>
      </c>
      <c r="G150" s="21" t="inlineStr">
        <is>
          <t>-2.459 SOL</t>
        </is>
      </c>
      <c r="H150" s="21" t="inlineStr">
        <is>
          <t>-30.68%</t>
        </is>
      </c>
      <c r="I150" s="16" t="inlineStr">
        <is>
          <t>N/A</t>
        </is>
      </c>
      <c r="J150" s="16" t="n">
        <v>2</v>
      </c>
      <c r="K150" s="16" t="n">
        <v>1</v>
      </c>
      <c r="L150" s="16" t="inlineStr">
        <is>
          <t>20.10.2024 00:14:26</t>
        </is>
      </c>
      <c r="M150" s="16" t="inlineStr">
        <is>
          <t>8 min</t>
        </is>
      </c>
      <c r="N150" s="16" t="inlineStr">
        <is>
          <t xml:space="preserve">        142K           133K             7K</t>
        </is>
      </c>
      <c r="O150" s="16" t="inlineStr">
        <is>
          <t>25r9nHfYmA5YcCDpHap9vnTYAvzJWbZgkgECmVKDpump</t>
        </is>
      </c>
      <c r="P150" s="16">
        <f>HYPERLINK("https://dexscreener.com/solana/25r9nHfYmA5YcCDpHap9vnTYAvzJWbZgkgECmVKDpump", "View")</f>
        <v/>
      </c>
    </row>
    <row r="151">
      <c r="A151" s="19" t="inlineStr">
        <is>
          <t>multiplex</t>
        </is>
      </c>
      <c r="B151" s="20" t="n">
        <v>35769369</v>
      </c>
      <c r="C151" s="20" t="n">
        <v>35769369</v>
      </c>
      <c r="D151" s="20" t="inlineStr">
        <is>
          <t>0.000020</t>
        </is>
      </c>
      <c r="E151" s="20" t="inlineStr">
        <is>
          <t>2.621 SOL</t>
        </is>
      </c>
      <c r="F151" s="20" t="inlineStr">
        <is>
          <t>3.724 SOL</t>
        </is>
      </c>
      <c r="G151" s="22" t="inlineStr">
        <is>
          <t>1.102 SOL</t>
        </is>
      </c>
      <c r="H151" s="22" t="inlineStr">
        <is>
          <t>42.05%</t>
        </is>
      </c>
      <c r="I151" s="20" t="inlineStr">
        <is>
          <t>N/A</t>
        </is>
      </c>
      <c r="J151" s="20" t="n">
        <v>1</v>
      </c>
      <c r="K151" s="20" t="n">
        <v>1</v>
      </c>
      <c r="L151" s="20" t="inlineStr">
        <is>
          <t>19.10.2024 23:48:38</t>
        </is>
      </c>
      <c r="M151" s="18" t="inlineStr">
        <is>
          <t>31 sec</t>
        </is>
      </c>
      <c r="N151" s="20" t="inlineStr">
        <is>
          <t xml:space="preserve">         12K            18K             6K</t>
        </is>
      </c>
      <c r="O151" s="20" t="inlineStr">
        <is>
          <t>9Kv17GBLARCg2Abp33tzmTqPnR7PoXtsSsvArqi5pump</t>
        </is>
      </c>
      <c r="P151" s="20">
        <f>HYPERLINK("https://photon-sol.tinyastro.io/en/lp/9Kv17GBLARCg2Abp33tzmTqPnR7PoXtsSsvArqi5pump?handle=676050794bc1b1657a56b", "View")</f>
        <v/>
      </c>
    </row>
    <row r="152">
      <c r="A152" s="15" t="inlineStr">
        <is>
          <t>MULTIPLEX</t>
        </is>
      </c>
      <c r="B152" s="16" t="n">
        <v>19619279</v>
      </c>
      <c r="C152" s="16" t="n">
        <v>19619279</v>
      </c>
      <c r="D152" s="16" t="inlineStr">
        <is>
          <t>0.007520</t>
        </is>
      </c>
      <c r="E152" s="16" t="inlineStr">
        <is>
          <t>3.519 SOL</t>
        </is>
      </c>
      <c r="F152" s="16" t="inlineStr">
        <is>
          <t>1.771 SOL</t>
        </is>
      </c>
      <c r="G152" s="21" t="inlineStr">
        <is>
          <t>-1.756 SOL</t>
        </is>
      </c>
      <c r="H152" s="21" t="inlineStr">
        <is>
          <t>-49.79%</t>
        </is>
      </c>
      <c r="I152" s="16" t="inlineStr">
        <is>
          <t>N/A</t>
        </is>
      </c>
      <c r="J152" s="16" t="n">
        <v>1</v>
      </c>
      <c r="K152" s="16" t="n">
        <v>1</v>
      </c>
      <c r="L152" s="16" t="inlineStr">
        <is>
          <t>19.10.2024 23:48:01</t>
        </is>
      </c>
      <c r="M152" s="18" t="inlineStr">
        <is>
          <t>47 sec</t>
        </is>
      </c>
      <c r="N152" s="16" t="inlineStr">
        <is>
          <t xml:space="preserve">         32K            16K             5K</t>
        </is>
      </c>
      <c r="O152" s="16" t="inlineStr">
        <is>
          <t>E4fN8YhpXFePeUZwzqNr5rsbd4CBHLF56Wv3F7piRdEs</t>
        </is>
      </c>
      <c r="P152" s="16">
        <f>HYPERLINK("https://photon-sol.tinyastro.io/en/lp/E4fN8YhpXFePeUZwzqNr5rsbd4CBHLF56Wv3F7piRdEs?handle=676050794bc1b1657a56b", "View")</f>
        <v/>
      </c>
    </row>
    <row r="153">
      <c r="A153" s="19" t="inlineStr">
        <is>
          <t>SANOPUS</t>
        </is>
      </c>
      <c r="B153" s="20" t="n">
        <v>17768463</v>
      </c>
      <c r="C153" s="20" t="n">
        <v>17768463</v>
      </c>
      <c r="D153" s="20" t="inlineStr">
        <is>
          <t>0.000020</t>
        </is>
      </c>
      <c r="E153" s="20" t="inlineStr">
        <is>
          <t>5.000 SOL</t>
        </is>
      </c>
      <c r="F153" s="20" t="inlineStr">
        <is>
          <t>6.780 SOL</t>
        </is>
      </c>
      <c r="G153" s="22" t="inlineStr">
        <is>
          <t>1.780 SOL</t>
        </is>
      </c>
      <c r="H153" s="22" t="inlineStr">
        <is>
          <t>35.60%</t>
        </is>
      </c>
      <c r="I153" s="20" t="inlineStr">
        <is>
          <t>N/A</t>
        </is>
      </c>
      <c r="J153" s="20" t="n">
        <v>1</v>
      </c>
      <c r="K153" s="20" t="n">
        <v>1</v>
      </c>
      <c r="L153" s="20" t="inlineStr">
        <is>
          <t>19.10.2024 22:31:20</t>
        </is>
      </c>
      <c r="M153" s="20" t="inlineStr">
        <is>
          <t>1 hours</t>
        </is>
      </c>
      <c r="N153" s="20" t="inlineStr">
        <is>
          <t xml:space="preserve">         49K            49K            13K</t>
        </is>
      </c>
      <c r="O153" s="20" t="inlineStr">
        <is>
          <t>HZhiTXGPDv8iwrdJyRi3U51dMV4NXMpaFhJBsh7Npump</t>
        </is>
      </c>
      <c r="P153" s="20">
        <f>HYPERLINK("https://dexscreener.com/solana/HZhiTXGPDv8iwrdJyRi3U51dMV4NXMpaFhJBsh7Npump", "View")</f>
        <v/>
      </c>
    </row>
    <row r="154">
      <c r="A154" s="15" t="inlineStr">
        <is>
          <t>ChatGPT</t>
        </is>
      </c>
      <c r="B154" s="16" t="n">
        <v>16146678</v>
      </c>
      <c r="C154" s="16" t="n">
        <v>16146678</v>
      </c>
      <c r="D154" s="16" t="inlineStr">
        <is>
          <t>0.007520</t>
        </is>
      </c>
      <c r="E154" s="16" t="inlineStr">
        <is>
          <t>5.000 SOL</t>
        </is>
      </c>
      <c r="F154" s="16" t="inlineStr">
        <is>
          <t>7.703 SOL</t>
        </is>
      </c>
      <c r="G154" s="23" t="inlineStr">
        <is>
          <t>2.696 SOL</t>
        </is>
      </c>
      <c r="H154" s="23" t="inlineStr">
        <is>
          <t>53.84%</t>
        </is>
      </c>
      <c r="I154" s="16" t="inlineStr">
        <is>
          <t>N/A</t>
        </is>
      </c>
      <c r="J154" s="16" t="n">
        <v>1</v>
      </c>
      <c r="K154" s="16" t="n">
        <v>1</v>
      </c>
      <c r="L154" s="16" t="inlineStr">
        <is>
          <t>19.10.2024 18:07:45</t>
        </is>
      </c>
      <c r="M154" s="16" t="inlineStr">
        <is>
          <t>1 min</t>
        </is>
      </c>
      <c r="N154" s="16" t="inlineStr">
        <is>
          <t xml:space="preserve">         46K            71K            27K</t>
        </is>
      </c>
      <c r="O154" s="16" t="inlineStr">
        <is>
          <t>AMGF4FZ4JCGAZugKyy7mgGC2jnwF6EbRNBjVu8g6MwqN</t>
        </is>
      </c>
      <c r="P154" s="16">
        <f>HYPERLINK("https://dexscreener.com/solana/AMGF4FZ4JCGAZugKyy7mgGC2jnwF6EbRNBjVu8g6MwqN", "View")</f>
        <v/>
      </c>
    </row>
    <row r="155">
      <c r="A155" s="19" t="inlineStr">
        <is>
          <t>NIGGACHAD</t>
        </is>
      </c>
      <c r="B155" s="20" t="n">
        <v>28945376</v>
      </c>
      <c r="C155" s="20" t="n">
        <v>28945376</v>
      </c>
      <c r="D155" s="20" t="inlineStr">
        <is>
          <t>0.007520</t>
        </is>
      </c>
      <c r="E155" s="20" t="inlineStr">
        <is>
          <t>3.000 SOL</t>
        </is>
      </c>
      <c r="F155" s="20" t="inlineStr">
        <is>
          <t>2.413 SOL</t>
        </is>
      </c>
      <c r="G155" s="21" t="inlineStr">
        <is>
          <t>-0.595 SOL</t>
        </is>
      </c>
      <c r="H155" s="21" t="inlineStr">
        <is>
          <t>-19.78%</t>
        </is>
      </c>
      <c r="I155" s="20" t="inlineStr">
        <is>
          <t>N/A</t>
        </is>
      </c>
      <c r="J155" s="20" t="n">
        <v>1</v>
      </c>
      <c r="K155" s="20" t="n">
        <v>1</v>
      </c>
      <c r="L155" s="20" t="inlineStr">
        <is>
          <t>19.10.2024 16:25:16</t>
        </is>
      </c>
      <c r="M155" s="20" t="inlineStr">
        <is>
          <t>2 hours</t>
        </is>
      </c>
      <c r="N155" s="20" t="inlineStr">
        <is>
          <t xml:space="preserve">         18K            18K             4K</t>
        </is>
      </c>
      <c r="O155" s="20" t="inlineStr">
        <is>
          <t>CLLaTDdHNa4jCFcXh61b5gje65ToAEUgZuGuXhwpoURt</t>
        </is>
      </c>
      <c r="P155" s="20">
        <f>HYPERLINK("https://dexscreener.com/solana/CLLaTDdHNa4jCFcXh61b5gje65ToAEUgZuGuXhwpoURt", "View")</f>
        <v/>
      </c>
    </row>
    <row r="156">
      <c r="A156" s="15" t="inlineStr">
        <is>
          <t>WEEB</t>
        </is>
      </c>
      <c r="B156" s="16" t="n">
        <v>23531417</v>
      </c>
      <c r="C156" s="16" t="n">
        <v>23531417</v>
      </c>
      <c r="D156" s="16" t="inlineStr">
        <is>
          <t>0.007520</t>
        </is>
      </c>
      <c r="E156" s="16" t="inlineStr">
        <is>
          <t>5.000 SOL</t>
        </is>
      </c>
      <c r="F156" s="16" t="inlineStr">
        <is>
          <t>5.325 SOL</t>
        </is>
      </c>
      <c r="G156" s="22" t="inlineStr">
        <is>
          <t>0.318 SOL</t>
        </is>
      </c>
      <c r="H156" s="22" t="inlineStr">
        <is>
          <t>6.34%</t>
        </is>
      </c>
      <c r="I156" s="16" t="inlineStr">
        <is>
          <t>N/A</t>
        </is>
      </c>
      <c r="J156" s="16" t="n">
        <v>1</v>
      </c>
      <c r="K156" s="16" t="n">
        <v>1</v>
      </c>
      <c r="L156" s="16" t="inlineStr">
        <is>
          <t>19.10.2024 16:24:59</t>
        </is>
      </c>
      <c r="M156" s="16" t="inlineStr">
        <is>
          <t>2 hours</t>
        </is>
      </c>
      <c r="N156" s="16" t="inlineStr">
        <is>
          <t xml:space="preserve">         36K            36K            11K</t>
        </is>
      </c>
      <c r="O156" s="16" t="inlineStr">
        <is>
          <t>GhmJUqh3gu8ELKLjEJPCGLLaY6bcPiVZKnvfcjnhpump</t>
        </is>
      </c>
      <c r="P156" s="16">
        <f>HYPERLINK("https://dexscreener.com/solana/GhmJUqh3gu8ELKLjEJPCGLLaY6bcPiVZKnvfcjnhpump", "View")</f>
        <v/>
      </c>
    </row>
    <row r="157">
      <c r="A157" s="19" t="inlineStr">
        <is>
          <t>pixi</t>
        </is>
      </c>
      <c r="B157" s="20" t="n">
        <v>5708531</v>
      </c>
      <c r="C157" s="20" t="n">
        <v>5708531</v>
      </c>
      <c r="D157" s="20" t="inlineStr">
        <is>
          <t>0.007520</t>
        </is>
      </c>
      <c r="E157" s="20" t="inlineStr">
        <is>
          <t>40.000 SOL</t>
        </is>
      </c>
      <c r="F157" s="20" t="inlineStr">
        <is>
          <t>29.712 SOL</t>
        </is>
      </c>
      <c r="G157" s="21" t="inlineStr">
        <is>
          <t>-10.295 SOL</t>
        </is>
      </c>
      <c r="H157" s="21" t="inlineStr">
        <is>
          <t>-25.73%</t>
        </is>
      </c>
      <c r="I157" s="20" t="inlineStr">
        <is>
          <t>N/A</t>
        </is>
      </c>
      <c r="J157" s="20" t="n">
        <v>1</v>
      </c>
      <c r="K157" s="20" t="n">
        <v>1</v>
      </c>
      <c r="L157" s="20" t="inlineStr">
        <is>
          <t>19.10.2024 16:24:42</t>
        </is>
      </c>
      <c r="M157" s="20" t="inlineStr">
        <is>
          <t>1 days</t>
        </is>
      </c>
      <c r="N157" s="20" t="inlineStr">
        <is>
          <t xml:space="preserve">          1M             1M           696K</t>
        </is>
      </c>
      <c r="O157" s="20" t="inlineStr">
        <is>
          <t>FtHCi9cxJSSizrzMzsPjAfTfJi32V1CGRDM5Skqn4QBF</t>
        </is>
      </c>
      <c r="P157" s="20">
        <f>HYPERLINK("https://dexscreener.com/solana/FtHCi9cxJSSizrzMzsPjAfTfJi32V1CGRDM5Skqn4QBF", "View")</f>
        <v/>
      </c>
    </row>
    <row r="158">
      <c r="A158" s="15" t="inlineStr">
        <is>
          <t>みゆき</t>
        </is>
      </c>
      <c r="B158" s="16" t="n">
        <v>18132966</v>
      </c>
      <c r="C158" s="16" t="n">
        <v>18132966</v>
      </c>
      <c r="D158" s="16" t="inlineStr">
        <is>
          <t>0.007520</t>
        </is>
      </c>
      <c r="E158" s="16" t="inlineStr">
        <is>
          <t>3.521 SOL</t>
        </is>
      </c>
      <c r="F158" s="16" t="inlineStr">
        <is>
          <t>3.328 SOL</t>
        </is>
      </c>
      <c r="G158" s="21" t="inlineStr">
        <is>
          <t>-0.200 SOL</t>
        </is>
      </c>
      <c r="H158" s="21" t="inlineStr">
        <is>
          <t>-5.67%</t>
        </is>
      </c>
      <c r="I158" s="16" t="inlineStr">
        <is>
          <t>N/A</t>
        </is>
      </c>
      <c r="J158" s="16" t="n">
        <v>1</v>
      </c>
      <c r="K158" s="16" t="n">
        <v>1</v>
      </c>
      <c r="L158" s="16" t="inlineStr">
        <is>
          <t>19.10.2024 15:51:20</t>
        </is>
      </c>
      <c r="M158" s="16" t="inlineStr">
        <is>
          <t>1 min</t>
        </is>
      </c>
      <c r="N158" s="16" t="inlineStr">
        <is>
          <t xml:space="preserve">         33K            32K             6K</t>
        </is>
      </c>
      <c r="O158" s="16" t="inlineStr">
        <is>
          <t>3gTrsX5zZs49zoU97CxiGqDBfpybMrwmZfnMx2Y2pump</t>
        </is>
      </c>
      <c r="P158" s="16">
        <f>HYPERLINK("https://photon-sol.tinyastro.io/en/lp/3gTrsX5zZs49zoU97CxiGqDBfpybMrwmZfnMx2Y2pump?handle=676050794bc1b1657a56b", "View")</f>
        <v/>
      </c>
    </row>
    <row r="159">
      <c r="A159" s="19" t="inlineStr">
        <is>
          <t>SIN</t>
        </is>
      </c>
      <c r="B159" s="20" t="n">
        <v>118585412</v>
      </c>
      <c r="C159" s="20" t="n">
        <v>118585412</v>
      </c>
      <c r="D159" s="20" t="inlineStr">
        <is>
          <t>0.015020</t>
        </is>
      </c>
      <c r="E159" s="20" t="inlineStr">
        <is>
          <t>5.097 SOL</t>
        </is>
      </c>
      <c r="F159" s="20" t="inlineStr">
        <is>
          <t>7.274 SOL</t>
        </is>
      </c>
      <c r="G159" s="22" t="inlineStr">
        <is>
          <t>2.162 SOL</t>
        </is>
      </c>
      <c r="H159" s="22" t="inlineStr">
        <is>
          <t>42.29%</t>
        </is>
      </c>
      <c r="I159" s="20" t="inlineStr">
        <is>
          <t>N/A</t>
        </is>
      </c>
      <c r="J159" s="20" t="n">
        <v>1</v>
      </c>
      <c r="K159" s="20" t="n">
        <v>2</v>
      </c>
      <c r="L159" s="20" t="inlineStr">
        <is>
          <t>19.10.2024 07:37:54</t>
        </is>
      </c>
      <c r="M159" s="20" t="inlineStr">
        <is>
          <t>1 min</t>
        </is>
      </c>
      <c r="N159" s="20" t="inlineStr">
        <is>
          <t xml:space="preserve">          7K            11K             4K</t>
        </is>
      </c>
      <c r="O159" s="20" t="inlineStr">
        <is>
          <t>B77WDWdC7SnC4BJCwMWjdD1rTX3U57qwTg77utN1pump</t>
        </is>
      </c>
      <c r="P159" s="20">
        <f>HYPERLINK("https://photon-sol.tinyastro.io/en/lp/B77WDWdC7SnC4BJCwMWjdD1rTX3U57qwTg77utN1pump?handle=676050794bc1b1657a56b", "View")</f>
        <v/>
      </c>
    </row>
    <row r="160">
      <c r="A160" s="15" t="inlineStr">
        <is>
          <t>cum</t>
        </is>
      </c>
      <c r="B160" s="16" t="n">
        <v>16710444</v>
      </c>
      <c r="C160" s="16" t="n">
        <v>16710444</v>
      </c>
      <c r="D160" s="16" t="inlineStr">
        <is>
          <t>0.000020</t>
        </is>
      </c>
      <c r="E160" s="16" t="inlineStr">
        <is>
          <t>30.000 SOL</t>
        </is>
      </c>
      <c r="F160" s="16" t="inlineStr">
        <is>
          <t>24.708 SOL</t>
        </is>
      </c>
      <c r="G160" s="21" t="inlineStr">
        <is>
          <t>-5.292 SOL</t>
        </is>
      </c>
      <c r="H160" s="21" t="inlineStr">
        <is>
          <t>-17.64%</t>
        </is>
      </c>
      <c r="I160" s="16" t="inlineStr">
        <is>
          <t>N/A</t>
        </is>
      </c>
      <c r="J160" s="16" t="n">
        <v>1</v>
      </c>
      <c r="K160" s="16" t="n">
        <v>1</v>
      </c>
      <c r="L160" s="16" t="inlineStr">
        <is>
          <t>19.10.2024 07:29:08</t>
        </is>
      </c>
      <c r="M160" s="16" t="inlineStr">
        <is>
          <t>4 min</t>
        </is>
      </c>
      <c r="N160" s="16" t="inlineStr">
        <is>
          <t xml:space="preserve">        316K           260K            17K</t>
        </is>
      </c>
      <c r="O160" s="16" t="inlineStr">
        <is>
          <t>4LXL5F54cuKnjx9qGNWfYuz3vX5eAYqrwYe5X32bpump</t>
        </is>
      </c>
      <c r="P160" s="16">
        <f>HYPERLINK("https://dexscreener.com/solana/4LXL5F54cuKnjx9qGNWfYuz3vX5eAYqrwYe5X32bpump", "View")</f>
        <v/>
      </c>
    </row>
    <row r="161">
      <c r="A161" s="19" t="inlineStr">
        <is>
          <t>Heyoo</t>
        </is>
      </c>
      <c r="B161" s="20" t="n">
        <v>37235957</v>
      </c>
      <c r="C161" s="20" t="n">
        <v>37235957</v>
      </c>
      <c r="D161" s="20" t="inlineStr">
        <is>
          <t>0.000030</t>
        </is>
      </c>
      <c r="E161" s="20" t="inlineStr">
        <is>
          <t>8.116 SOL</t>
        </is>
      </c>
      <c r="F161" s="20" t="inlineStr">
        <is>
          <t>7.321 SOL</t>
        </is>
      </c>
      <c r="G161" s="21" t="inlineStr">
        <is>
          <t>-0.795 SOL</t>
        </is>
      </c>
      <c r="H161" s="21" t="inlineStr">
        <is>
          <t>-9.79%</t>
        </is>
      </c>
      <c r="I161" s="20" t="inlineStr">
        <is>
          <t>N/A</t>
        </is>
      </c>
      <c r="J161" s="20" t="n">
        <v>2</v>
      </c>
      <c r="K161" s="20" t="n">
        <v>1</v>
      </c>
      <c r="L161" s="20" t="inlineStr">
        <is>
          <t>19.10.2024 06:27:48</t>
        </is>
      </c>
      <c r="M161" s="20" t="inlineStr">
        <is>
          <t>1 hours</t>
        </is>
      </c>
      <c r="N161" s="20" t="inlineStr">
        <is>
          <t xml:space="preserve">         44K            35K             4K</t>
        </is>
      </c>
      <c r="O161" s="20" t="inlineStr">
        <is>
          <t>D2cZayL7FNf5d34g3ARNLmtTkizSvRBMZTt4CCr8pump</t>
        </is>
      </c>
      <c r="P161" s="20">
        <f>HYPERLINK("https://photon-sol.tinyastro.io/en/lp/D2cZayL7FNf5d34g3ARNLmtTkizSvRBMZTt4CCr8pump?handle=676050794bc1b1657a56b", "View")</f>
        <v/>
      </c>
    </row>
    <row r="162">
      <c r="A162" s="15" t="inlineStr">
        <is>
          <t>SHEL</t>
        </is>
      </c>
      <c r="B162" s="16" t="n">
        <v>133482151</v>
      </c>
      <c r="C162" s="16" t="n">
        <v>133482151</v>
      </c>
      <c r="D162" s="16" t="inlineStr">
        <is>
          <t>0.007520</t>
        </is>
      </c>
      <c r="E162" s="16" t="inlineStr">
        <is>
          <t>5.105 SOL</t>
        </is>
      </c>
      <c r="F162" s="16" t="inlineStr">
        <is>
          <t>6.782 SOL</t>
        </is>
      </c>
      <c r="G162" s="22" t="inlineStr">
        <is>
          <t>1.669 SOL</t>
        </is>
      </c>
      <c r="H162" s="22" t="inlineStr">
        <is>
          <t>32.66%</t>
        </is>
      </c>
      <c r="I162" s="16" t="inlineStr">
        <is>
          <t>N/A</t>
        </is>
      </c>
      <c r="J162" s="16" t="n">
        <v>1</v>
      </c>
      <c r="K162" s="16" t="n">
        <v>1</v>
      </c>
      <c r="L162" s="16" t="inlineStr">
        <is>
          <t>19.10.2024 03:16:37</t>
        </is>
      </c>
      <c r="M162" s="18" t="inlineStr">
        <is>
          <t>7 sec</t>
        </is>
      </c>
      <c r="N162" s="16" t="inlineStr">
        <is>
          <t xml:space="preserve">          7K             9K             5K</t>
        </is>
      </c>
      <c r="O162" s="16" t="inlineStr">
        <is>
          <t>BdLo2o8qJa67bitHFdKAhcemyZ3tptKtNn8hUMJX8yqM</t>
        </is>
      </c>
      <c r="P162" s="16">
        <f>HYPERLINK("https://photon-sol.tinyastro.io/en/lp/BdLo2o8qJa67bitHFdKAhcemyZ3tptKtNn8hUMJX8yqM?handle=676050794bc1b1657a56b", "View")</f>
        <v/>
      </c>
    </row>
    <row r="163">
      <c r="A163" s="19" t="inlineStr">
        <is>
          <t>limit</t>
        </is>
      </c>
      <c r="B163" s="20" t="n">
        <v>127016386</v>
      </c>
      <c r="C163" s="20" t="n">
        <v>127016430</v>
      </c>
      <c r="D163" s="20" t="inlineStr">
        <is>
          <t>0.007520</t>
        </is>
      </c>
      <c r="E163" s="20" t="inlineStr">
        <is>
          <t>5.860 SOL</t>
        </is>
      </c>
      <c r="F163" s="20" t="inlineStr">
        <is>
          <t>6.476 SOL</t>
        </is>
      </c>
      <c r="G163" s="22" t="inlineStr">
        <is>
          <t>0.609 SOL</t>
        </is>
      </c>
      <c r="H163" s="22" t="inlineStr">
        <is>
          <t>10.37%</t>
        </is>
      </c>
      <c r="I163" s="20" t="inlineStr">
        <is>
          <t>N/A</t>
        </is>
      </c>
      <c r="J163" s="20" t="n">
        <v>1</v>
      </c>
      <c r="K163" s="20" t="n">
        <v>1</v>
      </c>
      <c r="L163" s="20" t="inlineStr">
        <is>
          <t>18.10.2024 22:39:15</t>
        </is>
      </c>
      <c r="M163" s="18" t="inlineStr">
        <is>
          <t>8 sec</t>
        </is>
      </c>
      <c r="N163" s="20" t="inlineStr">
        <is>
          <t xml:space="preserve">          9K             9K             5K</t>
        </is>
      </c>
      <c r="O163" s="20" t="inlineStr">
        <is>
          <t>AMccUPutKkk8Ruq7Qz4fJ4eMZJTbF9zbnK9bx85HpXY</t>
        </is>
      </c>
      <c r="P163" s="20">
        <f>HYPERLINK("https://photon-sol.tinyastro.io/en/lp/AMccUPutKkk8Ruq7Qz4fJ4eMZJTbF9zbnK9bx85HpXY?handle=676050794bc1b1657a56b", "View")</f>
        <v/>
      </c>
    </row>
    <row r="164">
      <c r="A164" s="15" t="inlineStr">
        <is>
          <t>GOD</t>
        </is>
      </c>
      <c r="B164" s="16" t="n">
        <v>130851416</v>
      </c>
      <c r="C164" s="16" t="n">
        <v>130851416</v>
      </c>
      <c r="D164" s="16" t="inlineStr">
        <is>
          <t>0.000020</t>
        </is>
      </c>
      <c r="E164" s="16" t="inlineStr">
        <is>
          <t>5.097 SOL</t>
        </is>
      </c>
      <c r="F164" s="16" t="inlineStr">
        <is>
          <t>6.617 SOL</t>
        </is>
      </c>
      <c r="G164" s="22" t="inlineStr">
        <is>
          <t>1.520 SOL</t>
        </is>
      </c>
      <c r="H164" s="22" t="inlineStr">
        <is>
          <t>29.82%</t>
        </is>
      </c>
      <c r="I164" s="16" t="inlineStr">
        <is>
          <t>N/A</t>
        </is>
      </c>
      <c r="J164" s="16" t="n">
        <v>1</v>
      </c>
      <c r="K164" s="16" t="n">
        <v>1</v>
      </c>
      <c r="L164" s="16" t="inlineStr">
        <is>
          <t>18.10.2024 09:40:54</t>
        </is>
      </c>
      <c r="M164" s="18" t="inlineStr">
        <is>
          <t>25 sec</t>
        </is>
      </c>
      <c r="N164" s="16" t="inlineStr">
        <is>
          <t xml:space="preserve">          7K             9K             5K</t>
        </is>
      </c>
      <c r="O164" s="16" t="inlineStr">
        <is>
          <t>6v31hkLUVNU59tQ5JVy9vRBdiNvZFWsUMBxWWLBGpump</t>
        </is>
      </c>
      <c r="P164" s="16">
        <f>HYPERLINK("https://photon-sol.tinyastro.io/en/lp/6v31hkLUVNU59tQ5JVy9vRBdiNvZFWsUMBxWWLBGpump?handle=676050794bc1b1657a56b", "View")</f>
        <v/>
      </c>
    </row>
    <row r="165">
      <c r="A165" s="19" t="inlineStr">
        <is>
          <t>TACIT</t>
        </is>
      </c>
      <c r="B165" s="20" t="n">
        <v>241484330</v>
      </c>
      <c r="C165" s="20" t="n">
        <v>241484330</v>
      </c>
      <c r="D165" s="20" t="inlineStr">
        <is>
          <t>0.000020</t>
        </is>
      </c>
      <c r="E165" s="20" t="inlineStr">
        <is>
          <t>10.205 SOL</t>
        </is>
      </c>
      <c r="F165" s="20" t="inlineStr">
        <is>
          <t>10.147 SOL</t>
        </is>
      </c>
      <c r="G165" s="21" t="inlineStr">
        <is>
          <t>-0.058 SOL</t>
        </is>
      </c>
      <c r="H165" s="21" t="inlineStr">
        <is>
          <t>-0.56%</t>
        </is>
      </c>
      <c r="I165" s="20" t="inlineStr">
        <is>
          <t>N/A</t>
        </is>
      </c>
      <c r="J165" s="20" t="n">
        <v>1</v>
      </c>
      <c r="K165" s="20" t="n">
        <v>1</v>
      </c>
      <c r="L165" s="20" t="inlineStr">
        <is>
          <t>18.10.2024 09:39:49</t>
        </is>
      </c>
      <c r="M165" s="18" t="inlineStr">
        <is>
          <t>42 sec</t>
        </is>
      </c>
      <c r="N165" s="20" t="inlineStr">
        <is>
          <t xml:space="preserve">          7K             7K             5K</t>
        </is>
      </c>
      <c r="O165" s="20" t="inlineStr">
        <is>
          <t>HFd3uxca4C5Mn47EKUE7J7q4ZKhaMbWEuUWXdp2hpump</t>
        </is>
      </c>
      <c r="P165" s="20">
        <f>HYPERLINK("https://photon-sol.tinyastro.io/en/lp/HFd3uxca4C5Mn47EKUE7J7q4ZKhaMbWEuUWXdp2hpump?handle=676050794bc1b1657a56b", "View")</f>
        <v/>
      </c>
    </row>
    <row r="166">
      <c r="A166" s="15" t="inlineStr">
        <is>
          <t>cat</t>
        </is>
      </c>
      <c r="B166" s="16" t="n">
        <v>17466216</v>
      </c>
      <c r="C166" s="16" t="n">
        <v>17466216</v>
      </c>
      <c r="D166" s="16" t="inlineStr">
        <is>
          <t>0.000020</t>
        </is>
      </c>
      <c r="E166" s="16" t="inlineStr">
        <is>
          <t>5.000 SOL</t>
        </is>
      </c>
      <c r="F166" s="16" t="inlineStr">
        <is>
          <t>4.263 SOL</t>
        </is>
      </c>
      <c r="G166" s="21" t="inlineStr">
        <is>
          <t>-0.737 SOL</t>
        </is>
      </c>
      <c r="H166" s="21" t="inlineStr">
        <is>
          <t>-14.75%</t>
        </is>
      </c>
      <c r="I166" s="16" t="inlineStr">
        <is>
          <t>N/A</t>
        </is>
      </c>
      <c r="J166" s="16" t="n">
        <v>1</v>
      </c>
      <c r="K166" s="16" t="n">
        <v>1</v>
      </c>
      <c r="L166" s="16" t="inlineStr">
        <is>
          <t>18.10.2024 09:19:20</t>
        </is>
      </c>
      <c r="M166" s="16" t="inlineStr">
        <is>
          <t>1 min</t>
        </is>
      </c>
      <c r="N166" s="16" t="inlineStr">
        <is>
          <t xml:space="preserve">         51K            42K             6K</t>
        </is>
      </c>
      <c r="O166" s="16" t="inlineStr">
        <is>
          <t>Ft2DavuS1ctcUV3cBJWB1BvD6v1zjjXMJD16VRBEpump</t>
        </is>
      </c>
      <c r="P166" s="16">
        <f>HYPERLINK("https://dexscreener.com/solana/Ft2DavuS1ctcUV3cBJWB1BvD6v1zjjXMJD16VRBEpump", "View")</f>
        <v/>
      </c>
    </row>
    <row r="167">
      <c r="A167" s="19" t="inlineStr">
        <is>
          <t>Memetics</t>
        </is>
      </c>
      <c r="B167" s="20" t="n">
        <v>10831834</v>
      </c>
      <c r="C167" s="20" t="n">
        <v>10831834</v>
      </c>
      <c r="D167" s="20" t="inlineStr">
        <is>
          <t>0.015020</t>
        </is>
      </c>
      <c r="E167" s="20" t="inlineStr">
        <is>
          <t>20.000 SOL</t>
        </is>
      </c>
      <c r="F167" s="20" t="inlineStr">
        <is>
          <t>14.409 SOL</t>
        </is>
      </c>
      <c r="G167" s="21" t="inlineStr">
        <is>
          <t>-5.606 SOL</t>
        </is>
      </c>
      <c r="H167" s="21" t="inlineStr">
        <is>
          <t>-28.01%</t>
        </is>
      </c>
      <c r="I167" s="20" t="inlineStr">
        <is>
          <t>N/A</t>
        </is>
      </c>
      <c r="J167" s="20" t="n">
        <v>2</v>
      </c>
      <c r="K167" s="20" t="n">
        <v>1</v>
      </c>
      <c r="L167" s="20" t="inlineStr">
        <is>
          <t>18.10.2024 08:25:55</t>
        </is>
      </c>
      <c r="M167" s="20" t="inlineStr">
        <is>
          <t>13 min</t>
        </is>
      </c>
      <c r="N167" s="20" t="inlineStr">
        <is>
          <t xml:space="preserve">        337K           234K            13K</t>
        </is>
      </c>
      <c r="O167" s="20" t="inlineStr">
        <is>
          <t>7wU64AbsCqQKYqvdGEZsdyLRX3zrtwKdSNw1Ze6Rpump</t>
        </is>
      </c>
      <c r="P167" s="20">
        <f>HYPERLINK("https://dexscreener.com/solana/7wU64AbsCqQKYqvdGEZsdyLRX3zrtwKdSNw1Ze6Rpump", "View")</f>
        <v/>
      </c>
    </row>
    <row r="168">
      <c r="A168" s="15" t="inlineStr">
        <is>
          <t>BSC</t>
        </is>
      </c>
      <c r="B168" s="16" t="n">
        <v>82417327</v>
      </c>
      <c r="C168" s="16" t="n">
        <v>82417327</v>
      </c>
      <c r="D168" s="16" t="inlineStr">
        <is>
          <t>0.007570</t>
        </is>
      </c>
      <c r="E168" s="16" t="inlineStr">
        <is>
          <t>64.152 SOL</t>
        </is>
      </c>
      <c r="F168" s="16" t="inlineStr">
        <is>
          <t>76.101 SOL</t>
        </is>
      </c>
      <c r="G168" s="22" t="inlineStr">
        <is>
          <t>11.941 SOL</t>
        </is>
      </c>
      <c r="H168" s="22" t="inlineStr">
        <is>
          <t>18.61%</t>
        </is>
      </c>
      <c r="I168" s="16" t="inlineStr">
        <is>
          <t>N/A</t>
        </is>
      </c>
      <c r="J168" s="16" t="n">
        <v>4</v>
      </c>
      <c r="K168" s="16" t="n">
        <v>3</v>
      </c>
      <c r="L168" s="16" t="inlineStr">
        <is>
          <t>18.10.2024 07:00:03</t>
        </is>
      </c>
      <c r="M168" s="16" t="inlineStr">
        <is>
          <t>2 days</t>
        </is>
      </c>
      <c r="N168" s="16" t="inlineStr">
        <is>
          <t xml:space="preserve">        128K            95K            33K</t>
        </is>
      </c>
      <c r="O168" s="16" t="inlineStr">
        <is>
          <t>Gqon2k62PD1uVJ9f9pamhPSrf2BeWGEAzDfxkWdXpump</t>
        </is>
      </c>
      <c r="P168" s="16">
        <f>HYPERLINK("https://photon-sol.tinyastro.io/en/lp/Gqon2k62PD1uVJ9f9pamhPSrf2BeWGEAzDfxkWdXpump?handle=676050794bc1b1657a56b", "View")</f>
        <v/>
      </c>
    </row>
    <row r="169">
      <c r="A169" s="19" t="inlineStr">
        <is>
          <t>DENJO</t>
        </is>
      </c>
      <c r="B169" s="20" t="n">
        <v>112036836</v>
      </c>
      <c r="C169" s="20" t="n">
        <v>112036836</v>
      </c>
      <c r="D169" s="20" t="inlineStr">
        <is>
          <t>0.000040</t>
        </is>
      </c>
      <c r="E169" s="20" t="inlineStr">
        <is>
          <t>9.173 SOL</t>
        </is>
      </c>
      <c r="F169" s="20" t="inlineStr">
        <is>
          <t>5.352 SOL</t>
        </is>
      </c>
      <c r="G169" s="21" t="inlineStr">
        <is>
          <t>-3.822 SOL</t>
        </is>
      </c>
      <c r="H169" s="21" t="inlineStr">
        <is>
          <t>-41.66%</t>
        </is>
      </c>
      <c r="I169" s="20" t="inlineStr">
        <is>
          <t>N/A</t>
        </is>
      </c>
      <c r="J169" s="20" t="n">
        <v>3</v>
      </c>
      <c r="K169" s="20" t="n">
        <v>1</v>
      </c>
      <c r="L169" s="20" t="inlineStr">
        <is>
          <t>18.10.2024 05:38:03</t>
        </is>
      </c>
      <c r="M169" s="20" t="inlineStr">
        <is>
          <t>3 min</t>
        </is>
      </c>
      <c r="N169" s="20" t="inlineStr">
        <is>
          <t xml:space="preserve">         35K             9K             5K</t>
        </is>
      </c>
      <c r="O169" s="20" t="inlineStr">
        <is>
          <t>GNFbtq1CBwZ3nppymkrNrCxgy8kHZaQEKSF6svgMpump</t>
        </is>
      </c>
      <c r="P169" s="20">
        <f>HYPERLINK("https://photon-sol.tinyastro.io/en/lp/GNFbtq1CBwZ3nppymkrNrCxgy8kHZaQEKSF6svgMpump?handle=676050794bc1b1657a56b", "View")</f>
        <v/>
      </c>
    </row>
    <row r="170">
      <c r="A170" s="15" t="inlineStr">
        <is>
          <t>oMONKE</t>
        </is>
      </c>
      <c r="B170" s="16" t="n">
        <v>67271485</v>
      </c>
      <c r="C170" s="16" t="n">
        <v>67271485</v>
      </c>
      <c r="D170" s="16" t="inlineStr">
        <is>
          <t>0.007520</t>
        </is>
      </c>
      <c r="E170" s="16" t="inlineStr">
        <is>
          <t>3.059 SOL</t>
        </is>
      </c>
      <c r="F170" s="16" t="inlineStr">
        <is>
          <t>3.877 SOL</t>
        </is>
      </c>
      <c r="G170" s="22" t="inlineStr">
        <is>
          <t>0.810 SOL</t>
        </is>
      </c>
      <c r="H170" s="22" t="inlineStr">
        <is>
          <t>26.42%</t>
        </is>
      </c>
      <c r="I170" s="16" t="inlineStr">
        <is>
          <t>N/A</t>
        </is>
      </c>
      <c r="J170" s="16" t="n">
        <v>1</v>
      </c>
      <c r="K170" s="16" t="n">
        <v>1</v>
      </c>
      <c r="L170" s="16" t="inlineStr">
        <is>
          <t>18.10.2024 05:33:08</t>
        </is>
      </c>
      <c r="M170" s="16" t="inlineStr">
        <is>
          <t>1 min</t>
        </is>
      </c>
      <c r="N170" s="16" t="inlineStr">
        <is>
          <t xml:space="preserve">          9K            11K             5K</t>
        </is>
      </c>
      <c r="O170" s="16" t="inlineStr">
        <is>
          <t>FbafHmzrJTWaNqJBtgHGMvRNMD55SLBc85chjBrDpump</t>
        </is>
      </c>
      <c r="P170" s="16">
        <f>HYPERLINK("https://photon-sol.tinyastro.io/en/lp/FbafHmzrJTWaNqJBtgHGMvRNMD55SLBc85chjBrDpump?handle=676050794bc1b1657a56b", "View")</f>
        <v/>
      </c>
    </row>
    <row r="171">
      <c r="A171" s="19" t="inlineStr">
        <is>
          <t>oDOG</t>
        </is>
      </c>
      <c r="B171" s="20" t="n">
        <v>21233309</v>
      </c>
      <c r="C171" s="20" t="n">
        <v>21233309</v>
      </c>
      <c r="D171" s="20" t="inlineStr">
        <is>
          <t>0.007520</t>
        </is>
      </c>
      <c r="E171" s="20" t="inlineStr">
        <is>
          <t>4.675 SOL</t>
        </is>
      </c>
      <c r="F171" s="20" t="inlineStr">
        <is>
          <t>6.608 SOL</t>
        </is>
      </c>
      <c r="G171" s="22" t="inlineStr">
        <is>
          <t>1.926 SOL</t>
        </is>
      </c>
      <c r="H171" s="22" t="inlineStr">
        <is>
          <t>41.13%</t>
        </is>
      </c>
      <c r="I171" s="20" t="inlineStr">
        <is>
          <t>N/A</t>
        </is>
      </c>
      <c r="J171" s="20" t="n">
        <v>1</v>
      </c>
      <c r="K171" s="20" t="n">
        <v>1</v>
      </c>
      <c r="L171" s="20" t="inlineStr">
        <is>
          <t>18.10.2024 05:27:37</t>
        </is>
      </c>
      <c r="M171" s="20" t="inlineStr">
        <is>
          <t>9 min</t>
        </is>
      </c>
      <c r="N171" s="20" t="inlineStr">
        <is>
          <t xml:space="preserve">         39K            54K             4K</t>
        </is>
      </c>
      <c r="O171" s="20" t="inlineStr">
        <is>
          <t>Favkzs2XdkMkfVKaY1sJ5cCTCtrbVZFYPoytxCFypump</t>
        </is>
      </c>
      <c r="P171" s="20">
        <f>HYPERLINK("https://photon-sol.tinyastro.io/en/lp/Favkzs2XdkMkfVKaY1sJ5cCTCtrbVZFYPoytxCFypump?handle=676050794bc1b1657a56b", "View")</f>
        <v/>
      </c>
    </row>
    <row r="172">
      <c r="A172" s="15" t="inlineStr">
        <is>
          <t>ᵈᵒᵍ</t>
        </is>
      </c>
      <c r="B172" s="16" t="n">
        <v>96204065</v>
      </c>
      <c r="C172" s="16" t="n">
        <v>96204065</v>
      </c>
      <c r="D172" s="16" t="inlineStr">
        <is>
          <t>0.000020</t>
        </is>
      </c>
      <c r="E172" s="16" t="inlineStr">
        <is>
          <t>3.031 SOL</t>
        </is>
      </c>
      <c r="F172" s="16" t="inlineStr">
        <is>
          <t>4.882 SOL</t>
        </is>
      </c>
      <c r="G172" s="23" t="inlineStr">
        <is>
          <t>1.851 SOL</t>
        </is>
      </c>
      <c r="H172" s="23" t="inlineStr">
        <is>
          <t>61.07%</t>
        </is>
      </c>
      <c r="I172" s="16" t="inlineStr">
        <is>
          <t>N/A</t>
        </is>
      </c>
      <c r="J172" s="16" t="n">
        <v>1</v>
      </c>
      <c r="K172" s="16" t="n">
        <v>1</v>
      </c>
      <c r="L172" s="16" t="inlineStr">
        <is>
          <t>18.10.2024 05:13:23</t>
        </is>
      </c>
      <c r="M172" s="16" t="inlineStr">
        <is>
          <t>1 min</t>
        </is>
      </c>
      <c r="N172" s="16" t="inlineStr">
        <is>
          <t xml:space="preserve">          5K             9K             5K</t>
        </is>
      </c>
      <c r="O172" s="16" t="inlineStr">
        <is>
          <t>4DoeHPsTCvGHESbX4xaEntYqZ4w7Bw7msaB4KTyppump</t>
        </is>
      </c>
      <c r="P172" s="16">
        <f>HYPERLINK("https://photon-sol.tinyastro.io/en/lp/4DoeHPsTCvGHESbX4xaEntYqZ4w7Bw7msaB4KTyppump?handle=676050794bc1b1657a56b", "View")</f>
        <v/>
      </c>
    </row>
    <row r="173">
      <c r="A173" s="19" t="inlineStr">
        <is>
          <t>oCAT</t>
        </is>
      </c>
      <c r="B173" s="20" t="n">
        <v>15312909</v>
      </c>
      <c r="C173" s="20" t="n">
        <v>15312909</v>
      </c>
      <c r="D173" s="20" t="inlineStr">
        <is>
          <t>0.000060</t>
        </is>
      </c>
      <c r="E173" s="20" t="inlineStr">
        <is>
          <t>17.000 SOL</t>
        </is>
      </c>
      <c r="F173" s="20" t="inlineStr">
        <is>
          <t>27.686 SOL</t>
        </is>
      </c>
      <c r="G173" s="23" t="inlineStr">
        <is>
          <t>10.686 SOL</t>
        </is>
      </c>
      <c r="H173" s="23" t="inlineStr">
        <is>
          <t>62.86%</t>
        </is>
      </c>
      <c r="I173" s="20" t="inlineStr">
        <is>
          <t>N/A</t>
        </is>
      </c>
      <c r="J173" s="20" t="n">
        <v>3</v>
      </c>
      <c r="K173" s="20" t="n">
        <v>3</v>
      </c>
      <c r="L173" s="20" t="inlineStr">
        <is>
          <t>18.10.2024 04:14:12</t>
        </is>
      </c>
      <c r="M173" s="20" t="inlineStr">
        <is>
          <t>41 min</t>
        </is>
      </c>
      <c r="N173" s="20" t="inlineStr">
        <is>
          <t xml:space="preserve">        302K           167K             7K</t>
        </is>
      </c>
      <c r="O173" s="20" t="inlineStr">
        <is>
          <t>8GoqNAmJB61CYFnuq9rLXpbBomNrZcw1HArceUmFpump</t>
        </is>
      </c>
      <c r="P173" s="20">
        <f>HYPERLINK("https://dexscreener.com/solana/8GoqNAmJB61CYFnuq9rLXpbBomNrZcw1HArceUmFpump", "View")</f>
        <v/>
      </c>
    </row>
    <row r="174">
      <c r="A174" s="15" t="inlineStr">
        <is>
          <t>hoodie</t>
        </is>
      </c>
      <c r="B174" s="16" t="n">
        <v>15350393</v>
      </c>
      <c r="C174" s="16" t="n">
        <v>15350393</v>
      </c>
      <c r="D174" s="16" t="inlineStr">
        <is>
          <t>0.000020</t>
        </is>
      </c>
      <c r="E174" s="16" t="inlineStr">
        <is>
          <t>3.059 SOL</t>
        </is>
      </c>
      <c r="F174" s="16" t="inlineStr">
        <is>
          <t>4.055 SOL</t>
        </is>
      </c>
      <c r="G174" s="22" t="inlineStr">
        <is>
          <t>0.996 SOL</t>
        </is>
      </c>
      <c r="H174" s="22" t="inlineStr">
        <is>
          <t>32.55%</t>
        </is>
      </c>
      <c r="I174" s="16" t="inlineStr">
        <is>
          <t>N/A</t>
        </is>
      </c>
      <c r="J174" s="16" t="n">
        <v>1</v>
      </c>
      <c r="K174" s="16" t="n">
        <v>1</v>
      </c>
      <c r="L174" s="16" t="inlineStr">
        <is>
          <t>18.10.2024 03:19:43</t>
        </is>
      </c>
      <c r="M174" s="16" t="inlineStr">
        <is>
          <t>3 min</t>
        </is>
      </c>
      <c r="N174" s="16" t="inlineStr">
        <is>
          <t xml:space="preserve">         35K            46K             5K</t>
        </is>
      </c>
      <c r="O174" s="16" t="inlineStr">
        <is>
          <t>CrMJqqGHmTtHSDCouDEfR8hJWLnrhoJ5SV81T189pump</t>
        </is>
      </c>
      <c r="P174" s="16">
        <f>HYPERLINK("https://photon-sol.tinyastro.io/en/lp/CrMJqqGHmTtHSDCouDEfR8hJWLnrhoJ5SV81T189pump?handle=676050794bc1b1657a56b", "View")</f>
        <v/>
      </c>
    </row>
    <row r="175">
      <c r="A175" s="19" t="inlineStr">
        <is>
          <t>Lambo</t>
        </is>
      </c>
      <c r="B175" s="20" t="n">
        <v>32449591</v>
      </c>
      <c r="C175" s="20" t="n">
        <v>32449591</v>
      </c>
      <c r="D175" s="20" t="inlineStr">
        <is>
          <t>0.000020</t>
        </is>
      </c>
      <c r="E175" s="20" t="inlineStr">
        <is>
          <t>1.021 SOL</t>
        </is>
      </c>
      <c r="F175" s="20" t="inlineStr">
        <is>
          <t>1.963 SOL</t>
        </is>
      </c>
      <c r="G175" s="23" t="inlineStr">
        <is>
          <t>0.942 SOL</t>
        </is>
      </c>
      <c r="H175" s="23" t="inlineStr">
        <is>
          <t>92.27%</t>
        </is>
      </c>
      <c r="I175" s="20" t="inlineStr">
        <is>
          <t>N/A</t>
        </is>
      </c>
      <c r="J175" s="20" t="n">
        <v>1</v>
      </c>
      <c r="K175" s="20" t="n">
        <v>1</v>
      </c>
      <c r="L175" s="20" t="inlineStr">
        <is>
          <t>18.10.2024 03:13:52</t>
        </is>
      </c>
      <c r="M175" s="20" t="inlineStr">
        <is>
          <t>1 min</t>
        </is>
      </c>
      <c r="N175" s="20" t="inlineStr">
        <is>
          <t xml:space="preserve">          5K            11K             5K</t>
        </is>
      </c>
      <c r="O175" s="20" t="inlineStr">
        <is>
          <t>2rydhfNG8gBwrcHXpmKUHB1DTpr6GAabD6STxw4Hpump</t>
        </is>
      </c>
      <c r="P175" s="20">
        <f>HYPERLINK("https://photon-sol.tinyastro.io/en/lp/2rydhfNG8gBwrcHXpmKUHB1DTpr6GAabD6STxw4Hpump?handle=676050794bc1b1657a56b", "View")</f>
        <v/>
      </c>
    </row>
    <row r="176">
      <c r="A176" s="15" t="inlineStr">
        <is>
          <t>Max</t>
        </is>
      </c>
      <c r="B176" s="16" t="n">
        <v>23483074</v>
      </c>
      <c r="C176" s="16" t="n">
        <v>23483074</v>
      </c>
      <c r="D176" s="16" t="inlineStr">
        <is>
          <t>0.000020</t>
        </is>
      </c>
      <c r="E176" s="16" t="inlineStr">
        <is>
          <t>3.083 SOL</t>
        </is>
      </c>
      <c r="F176" s="16" t="inlineStr">
        <is>
          <t>3.645 SOL</t>
        </is>
      </c>
      <c r="G176" s="22" t="inlineStr">
        <is>
          <t>0.561 SOL</t>
        </is>
      </c>
      <c r="H176" s="22" t="inlineStr">
        <is>
          <t>18.20%</t>
        </is>
      </c>
      <c r="I176" s="16" t="inlineStr">
        <is>
          <t>N/A</t>
        </is>
      </c>
      <c r="J176" s="16" t="n">
        <v>1</v>
      </c>
      <c r="K176" s="16" t="n">
        <v>1</v>
      </c>
      <c r="L176" s="16" t="inlineStr">
        <is>
          <t>18.10.2024 03:12:23</t>
        </is>
      </c>
      <c r="M176" s="16" t="inlineStr">
        <is>
          <t>5 min</t>
        </is>
      </c>
      <c r="N176" s="16" t="inlineStr">
        <is>
          <t xml:space="preserve">         23K            28K             5K</t>
        </is>
      </c>
      <c r="O176" s="16" t="inlineStr">
        <is>
          <t>2wVfVV8G7wL8Vi1gWQjvJutxB4vcyEszJk8iZhPjpump</t>
        </is>
      </c>
      <c r="P176" s="16">
        <f>HYPERLINK("https://photon-sol.tinyastro.io/en/lp/2wVfVV8G7wL8Vi1gWQjvJutxB4vcyEszJk8iZhPjpump?handle=676050794bc1b1657a56b", "View")</f>
        <v/>
      </c>
    </row>
    <row r="177">
      <c r="A177" s="19" t="inlineStr">
        <is>
          <t>MLG</t>
        </is>
      </c>
      <c r="B177" s="20" t="n">
        <v>22396853</v>
      </c>
      <c r="C177" s="20" t="n">
        <v>22396853</v>
      </c>
      <c r="D177" s="20" t="inlineStr">
        <is>
          <t>0.000020</t>
        </is>
      </c>
      <c r="E177" s="20" t="inlineStr">
        <is>
          <t>3.000 SOL</t>
        </is>
      </c>
      <c r="F177" s="20" t="inlineStr">
        <is>
          <t>4.666 SOL</t>
        </is>
      </c>
      <c r="G177" s="23" t="inlineStr">
        <is>
          <t>1.666 SOL</t>
        </is>
      </c>
      <c r="H177" s="23" t="inlineStr">
        <is>
          <t>55.53%</t>
        </is>
      </c>
      <c r="I177" s="20" t="inlineStr">
        <is>
          <t>N/A</t>
        </is>
      </c>
      <c r="J177" s="20" t="n">
        <v>1</v>
      </c>
      <c r="K177" s="20" t="n">
        <v>1</v>
      </c>
      <c r="L177" s="20" t="inlineStr">
        <is>
          <t>18.10.2024 02:59:53</t>
        </is>
      </c>
      <c r="M177" s="18" t="inlineStr">
        <is>
          <t>42 sec</t>
        </is>
      </c>
      <c r="N177" s="20" t="inlineStr">
        <is>
          <t xml:space="preserve">         23K            37K             4K</t>
        </is>
      </c>
      <c r="O177" s="20" t="inlineStr">
        <is>
          <t>FKCJcZMWbkX7sTqSDBsVCjUwhsspMxSasRSw9MuZbMdf</t>
        </is>
      </c>
      <c r="P177" s="20">
        <f>HYPERLINK("https://dexscreener.com/solana/FKCJcZMWbkX7sTqSDBsVCjUwhsspMxSasRSw9MuZbMdf", "View")</f>
        <v/>
      </c>
    </row>
    <row r="178">
      <c r="A178" s="15" t="inlineStr">
        <is>
          <t>ALPHA</t>
        </is>
      </c>
      <c r="B178" s="16" t="n">
        <v>3590184</v>
      </c>
      <c r="C178" s="16" t="n">
        <v>3590184</v>
      </c>
      <c r="D178" s="16" t="inlineStr">
        <is>
          <t>0.022530</t>
        </is>
      </c>
      <c r="E178" s="16" t="inlineStr">
        <is>
          <t>70.000 SOL</t>
        </is>
      </c>
      <c r="F178" s="16" t="inlineStr">
        <is>
          <t>75.249 SOL</t>
        </is>
      </c>
      <c r="G178" s="22" t="inlineStr">
        <is>
          <t>5.226 SOL</t>
        </is>
      </c>
      <c r="H178" s="22" t="inlineStr">
        <is>
          <t>7.46%</t>
        </is>
      </c>
      <c r="I178" s="16" t="inlineStr">
        <is>
          <t>N/A</t>
        </is>
      </c>
      <c r="J178" s="16" t="n">
        <v>2</v>
      </c>
      <c r="K178" s="16" t="n">
        <v>2</v>
      </c>
      <c r="L178" s="16" t="inlineStr">
        <is>
          <t>18.10.2024 02:12:10</t>
        </is>
      </c>
      <c r="M178" s="16" t="inlineStr">
        <is>
          <t>8 hours</t>
        </is>
      </c>
      <c r="N178" s="16" t="inlineStr">
        <is>
          <t xml:space="preserve">          3M             3M           223K</t>
        </is>
      </c>
      <c r="O178" s="16" t="inlineStr">
        <is>
          <t>EvNBoWwZFF6pPpjTnNSzrurxkDfw1PGUmih1eAStpump</t>
        </is>
      </c>
      <c r="P178" s="16">
        <f>HYPERLINK("https://dexscreener.com/solana/EvNBoWwZFF6pPpjTnNSzrurxkDfw1PGUmih1eAStpump", "View")</f>
        <v/>
      </c>
    </row>
    <row r="179">
      <c r="A179" s="19" t="inlineStr">
        <is>
          <t>POTATO</t>
        </is>
      </c>
      <c r="B179" s="20" t="n">
        <v>153203500</v>
      </c>
      <c r="C179" s="20" t="n">
        <v>153203500</v>
      </c>
      <c r="D179" s="20" t="inlineStr">
        <is>
          <t>0.000020</t>
        </is>
      </c>
      <c r="E179" s="20" t="inlineStr">
        <is>
          <t>5.097 SOL</t>
        </is>
      </c>
      <c r="F179" s="20" t="inlineStr">
        <is>
          <t>5.349 SOL</t>
        </is>
      </c>
      <c r="G179" s="22" t="inlineStr">
        <is>
          <t>0.252 SOL</t>
        </is>
      </c>
      <c r="H179" s="22" t="inlineStr">
        <is>
          <t>4.95%</t>
        </is>
      </c>
      <c r="I179" s="20" t="inlineStr">
        <is>
          <t>N/A</t>
        </is>
      </c>
      <c r="J179" s="20" t="n">
        <v>1</v>
      </c>
      <c r="K179" s="20" t="n">
        <v>1</v>
      </c>
      <c r="L179" s="20" t="inlineStr">
        <is>
          <t>17.10.2024 22:58:47</t>
        </is>
      </c>
      <c r="M179" s="20" t="inlineStr">
        <is>
          <t>7 hours</t>
        </is>
      </c>
      <c r="N179" s="20" t="inlineStr">
        <is>
          <t xml:space="preserve">          5K             5K             5K</t>
        </is>
      </c>
      <c r="O179" s="20" t="inlineStr">
        <is>
          <t>HiosSRVLMuurTMhj8ZaNThF8oZaJsB7qxiiNUM2Hpump</t>
        </is>
      </c>
      <c r="P179" s="20">
        <f>HYPERLINK("https://photon-sol.tinyastro.io/en/lp/HiosSRVLMuurTMhj8ZaNThF8oZaJsB7qxiiNUM2Hpump?handle=676050794bc1b1657a56b", "View")</f>
        <v/>
      </c>
    </row>
    <row r="180">
      <c r="A180" s="15" t="inlineStr">
        <is>
          <t>↑↑↑</t>
        </is>
      </c>
      <c r="B180" s="16" t="n">
        <v>18207676</v>
      </c>
      <c r="C180" s="16" t="n">
        <v>18207676</v>
      </c>
      <c r="D180" s="16" t="inlineStr">
        <is>
          <t>0.000020</t>
        </is>
      </c>
      <c r="E180" s="16" t="inlineStr">
        <is>
          <t>5.000 SOL</t>
        </is>
      </c>
      <c r="F180" s="16" t="inlineStr">
        <is>
          <t>7.081 SOL</t>
        </is>
      </c>
      <c r="G180" s="22" t="inlineStr">
        <is>
          <t>2.081 SOL</t>
        </is>
      </c>
      <c r="H180" s="22" t="inlineStr">
        <is>
          <t>41.61%</t>
        </is>
      </c>
      <c r="I180" s="16" t="inlineStr">
        <is>
          <t>N/A</t>
        </is>
      </c>
      <c r="J180" s="16" t="n">
        <v>1</v>
      </c>
      <c r="K180" s="16" t="n">
        <v>1</v>
      </c>
      <c r="L180" s="16" t="inlineStr">
        <is>
          <t>17.10.2024 16:29:26</t>
        </is>
      </c>
      <c r="M180" s="16" t="inlineStr">
        <is>
          <t>1 min</t>
        </is>
      </c>
      <c r="N180" s="16" t="inlineStr">
        <is>
          <t xml:space="preserve">         47K            68K             3K</t>
        </is>
      </c>
      <c r="O180" s="16" t="inlineStr">
        <is>
          <t>J3C8FiE4p8XWuschUT8iFaXoW3mw4hfw92roUtQgpump</t>
        </is>
      </c>
      <c r="P180" s="16">
        <f>HYPERLINK("https://dexscreener.com/solana/J3C8FiE4p8XWuschUT8iFaXoW3mw4hfw92roUtQgpump", "View")</f>
        <v/>
      </c>
    </row>
    <row r="181">
      <c r="A181" s="19" t="inlineStr">
        <is>
          <t>huh</t>
        </is>
      </c>
      <c r="B181" s="20" t="n">
        <v>147249858</v>
      </c>
      <c r="C181" s="20" t="n">
        <v>147249858</v>
      </c>
      <c r="D181" s="20" t="inlineStr">
        <is>
          <t>0.007520</t>
        </is>
      </c>
      <c r="E181" s="20" t="inlineStr">
        <is>
          <t>5.105 SOL</t>
        </is>
      </c>
      <c r="F181" s="20" t="inlineStr">
        <is>
          <t>7.140 SOL</t>
        </is>
      </c>
      <c r="G181" s="22" t="inlineStr">
        <is>
          <t>2.028 SOL</t>
        </is>
      </c>
      <c r="H181" s="22" t="inlineStr">
        <is>
          <t>39.67%</t>
        </is>
      </c>
      <c r="I181" s="20" t="inlineStr">
        <is>
          <t>N/A</t>
        </is>
      </c>
      <c r="J181" s="20" t="n">
        <v>1</v>
      </c>
      <c r="K181" s="20" t="n">
        <v>1</v>
      </c>
      <c r="L181" s="20" t="inlineStr">
        <is>
          <t>17.10.2024 15:04:36</t>
        </is>
      </c>
      <c r="M181" s="18" t="inlineStr">
        <is>
          <t>37 sec</t>
        </is>
      </c>
      <c r="N181" s="20" t="inlineStr">
        <is>
          <t xml:space="preserve">          5K             9K             5K</t>
        </is>
      </c>
      <c r="O181" s="20" t="inlineStr">
        <is>
          <t>BgPweETz2zvN6NWDn8PoZbjSatwn75UQVqLNgdmJRhcp</t>
        </is>
      </c>
      <c r="P181" s="20">
        <f>HYPERLINK("https://photon-sol.tinyastro.io/en/lp/BgPweETz2zvN6NWDn8PoZbjSatwn75UQVqLNgdmJRhcp?handle=676050794bc1b1657a56b", "View")</f>
        <v/>
      </c>
    </row>
    <row r="182">
      <c r="A182" s="15" t="inlineStr">
        <is>
          <t xml:space="preserve">Swampy </t>
        </is>
      </c>
      <c r="B182" s="16" t="n">
        <v>127019321</v>
      </c>
      <c r="C182" s="16" t="n">
        <v>127019321</v>
      </c>
      <c r="D182" s="16" t="inlineStr">
        <is>
          <t>0.000020</t>
        </is>
      </c>
      <c r="E182" s="16" t="inlineStr">
        <is>
          <t>5.097 SOL</t>
        </is>
      </c>
      <c r="F182" s="16" t="inlineStr">
        <is>
          <t>6.379 SOL</t>
        </is>
      </c>
      <c r="G182" s="22" t="inlineStr">
        <is>
          <t>1.282 SOL</t>
        </is>
      </c>
      <c r="H182" s="22" t="inlineStr">
        <is>
          <t>25.15%</t>
        </is>
      </c>
      <c r="I182" s="16" t="inlineStr">
        <is>
          <t>N/A</t>
        </is>
      </c>
      <c r="J182" s="16" t="n">
        <v>1</v>
      </c>
      <c r="K182" s="16" t="n">
        <v>1</v>
      </c>
      <c r="L182" s="16" t="inlineStr">
        <is>
          <t>17.10.2024 14:58:54</t>
        </is>
      </c>
      <c r="M182" s="16" t="inlineStr">
        <is>
          <t>10 min</t>
        </is>
      </c>
      <c r="N182" s="16" t="inlineStr">
        <is>
          <t xml:space="preserve">          7K             9K             5K</t>
        </is>
      </c>
      <c r="O182" s="16" t="inlineStr">
        <is>
          <t>FKf63NTAXVH6LTHoDSuVphvtQoBQVTGY9unmjd7ppump</t>
        </is>
      </c>
      <c r="P182" s="16">
        <f>HYPERLINK("https://photon-sol.tinyastro.io/en/lp/FKf63NTAXVH6LTHoDSuVphvtQoBQVTGY9unmjd7ppump?handle=676050794bc1b1657a56b", "View")</f>
        <v/>
      </c>
    </row>
    <row r="183">
      <c r="A183" s="19" t="inlineStr">
        <is>
          <t>IYKWIM</t>
        </is>
      </c>
      <c r="B183" s="20" t="n">
        <v>153285714</v>
      </c>
      <c r="C183" s="20" t="n">
        <v>153285714</v>
      </c>
      <c r="D183" s="20" t="inlineStr">
        <is>
          <t>0.000020</t>
        </is>
      </c>
      <c r="E183" s="20" t="inlineStr">
        <is>
          <t>5.097 SOL</t>
        </is>
      </c>
      <c r="F183" s="20" t="inlineStr">
        <is>
          <t>7.338 SOL</t>
        </is>
      </c>
      <c r="G183" s="22" t="inlineStr">
        <is>
          <t>2.241 SOL</t>
        </is>
      </c>
      <c r="H183" s="22" t="inlineStr">
        <is>
          <t>43.96%</t>
        </is>
      </c>
      <c r="I183" s="20" t="inlineStr">
        <is>
          <t>N/A</t>
        </is>
      </c>
      <c r="J183" s="20" t="n">
        <v>1</v>
      </c>
      <c r="K183" s="20" t="n">
        <v>1</v>
      </c>
      <c r="L183" s="20" t="inlineStr">
        <is>
          <t>17.10.2024 09:03:40</t>
        </is>
      </c>
      <c r="M183" s="18" t="inlineStr">
        <is>
          <t>32 sec</t>
        </is>
      </c>
      <c r="N183" s="20" t="inlineStr">
        <is>
          <t xml:space="preserve">          5K             9K             5K</t>
        </is>
      </c>
      <c r="O183" s="20" t="inlineStr">
        <is>
          <t>BHfxGWT3KRnuvsWYerr5DWrHkCQ6P5b3Zo8cWmjapump</t>
        </is>
      </c>
      <c r="P183" s="20">
        <f>HYPERLINK("https://photon-sol.tinyastro.io/en/lp/BHfxGWT3KRnuvsWYerr5DWrHkCQ6P5b3Zo8cWmjapump?handle=676050794bc1b1657a56b", "View")</f>
        <v/>
      </c>
    </row>
    <row r="184">
      <c r="A184" s="15" t="inlineStr">
        <is>
          <t>PEPERDIO</t>
        </is>
      </c>
      <c r="B184" s="16" t="n">
        <v>128390955</v>
      </c>
      <c r="C184" s="16" t="n">
        <v>128390955</v>
      </c>
      <c r="D184" s="16" t="inlineStr">
        <is>
          <t>0.000020</t>
        </is>
      </c>
      <c r="E184" s="16" t="inlineStr">
        <is>
          <t>5.097 SOL</t>
        </is>
      </c>
      <c r="F184" s="16" t="inlineStr">
        <is>
          <t>9.626 SOL</t>
        </is>
      </c>
      <c r="G184" s="23" t="inlineStr">
        <is>
          <t>4.529 SOL</t>
        </is>
      </c>
      <c r="H184" s="23" t="inlineStr">
        <is>
          <t>88.86%</t>
        </is>
      </c>
      <c r="I184" s="16" t="inlineStr">
        <is>
          <t>N/A</t>
        </is>
      </c>
      <c r="J184" s="16" t="n">
        <v>1</v>
      </c>
      <c r="K184" s="16" t="n">
        <v>1</v>
      </c>
      <c r="L184" s="16" t="inlineStr">
        <is>
          <t>17.10.2024 08:46:05</t>
        </is>
      </c>
      <c r="M184" s="18" t="inlineStr">
        <is>
          <t>20 sec</t>
        </is>
      </c>
      <c r="N184" s="16" t="inlineStr">
        <is>
          <t xml:space="preserve">          7K            12K             5K</t>
        </is>
      </c>
      <c r="O184" s="16" t="inlineStr">
        <is>
          <t>Hm9UoqmU2dK1W974yCV2dDtsjtojtNU5BqoqY1mrpump</t>
        </is>
      </c>
      <c r="P184" s="16">
        <f>HYPERLINK("https://photon-sol.tinyastro.io/en/lp/Hm9UoqmU2dK1W974yCV2dDtsjtojtNU5BqoqY1mrpump?handle=676050794bc1b1657a56b", "View")</f>
        <v/>
      </c>
    </row>
    <row r="185">
      <c r="A185" s="19" t="inlineStr">
        <is>
          <t>Tdeck</t>
        </is>
      </c>
      <c r="B185" s="20" t="n">
        <v>262149305</v>
      </c>
      <c r="C185" s="20" t="n">
        <v>262149305</v>
      </c>
      <c r="D185" s="20" t="inlineStr">
        <is>
          <t>0.000020</t>
        </is>
      </c>
      <c r="E185" s="20" t="inlineStr">
        <is>
          <t>10.192 SOL</t>
        </is>
      </c>
      <c r="F185" s="20" t="inlineStr">
        <is>
          <t>13.054 SOL</t>
        </is>
      </c>
      <c r="G185" s="22" t="inlineStr">
        <is>
          <t>2.862 SOL</t>
        </is>
      </c>
      <c r="H185" s="22" t="inlineStr">
        <is>
          <t>28.08%</t>
        </is>
      </c>
      <c r="I185" s="20" t="inlineStr">
        <is>
          <t>N/A</t>
        </is>
      </c>
      <c r="J185" s="20" t="n">
        <v>1</v>
      </c>
      <c r="K185" s="20" t="n">
        <v>1</v>
      </c>
      <c r="L185" s="20" t="inlineStr">
        <is>
          <t>17.10.2024 08:44:25</t>
        </is>
      </c>
      <c r="M185" s="18" t="inlineStr">
        <is>
          <t>17 sec</t>
        </is>
      </c>
      <c r="N185" s="20" t="inlineStr">
        <is>
          <t xml:space="preserve">          7K             9K             5K</t>
        </is>
      </c>
      <c r="O185" s="20" t="inlineStr">
        <is>
          <t>FZoQ1WKz3GRT9VUEYzsEGcVURCrUaubGQueJQPhrpump</t>
        </is>
      </c>
      <c r="P185" s="20">
        <f>HYPERLINK("https://photon-sol.tinyastro.io/en/lp/FZoQ1WKz3GRT9VUEYzsEGcVURCrUaubGQueJQPhrpump?handle=676050794bc1b1657a56b", "View")</f>
        <v/>
      </c>
    </row>
    <row r="186">
      <c r="A186" s="15" t="inlineStr">
        <is>
          <t>PEAK</t>
        </is>
      </c>
      <c r="B186" s="16" t="n">
        <v>38760940</v>
      </c>
      <c r="C186" s="16" t="n">
        <v>38760940</v>
      </c>
      <c r="D186" s="16" t="inlineStr">
        <is>
          <t>0.000040</t>
        </is>
      </c>
      <c r="E186" s="16" t="inlineStr">
        <is>
          <t>7.000 SOL</t>
        </is>
      </c>
      <c r="F186" s="16" t="inlineStr">
        <is>
          <t>15.318 SOL</t>
        </is>
      </c>
      <c r="G186" s="23" t="inlineStr">
        <is>
          <t>8.318 SOL</t>
        </is>
      </c>
      <c r="H186" s="23" t="inlineStr">
        <is>
          <t>118.83%</t>
        </is>
      </c>
      <c r="I186" s="16" t="inlineStr">
        <is>
          <t>N/A</t>
        </is>
      </c>
      <c r="J186" s="16" t="n">
        <v>3</v>
      </c>
      <c r="K186" s="16" t="n">
        <v>1</v>
      </c>
      <c r="L186" s="16" t="inlineStr">
        <is>
          <t>17.10.2024 08:17:11</t>
        </is>
      </c>
      <c r="M186" s="16" t="inlineStr">
        <is>
          <t>1 hours</t>
        </is>
      </c>
      <c r="N186" s="16" t="inlineStr">
        <is>
          <t xml:space="preserve">         25K            33K            31K</t>
        </is>
      </c>
      <c r="O186" s="16" t="inlineStr">
        <is>
          <t>DjMzWzcJLEsBXeKsdXi8goyFYUJ8si1vfHrfouTJpump</t>
        </is>
      </c>
      <c r="P186" s="16">
        <f>HYPERLINK("https://dexscreener.com/solana/DjMzWzcJLEsBXeKsdXi8goyFYUJ8si1vfHrfouTJpump", "View")</f>
        <v/>
      </c>
    </row>
    <row r="187">
      <c r="A187" s="19" t="inlineStr">
        <is>
          <t>Bambu</t>
        </is>
      </c>
      <c r="B187" s="20" t="n">
        <v>17042970</v>
      </c>
      <c r="C187" s="20" t="n">
        <v>17042970</v>
      </c>
      <c r="D187" s="20" t="inlineStr">
        <is>
          <t>0.000020</t>
        </is>
      </c>
      <c r="E187" s="20" t="inlineStr">
        <is>
          <t>15.000 SOL</t>
        </is>
      </c>
      <c r="F187" s="20" t="inlineStr">
        <is>
          <t>15.262 SOL</t>
        </is>
      </c>
      <c r="G187" s="22" t="inlineStr">
        <is>
          <t>0.262 SOL</t>
        </is>
      </c>
      <c r="H187" s="22" t="inlineStr">
        <is>
          <t>1.75%</t>
        </is>
      </c>
      <c r="I187" s="20" t="inlineStr">
        <is>
          <t>N/A</t>
        </is>
      </c>
      <c r="J187" s="20" t="n">
        <v>1</v>
      </c>
      <c r="K187" s="20" t="n">
        <v>1</v>
      </c>
      <c r="L187" s="20" t="inlineStr">
        <is>
          <t>17.10.2024 06:56:15</t>
        </is>
      </c>
      <c r="M187" s="20" t="inlineStr">
        <is>
          <t>7 min</t>
        </is>
      </c>
      <c r="N187" s="20" t="inlineStr">
        <is>
          <t xml:space="preserve">        154K           158K             6K</t>
        </is>
      </c>
      <c r="O187" s="20" t="inlineStr">
        <is>
          <t>6N1Uz7QB9d7SpFbETtsHjx3TJaN2ZwdVodXmUYrtpump</t>
        </is>
      </c>
      <c r="P187" s="20">
        <f>HYPERLINK("https://dexscreener.com/solana/6N1Uz7QB9d7SpFbETtsHjx3TJaN2ZwdVodXmUYrtpump", "View")</f>
        <v/>
      </c>
    </row>
    <row r="188">
      <c r="A188" s="15" t="inlineStr">
        <is>
          <t>built</t>
        </is>
      </c>
      <c r="B188" s="16" t="n">
        <v>15920774</v>
      </c>
      <c r="C188" s="16" t="n">
        <v>15920774</v>
      </c>
      <c r="D188" s="16" t="inlineStr">
        <is>
          <t>0.000030</t>
        </is>
      </c>
      <c r="E188" s="16" t="inlineStr">
        <is>
          <t>2.000 SOL</t>
        </is>
      </c>
      <c r="F188" s="16" t="inlineStr">
        <is>
          <t>2.657 SOL</t>
        </is>
      </c>
      <c r="G188" s="22" t="inlineStr">
        <is>
          <t>0.657 SOL</t>
        </is>
      </c>
      <c r="H188" s="22" t="inlineStr">
        <is>
          <t>32.87%</t>
        </is>
      </c>
      <c r="I188" s="16" t="inlineStr">
        <is>
          <t>N/A</t>
        </is>
      </c>
      <c r="J188" s="16" t="n">
        <v>2</v>
      </c>
      <c r="K188" s="16" t="n">
        <v>1</v>
      </c>
      <c r="L188" s="16" t="inlineStr">
        <is>
          <t>17.10.2024 06:47:05</t>
        </is>
      </c>
      <c r="M188" s="16" t="inlineStr">
        <is>
          <t>27 min</t>
        </is>
      </c>
      <c r="N188" s="16" t="inlineStr">
        <is>
          <t xml:space="preserve">         18K            30K             4K</t>
        </is>
      </c>
      <c r="O188" s="16" t="inlineStr">
        <is>
          <t>AV2FGQwm6edpX1istNtJ6Nt2Nfgvr5tjrKM2SSVjpump</t>
        </is>
      </c>
      <c r="P188" s="16">
        <f>HYPERLINK("https://dexscreener.com/solana/AV2FGQwm6edpX1istNtJ6Nt2Nfgvr5tjrKM2SSVjpump", "View")</f>
        <v/>
      </c>
    </row>
    <row r="189">
      <c r="A189" s="19" t="inlineStr">
        <is>
          <t>dogana</t>
        </is>
      </c>
      <c r="B189" s="20" t="n">
        <v>33089092</v>
      </c>
      <c r="C189" s="20" t="n">
        <v>33089092</v>
      </c>
      <c r="D189" s="20" t="inlineStr">
        <is>
          <t>0.000020</t>
        </is>
      </c>
      <c r="E189" s="20" t="inlineStr">
        <is>
          <t>5.254 SOL</t>
        </is>
      </c>
      <c r="F189" s="20" t="inlineStr">
        <is>
          <t>5.829 SOL</t>
        </is>
      </c>
      <c r="G189" s="22" t="inlineStr">
        <is>
          <t>0.575 SOL</t>
        </is>
      </c>
      <c r="H189" s="22" t="inlineStr">
        <is>
          <t>10.94%</t>
        </is>
      </c>
      <c r="I189" s="20" t="inlineStr">
        <is>
          <t>N/A</t>
        </is>
      </c>
      <c r="J189" s="20" t="n">
        <v>1</v>
      </c>
      <c r="K189" s="20" t="n">
        <v>1</v>
      </c>
      <c r="L189" s="20" t="inlineStr">
        <is>
          <t>17.10.2024 06:40:41</t>
        </is>
      </c>
      <c r="M189" s="20" t="inlineStr">
        <is>
          <t>3 min</t>
        </is>
      </c>
      <c r="N189" s="20" t="inlineStr">
        <is>
          <t xml:space="preserve">         28K            32K             6K</t>
        </is>
      </c>
      <c r="O189" s="20" t="inlineStr">
        <is>
          <t>9ZMRdUw79BZ2b6Qqw6PMAsLquNFpeiWStGRJS1Y2pump</t>
        </is>
      </c>
      <c r="P189" s="20">
        <f>HYPERLINK("https://photon-sol.tinyastro.io/en/lp/9ZMRdUw79BZ2b6Qqw6PMAsLquNFpeiWStGRJS1Y2pump?handle=676050794bc1b1657a56b", "View")</f>
        <v/>
      </c>
    </row>
    <row r="190">
      <c r="A190" s="15" t="inlineStr">
        <is>
          <t>mdma</t>
        </is>
      </c>
      <c r="B190" s="16" t="n">
        <v>84104821</v>
      </c>
      <c r="C190" s="16" t="n">
        <v>84104821</v>
      </c>
      <c r="D190" s="16" t="inlineStr">
        <is>
          <t>0.000020</t>
        </is>
      </c>
      <c r="E190" s="16" t="inlineStr">
        <is>
          <t>3.258 SOL</t>
        </is>
      </c>
      <c r="F190" s="16" t="inlineStr">
        <is>
          <t>6.186 SOL</t>
        </is>
      </c>
      <c r="G190" s="23" t="inlineStr">
        <is>
          <t>2.928 SOL</t>
        </is>
      </c>
      <c r="H190" s="23" t="inlineStr">
        <is>
          <t>89.87%</t>
        </is>
      </c>
      <c r="I190" s="16" t="inlineStr">
        <is>
          <t>N/A</t>
        </is>
      </c>
      <c r="J190" s="16" t="n">
        <v>1</v>
      </c>
      <c r="K190" s="16" t="n">
        <v>1</v>
      </c>
      <c r="L190" s="16" t="inlineStr">
        <is>
          <t>17.10.2024 06:09:45</t>
        </is>
      </c>
      <c r="M190" s="16" t="inlineStr">
        <is>
          <t>18 min</t>
        </is>
      </c>
      <c r="N190" s="16" t="inlineStr">
        <is>
          <t xml:space="preserve">          7K            12K             5K</t>
        </is>
      </c>
      <c r="O190" s="16" t="inlineStr">
        <is>
          <t>DAFYSXp2UaYsQNNxkEvJMB4tG2mdQacQbum2pCBdpump</t>
        </is>
      </c>
      <c r="P190" s="16">
        <f>HYPERLINK("https://photon-sol.tinyastro.io/en/lp/DAFYSXp2UaYsQNNxkEvJMB4tG2mdQacQbum2pCBdpump?handle=676050794bc1b1657a56b", "View")</f>
        <v/>
      </c>
    </row>
    <row r="191">
      <c r="A191" s="19" t="inlineStr">
        <is>
          <t>PumpkinCat</t>
        </is>
      </c>
      <c r="B191" s="20" t="n">
        <v>245788318</v>
      </c>
      <c r="C191" s="20" t="n">
        <v>245788318</v>
      </c>
      <c r="D191" s="20" t="inlineStr">
        <is>
          <t>0.000020</t>
        </is>
      </c>
      <c r="E191" s="20" t="inlineStr">
        <is>
          <t>10.192 SOL</t>
        </is>
      </c>
      <c r="F191" s="20" t="inlineStr">
        <is>
          <t>12.952 SOL</t>
        </is>
      </c>
      <c r="G191" s="22" t="inlineStr">
        <is>
          <t>2.760 SOL</t>
        </is>
      </c>
      <c r="H191" s="22" t="inlineStr">
        <is>
          <t>27.08%</t>
        </is>
      </c>
      <c r="I191" s="20" t="inlineStr">
        <is>
          <t>N/A</t>
        </is>
      </c>
      <c r="J191" s="20" t="n">
        <v>1</v>
      </c>
      <c r="K191" s="20" t="n">
        <v>1</v>
      </c>
      <c r="L191" s="20" t="inlineStr">
        <is>
          <t>17.10.2024 05:35:37</t>
        </is>
      </c>
      <c r="M191" s="18" t="inlineStr">
        <is>
          <t>13 sec</t>
        </is>
      </c>
      <c r="N191" s="20" t="inlineStr">
        <is>
          <t xml:space="preserve">          7K             9K            11K</t>
        </is>
      </c>
      <c r="O191" s="20" t="inlineStr">
        <is>
          <t>457AAMBTifCBTjSs4yeqAydxbCWunHGvMbbQ5NwGGJ3m</t>
        </is>
      </c>
      <c r="P191" s="20">
        <f>HYPERLINK("https://photon-sol.tinyastro.io/en/lp/457AAMBTifCBTjSs4yeqAydxbCWunHGvMbbQ5NwGGJ3m?handle=676050794bc1b1657a56b", "View")</f>
        <v/>
      </c>
    </row>
    <row r="192">
      <c r="A192" s="15" t="inlineStr">
        <is>
          <t>bye</t>
        </is>
      </c>
      <c r="B192" s="16" t="n">
        <v>148340663</v>
      </c>
      <c r="C192" s="16" t="n">
        <v>148340663</v>
      </c>
      <c r="D192" s="16" t="inlineStr">
        <is>
          <t>0.000020</t>
        </is>
      </c>
      <c r="E192" s="16" t="inlineStr">
        <is>
          <t>5.097 SOL</t>
        </is>
      </c>
      <c r="F192" s="16" t="inlineStr">
        <is>
          <t>7.263 SOL</t>
        </is>
      </c>
      <c r="G192" s="22" t="inlineStr">
        <is>
          <t>2.166 SOL</t>
        </is>
      </c>
      <c r="H192" s="22" t="inlineStr">
        <is>
          <t>42.49%</t>
        </is>
      </c>
      <c r="I192" s="16" t="inlineStr">
        <is>
          <t>N/A</t>
        </is>
      </c>
      <c r="J192" s="16" t="n">
        <v>1</v>
      </c>
      <c r="K192" s="16" t="n">
        <v>1</v>
      </c>
      <c r="L192" s="16" t="inlineStr">
        <is>
          <t>17.10.2024 05:34:11</t>
        </is>
      </c>
      <c r="M192" s="16" t="inlineStr">
        <is>
          <t>4 min</t>
        </is>
      </c>
      <c r="N192" s="16" t="inlineStr">
        <is>
          <t xml:space="preserve">          5K             9K             5K</t>
        </is>
      </c>
      <c r="O192" s="16" t="inlineStr">
        <is>
          <t>81YQc2XgwBckepimv7DphcAN77NZYbgxYy5erkkpump</t>
        </is>
      </c>
      <c r="P192" s="16">
        <f>HYPERLINK("https://photon-sol.tinyastro.io/en/lp/81YQc2XgwBckepimv7DphcAN77NZYbgxYy5erkkpump?handle=676050794bc1b1657a56b", "View")</f>
        <v/>
      </c>
    </row>
    <row r="193">
      <c r="A193" s="19" t="inlineStr">
        <is>
          <t>BITCOINMP4</t>
        </is>
      </c>
      <c r="B193" s="20" t="n">
        <v>9295233</v>
      </c>
      <c r="C193" s="20" t="n">
        <v>9295233</v>
      </c>
      <c r="D193" s="20" t="inlineStr">
        <is>
          <t>0.000020</t>
        </is>
      </c>
      <c r="E193" s="20" t="inlineStr">
        <is>
          <t>0.397 SOL</t>
        </is>
      </c>
      <c r="F193" s="20" t="inlineStr">
        <is>
          <t>0.376 SOL</t>
        </is>
      </c>
      <c r="G193" s="21" t="inlineStr">
        <is>
          <t>-0.021 SOL</t>
        </is>
      </c>
      <c r="H193" s="21" t="inlineStr">
        <is>
          <t>-5.39%</t>
        </is>
      </c>
      <c r="I193" s="20" t="inlineStr">
        <is>
          <t>N/A</t>
        </is>
      </c>
      <c r="J193" s="20" t="n">
        <v>1</v>
      </c>
      <c r="K193" s="20" t="n">
        <v>1</v>
      </c>
      <c r="L193" s="20" t="inlineStr">
        <is>
          <t>16.10.2024 18:06:59</t>
        </is>
      </c>
      <c r="M193" s="20" t="inlineStr">
        <is>
          <t>4 min</t>
        </is>
      </c>
      <c r="N193" s="20" t="inlineStr">
        <is>
          <t xml:space="preserve">        N/A           N/A           N/A</t>
        </is>
      </c>
      <c r="O193" s="20" t="inlineStr">
        <is>
          <t>2At8bmRykfd8CGbVYkpaZ46SoLPJzwbvLjHKn3p1pump</t>
        </is>
      </c>
      <c r="P193" s="20">
        <f>HYPERLINK("https://photon-sol.tinyastro.io/en/lp/2At8bmRykfd8CGbVYkpaZ46SoLPJzwbvLjHKn3p1pump?handle=676050794bc1b1657a56b", "View")</f>
        <v/>
      </c>
    </row>
    <row r="194">
      <c r="A194" s="15" t="inlineStr">
        <is>
          <t>ARF</t>
        </is>
      </c>
      <c r="B194" s="16" t="n">
        <v>23052699</v>
      </c>
      <c r="C194" s="16" t="n">
        <v>23052699</v>
      </c>
      <c r="D194" s="16" t="inlineStr">
        <is>
          <t>0.007520</t>
        </is>
      </c>
      <c r="E194" s="16" t="inlineStr">
        <is>
          <t>1.283 SOL</t>
        </is>
      </c>
      <c r="F194" s="16" t="inlineStr">
        <is>
          <t>1.125 SOL</t>
        </is>
      </c>
      <c r="G194" s="21" t="inlineStr">
        <is>
          <t>-0.166 SOL</t>
        </is>
      </c>
      <c r="H194" s="21" t="inlineStr">
        <is>
          <t>-12.86%</t>
        </is>
      </c>
      <c r="I194" s="16" t="inlineStr">
        <is>
          <t>N/A</t>
        </is>
      </c>
      <c r="J194" s="16" t="n">
        <v>1</v>
      </c>
      <c r="K194" s="16" t="n">
        <v>1</v>
      </c>
      <c r="L194" s="16" t="inlineStr">
        <is>
          <t>16.10.2024 18:01:12</t>
        </is>
      </c>
      <c r="M194" s="16" t="inlineStr">
        <is>
          <t>10 min</t>
        </is>
      </c>
      <c r="N194" s="16" t="inlineStr">
        <is>
          <t xml:space="preserve">        N/A           N/A           N/A</t>
        </is>
      </c>
      <c r="O194" s="16" t="inlineStr">
        <is>
          <t>CaaDZPSCPX9apqHpN2YYCSYMSeaFUSUs67ouBdNZpump</t>
        </is>
      </c>
      <c r="P194" s="16">
        <f>HYPERLINK("https://photon-sol.tinyastro.io/en/lp/CaaDZPSCPX9apqHpN2YYCSYMSeaFUSUs67ouBdNZpump?handle=676050794bc1b1657a56b", "View")</f>
        <v/>
      </c>
    </row>
    <row r="195">
      <c r="A195" s="19" t="inlineStr">
        <is>
          <t>🐅</t>
        </is>
      </c>
      <c r="B195" s="20" t="n">
        <v>15626337</v>
      </c>
      <c r="C195" s="20" t="n">
        <v>15626337</v>
      </c>
      <c r="D195" s="20" t="inlineStr">
        <is>
          <t>0.015020</t>
        </is>
      </c>
      <c r="E195" s="20" t="inlineStr">
        <is>
          <t>6.000 SOL</t>
        </is>
      </c>
      <c r="F195" s="20" t="inlineStr">
        <is>
          <t>4.289 SOL</t>
        </is>
      </c>
      <c r="G195" s="21" t="inlineStr">
        <is>
          <t>-1.726 SOL</t>
        </is>
      </c>
      <c r="H195" s="21" t="inlineStr">
        <is>
          <t>-28.70%</t>
        </is>
      </c>
      <c r="I195" s="20" t="inlineStr">
        <is>
          <t>N/A</t>
        </is>
      </c>
      <c r="J195" s="20" t="n">
        <v>2</v>
      </c>
      <c r="K195" s="20" t="n">
        <v>1</v>
      </c>
      <c r="L195" s="20" t="inlineStr">
        <is>
          <t>16.10.2024 17:46:59</t>
        </is>
      </c>
      <c r="M195" s="20" t="inlineStr">
        <is>
          <t>3 min</t>
        </is>
      </c>
      <c r="N195" s="20" t="inlineStr">
        <is>
          <t xml:space="preserve">         67K            47K             5K</t>
        </is>
      </c>
      <c r="O195" s="20" t="inlineStr">
        <is>
          <t>FKYNFjXJLRYXMMGPvb95ZAEec21RQNQp1MxTJJ8mpump</t>
        </is>
      </c>
      <c r="P195" s="20">
        <f>HYPERLINK("https://dexscreener.com/solana/FKYNFjXJLRYXMMGPvb95ZAEec21RQNQp1MxTJJ8mpump", "View")</f>
        <v/>
      </c>
    </row>
    <row r="196">
      <c r="A196" s="15" t="inlineStr">
        <is>
          <t>Chloe</t>
        </is>
      </c>
      <c r="B196" s="16" t="n">
        <v>8893886</v>
      </c>
      <c r="C196" s="16" t="n">
        <v>8893886</v>
      </c>
      <c r="D196" s="16" t="inlineStr">
        <is>
          <t>0.007520</t>
        </is>
      </c>
      <c r="E196" s="16" t="inlineStr">
        <is>
          <t>15.000 SOL</t>
        </is>
      </c>
      <c r="F196" s="16" t="inlineStr">
        <is>
          <t>13.327 SOL</t>
        </is>
      </c>
      <c r="G196" s="21" t="inlineStr">
        <is>
          <t>-1.680 SOL</t>
        </is>
      </c>
      <c r="H196" s="21" t="inlineStr">
        <is>
          <t>-11.20%</t>
        </is>
      </c>
      <c r="I196" s="16" t="inlineStr">
        <is>
          <t>N/A</t>
        </is>
      </c>
      <c r="J196" s="16" t="n">
        <v>1</v>
      </c>
      <c r="K196" s="16" t="n">
        <v>1</v>
      </c>
      <c r="L196" s="16" t="inlineStr">
        <is>
          <t>16.10.2024 06:44:04</t>
        </is>
      </c>
      <c r="M196" s="16" t="inlineStr">
        <is>
          <t>9 min</t>
        </is>
      </c>
      <c r="N196" s="16" t="inlineStr">
        <is>
          <t xml:space="preserve">        292K           259K            58K</t>
        </is>
      </c>
      <c r="O196" s="16" t="inlineStr">
        <is>
          <t>7M3ieFsS397J924iPZUHZT4vkX5mVpueoVB5RbzTpump</t>
        </is>
      </c>
      <c r="P196" s="16">
        <f>HYPERLINK("https://dexscreener.com/solana/7M3ieFsS397J924iPZUHZT4vkX5mVpueoVB5RbzTpump", "View")</f>
        <v/>
      </c>
    </row>
    <row r="197">
      <c r="A197" s="19" t="inlineStr">
        <is>
          <t>schizo</t>
        </is>
      </c>
      <c r="B197" s="20" t="n">
        <v>5361579</v>
      </c>
      <c r="C197" s="20" t="n">
        <v>5361579</v>
      </c>
      <c r="D197" s="20" t="inlineStr">
        <is>
          <t>0.007530</t>
        </is>
      </c>
      <c r="E197" s="20" t="inlineStr">
        <is>
          <t>40.000 SOL</t>
        </is>
      </c>
      <c r="F197" s="20" t="inlineStr">
        <is>
          <t>50.824 SOL</t>
        </is>
      </c>
      <c r="G197" s="22" t="inlineStr">
        <is>
          <t>10.817 SOL</t>
        </is>
      </c>
      <c r="H197" s="22" t="inlineStr">
        <is>
          <t>27.04%</t>
        </is>
      </c>
      <c r="I197" s="20" t="inlineStr">
        <is>
          <t>N/A</t>
        </is>
      </c>
      <c r="J197" s="20" t="n">
        <v>1</v>
      </c>
      <c r="K197" s="20" t="n">
        <v>2</v>
      </c>
      <c r="L197" s="20" t="inlineStr">
        <is>
          <t>16.10.2024 05:35:51</t>
        </is>
      </c>
      <c r="M197" s="20" t="inlineStr">
        <is>
          <t>14 min</t>
        </is>
      </c>
      <c r="N197" s="20" t="inlineStr">
        <is>
          <t xml:space="preserve">          1M             2M           719K</t>
        </is>
      </c>
      <c r="O197" s="20" t="inlineStr">
        <is>
          <t>8sWKTMrh9bWUrvykK4H3jzEzGbEqvJNpS2f7joYKpump</t>
        </is>
      </c>
      <c r="P197" s="20">
        <f>HYPERLINK("https://dexscreener.com/solana/8sWKTMrh9bWUrvykK4H3jzEzGbEqvJNpS2f7joYKpump", "View")</f>
        <v/>
      </c>
    </row>
    <row r="198">
      <c r="A198" s="15" t="inlineStr">
        <is>
          <t>SHOT</t>
        </is>
      </c>
      <c r="B198" s="16" t="n">
        <v>41705624</v>
      </c>
      <c r="C198" s="16" t="n">
        <v>41705624</v>
      </c>
      <c r="D198" s="16" t="inlineStr">
        <is>
          <t>0.007550</t>
        </is>
      </c>
      <c r="E198" s="16" t="inlineStr">
        <is>
          <t>15.000 SOL</t>
        </is>
      </c>
      <c r="F198" s="16" t="inlineStr">
        <is>
          <t>13.400 SOL</t>
        </is>
      </c>
      <c r="G198" s="21" t="inlineStr">
        <is>
          <t>-1.607 SOL</t>
        </is>
      </c>
      <c r="H198" s="21" t="inlineStr">
        <is>
          <t>-10.71%</t>
        </is>
      </c>
      <c r="I198" s="16" t="inlineStr">
        <is>
          <t>N/A</t>
        </is>
      </c>
      <c r="J198" s="16" t="n">
        <v>3</v>
      </c>
      <c r="K198" s="16" t="n">
        <v>2</v>
      </c>
      <c r="L198" s="16" t="inlineStr">
        <is>
          <t>16.10.2024 04:46:40</t>
        </is>
      </c>
      <c r="M198" s="16" t="inlineStr">
        <is>
          <t>31 min</t>
        </is>
      </c>
      <c r="N198" s="16" t="inlineStr">
        <is>
          <t xml:space="preserve">         63K            60K             4K</t>
        </is>
      </c>
      <c r="O198" s="16" t="inlineStr">
        <is>
          <t>6wwQFjDVeoSVmN8gur6tobv8QpXBhSx3YYmQXZcppump</t>
        </is>
      </c>
      <c r="P198" s="16">
        <f>HYPERLINK("https://dexscreener.com/solana/6wwQFjDVeoSVmN8gur6tobv8QpXBhSx3YYmQXZcppump", "View")</f>
        <v/>
      </c>
    </row>
    <row r="199">
      <c r="A199" s="19" t="inlineStr">
        <is>
          <t>WLFI</t>
        </is>
      </c>
      <c r="B199" s="20" t="n">
        <v>6538858</v>
      </c>
      <c r="C199" s="20" t="n">
        <v>6538858</v>
      </c>
      <c r="D199" s="20" t="inlineStr">
        <is>
          <t>0.000020</t>
        </is>
      </c>
      <c r="E199" s="20" t="inlineStr">
        <is>
          <t>3.000 SOL</t>
        </is>
      </c>
      <c r="F199" s="20" t="inlineStr">
        <is>
          <t>0.653 SOL</t>
        </is>
      </c>
      <c r="G199" s="24" t="inlineStr">
        <is>
          <t>-2.347 SOL</t>
        </is>
      </c>
      <c r="H199" s="24" t="inlineStr">
        <is>
          <t>-78.25%</t>
        </is>
      </c>
      <c r="I199" s="20" t="inlineStr">
        <is>
          <t>N/A</t>
        </is>
      </c>
      <c r="J199" s="20" t="n">
        <v>1</v>
      </c>
      <c r="K199" s="20" t="n">
        <v>1</v>
      </c>
      <c r="L199" s="20" t="inlineStr">
        <is>
          <t>16.10.2024 04:15:00</t>
        </is>
      </c>
      <c r="M199" s="20" t="inlineStr">
        <is>
          <t>4 hours</t>
        </is>
      </c>
      <c r="N199" s="20" t="inlineStr">
        <is>
          <t xml:space="preserve">         81K            81K             7K</t>
        </is>
      </c>
      <c r="O199" s="20" t="inlineStr">
        <is>
          <t>Cq16t8jRSxtQDcPyANothLYemBDkN6SVKjqSDZ99pump</t>
        </is>
      </c>
      <c r="P199" s="20">
        <f>HYPERLINK("https://dexscreener.com/solana/Cq16t8jRSxtQDcPyANothLYemBDkN6SVKjqSDZ99pump", "View")</f>
        <v/>
      </c>
    </row>
    <row r="200">
      <c r="A200" s="15" t="inlineStr">
        <is>
          <t>CELFIE</t>
        </is>
      </c>
      <c r="B200" s="16" t="n">
        <v>268250000</v>
      </c>
      <c r="C200" s="16" t="n">
        <v>268250000</v>
      </c>
      <c r="D200" s="16" t="inlineStr">
        <is>
          <t>0.000020</t>
        </is>
      </c>
      <c r="E200" s="16" t="inlineStr">
        <is>
          <t>10.192 SOL</t>
        </is>
      </c>
      <c r="F200" s="16" t="inlineStr">
        <is>
          <t>13.502 SOL</t>
        </is>
      </c>
      <c r="G200" s="22" t="inlineStr">
        <is>
          <t>3.310 SOL</t>
        </is>
      </c>
      <c r="H200" s="22" t="inlineStr">
        <is>
          <t>32.48%</t>
        </is>
      </c>
      <c r="I200" s="16" t="inlineStr">
        <is>
          <t>N/A</t>
        </is>
      </c>
      <c r="J200" s="16" t="n">
        <v>1</v>
      </c>
      <c r="K200" s="16" t="n">
        <v>1</v>
      </c>
      <c r="L200" s="16" t="inlineStr">
        <is>
          <t>15.10.2024 19:31:27</t>
        </is>
      </c>
      <c r="M200" s="18" t="inlineStr">
        <is>
          <t>36 sec</t>
        </is>
      </c>
      <c r="N200" s="16" t="inlineStr">
        <is>
          <t xml:space="preserve">        N/A           N/A           N/A</t>
        </is>
      </c>
      <c r="O200" s="16" t="inlineStr">
        <is>
          <t>qE1ACNkHLNABmnCzy9EuZhHerKBztgxVvUurnyUpump</t>
        </is>
      </c>
      <c r="P200" s="16">
        <f>HYPERLINK("https://photon-sol.tinyastro.io/en/lp/qE1ACNkHLNABmnCzy9EuZhHerKBztgxVvUurnyUpump?handle=676050794bc1b1657a56b", "View")</f>
        <v/>
      </c>
    </row>
    <row r="201">
      <c r="A201" s="19" t="inlineStr">
        <is>
          <t xml:space="preserve">numogram </t>
        </is>
      </c>
      <c r="B201" s="20" t="n">
        <v>74291791</v>
      </c>
      <c r="C201" s="20" t="n">
        <v>74291791</v>
      </c>
      <c r="D201" s="20" t="inlineStr">
        <is>
          <t>0.000020</t>
        </is>
      </c>
      <c r="E201" s="20" t="inlineStr">
        <is>
          <t>10.370 SOL</t>
        </is>
      </c>
      <c r="F201" s="20" t="inlineStr">
        <is>
          <t>12.555 SOL</t>
        </is>
      </c>
      <c r="G201" s="22" t="inlineStr">
        <is>
          <t>2.185 SOL</t>
        </is>
      </c>
      <c r="H201" s="22" t="inlineStr">
        <is>
          <t>21.07%</t>
        </is>
      </c>
      <c r="I201" s="20" t="inlineStr">
        <is>
          <t>N/A</t>
        </is>
      </c>
      <c r="J201" s="20" t="n">
        <v>1</v>
      </c>
      <c r="K201" s="20" t="n">
        <v>1</v>
      </c>
      <c r="L201" s="20" t="inlineStr">
        <is>
          <t>15.10.2024 07:15:18</t>
        </is>
      </c>
      <c r="M201" s="20" t="inlineStr">
        <is>
          <t>1 min</t>
        </is>
      </c>
      <c r="N201" s="20" t="inlineStr">
        <is>
          <t xml:space="preserve">         25K            30K             8K</t>
        </is>
      </c>
      <c r="O201" s="20" t="inlineStr">
        <is>
          <t>GMNDxoWKwjvYvRzznkVjd9KaJ6UAX48JwJmXvcNypump</t>
        </is>
      </c>
      <c r="P201" s="20">
        <f>HYPERLINK("https://photon-sol.tinyastro.io/en/lp/GMNDxoWKwjvYvRzznkVjd9KaJ6UAX48JwJmXvcNypump?handle=676050794bc1b1657a56b", "View")</f>
        <v/>
      </c>
    </row>
    <row r="202">
      <c r="A202" s="15" t="inlineStr">
        <is>
          <t>Joey</t>
        </is>
      </c>
      <c r="B202" s="16" t="n">
        <v>767566284</v>
      </c>
      <c r="C202" s="16" t="n">
        <v>767566284</v>
      </c>
      <c r="D202" s="16" t="inlineStr">
        <is>
          <t>0.000060</t>
        </is>
      </c>
      <c r="E202" s="16" t="inlineStr">
        <is>
          <t>30.572 SOL</t>
        </is>
      </c>
      <c r="F202" s="16" t="inlineStr">
        <is>
          <t>35.471 SOL</t>
        </is>
      </c>
      <c r="G202" s="22" t="inlineStr">
        <is>
          <t>4.899 SOL</t>
        </is>
      </c>
      <c r="H202" s="22" t="inlineStr">
        <is>
          <t>16.02%</t>
        </is>
      </c>
      <c r="I202" s="16" t="inlineStr">
        <is>
          <t>N/A</t>
        </is>
      </c>
      <c r="J202" s="16" t="n">
        <v>3</v>
      </c>
      <c r="K202" s="16" t="n">
        <v>3</v>
      </c>
      <c r="L202" s="16" t="inlineStr">
        <is>
          <t>15.10.2024 06:59:10</t>
        </is>
      </c>
      <c r="M202" s="16" t="inlineStr">
        <is>
          <t>1 hours</t>
        </is>
      </c>
      <c r="N202" s="16" t="inlineStr">
        <is>
          <t xml:space="preserve">        N/A           N/A           N/A</t>
        </is>
      </c>
      <c r="O202" s="16" t="inlineStr">
        <is>
          <t>24E3WKecTpWqCQ3HJWjg4QyfBvX9UoG3of2D2wEopump</t>
        </is>
      </c>
      <c r="P202" s="16">
        <f>HYPERLINK("https://photon-sol.tinyastro.io/en/lp/24E3WKecTpWqCQ3HJWjg4QyfBvX9UoG3of2D2wEopump?handle=676050794bc1b1657a56b", "View")</f>
        <v/>
      </c>
    </row>
    <row r="203">
      <c r="A203" s="19" t="inlineStr">
        <is>
          <t>Lump</t>
        </is>
      </c>
      <c r="B203" s="20" t="n">
        <v>9114613</v>
      </c>
      <c r="C203" s="20" t="n">
        <v>9114613</v>
      </c>
      <c r="D203" s="20" t="inlineStr">
        <is>
          <t>0.000030</t>
        </is>
      </c>
      <c r="E203" s="20" t="inlineStr">
        <is>
          <t>26.000 SOL</t>
        </is>
      </c>
      <c r="F203" s="20" t="inlineStr">
        <is>
          <t>18.201 SOL</t>
        </is>
      </c>
      <c r="G203" s="21" t="inlineStr">
        <is>
          <t>-7.799 SOL</t>
        </is>
      </c>
      <c r="H203" s="21" t="inlineStr">
        <is>
          <t>-30.00%</t>
        </is>
      </c>
      <c r="I203" s="20" t="inlineStr">
        <is>
          <t>N/A</t>
        </is>
      </c>
      <c r="J203" s="20" t="n">
        <v>1</v>
      </c>
      <c r="K203" s="20" t="n">
        <v>2</v>
      </c>
      <c r="L203" s="20" t="inlineStr">
        <is>
          <t>15.10.2024 06:56:48</t>
        </is>
      </c>
      <c r="M203" s="20" t="inlineStr">
        <is>
          <t>7 min</t>
        </is>
      </c>
      <c r="N203" s="20" t="inlineStr">
        <is>
          <t xml:space="preserve">        500K           339K            55K</t>
        </is>
      </c>
      <c r="O203" s="20" t="inlineStr">
        <is>
          <t>CSEkG3mT5P1GUf4HZTHdVk1syKFN6gQWokbZ4jDWpump</t>
        </is>
      </c>
      <c r="P203" s="20">
        <f>HYPERLINK("https://dexscreener.com/solana/CSEkG3mT5P1GUf4HZTHdVk1syKFN6gQWokbZ4jDWpump", "View")</f>
        <v/>
      </c>
    </row>
    <row r="204">
      <c r="A204" s="15" t="inlineStr">
        <is>
          <t>CHAIN</t>
        </is>
      </c>
      <c r="B204" s="16" t="n">
        <v>37824125</v>
      </c>
      <c r="C204" s="16" t="n">
        <v>37824125</v>
      </c>
      <c r="D204" s="16" t="inlineStr">
        <is>
          <t>0.000020</t>
        </is>
      </c>
      <c r="E204" s="16" t="inlineStr">
        <is>
          <t>5.097 SOL</t>
        </is>
      </c>
      <c r="F204" s="16" t="inlineStr">
        <is>
          <t>5.352 SOL</t>
        </is>
      </c>
      <c r="G204" s="22" t="inlineStr">
        <is>
          <t>0.255 SOL</t>
        </is>
      </c>
      <c r="H204" s="22" t="inlineStr">
        <is>
          <t>5.00%</t>
        </is>
      </c>
      <c r="I204" s="16" t="inlineStr">
        <is>
          <t>N/A</t>
        </is>
      </c>
      <c r="J204" s="16" t="n">
        <v>1</v>
      </c>
      <c r="K204" s="16" t="n">
        <v>1</v>
      </c>
      <c r="L204" s="16" t="inlineStr">
        <is>
          <t>15.10.2024 06:04:48</t>
        </is>
      </c>
      <c r="M204" s="16" t="inlineStr">
        <is>
          <t>19 min</t>
        </is>
      </c>
      <c r="N204" s="16" t="inlineStr">
        <is>
          <t xml:space="preserve">         23K            25K             3K</t>
        </is>
      </c>
      <c r="O204" s="16" t="inlineStr">
        <is>
          <t>ChaiNvZ6N3kS6TQ16tYh948DjbZgYuYE5cxrHeabLFpy</t>
        </is>
      </c>
      <c r="P204" s="16">
        <f>HYPERLINK("https://photon-sol.tinyastro.io/en/lp/ChaiNvZ6N3kS6TQ16tYh948DjbZgYuYE5cxrHeabLFpy?handle=676050794bc1b1657a56b", "View")</f>
        <v/>
      </c>
    </row>
    <row r="205">
      <c r="A205" s="19" t="inlineStr">
        <is>
          <t>GNT</t>
        </is>
      </c>
      <c r="B205" s="20" t="n">
        <v>45581314</v>
      </c>
      <c r="C205" s="20" t="n">
        <v>45581314</v>
      </c>
      <c r="D205" s="20" t="inlineStr">
        <is>
          <t>0.000040</t>
        </is>
      </c>
      <c r="E205" s="20" t="inlineStr">
        <is>
          <t>8.798 SOL</t>
        </is>
      </c>
      <c r="F205" s="20" t="inlineStr">
        <is>
          <t>13.404 SOL</t>
        </is>
      </c>
      <c r="G205" s="23" t="inlineStr">
        <is>
          <t>4.606 SOL</t>
        </is>
      </c>
      <c r="H205" s="23" t="inlineStr">
        <is>
          <t>52.35%</t>
        </is>
      </c>
      <c r="I205" s="20" t="inlineStr">
        <is>
          <t>N/A</t>
        </is>
      </c>
      <c r="J205" s="20" t="n">
        <v>2</v>
      </c>
      <c r="K205" s="20" t="n">
        <v>2</v>
      </c>
      <c r="L205" s="20" t="inlineStr">
        <is>
          <t>15.10.2024 05:17:59</t>
        </is>
      </c>
      <c r="M205" s="20" t="inlineStr">
        <is>
          <t>9 min</t>
        </is>
      </c>
      <c r="N205" s="20" t="inlineStr">
        <is>
          <t xml:space="preserve">         30K            39K             4K</t>
        </is>
      </c>
      <c r="O205" s="20" t="inlineStr">
        <is>
          <t>GLqavGgxjwP2gdVoooPzX3HPxPG2YiHJx8PDUEL7pump</t>
        </is>
      </c>
      <c r="P205" s="20">
        <f>HYPERLINK("https://photon-sol.tinyastro.io/en/lp/GLqavGgxjwP2gdVoooPzX3HPxPG2YiHJx8PDUEL7pump?handle=676050794bc1b1657a56b", "View")</f>
        <v/>
      </c>
    </row>
    <row r="206">
      <c r="A206" s="15" t="inlineStr">
        <is>
          <t>NGV</t>
        </is>
      </c>
      <c r="B206" s="16" t="n">
        <v>59306061</v>
      </c>
      <c r="C206" s="16" t="n">
        <v>59306061</v>
      </c>
      <c r="D206" s="16" t="inlineStr">
        <is>
          <t>0.000020</t>
        </is>
      </c>
      <c r="E206" s="16" t="inlineStr">
        <is>
          <t>5.097 SOL</t>
        </is>
      </c>
      <c r="F206" s="16" t="inlineStr">
        <is>
          <t>4.706 SOL</t>
        </is>
      </c>
      <c r="G206" s="21" t="inlineStr">
        <is>
          <t>-0.391 SOL</t>
        </is>
      </c>
      <c r="H206" s="21" t="inlineStr">
        <is>
          <t>-7.66%</t>
        </is>
      </c>
      <c r="I206" s="16" t="inlineStr">
        <is>
          <t>N/A</t>
        </is>
      </c>
      <c r="J206" s="16" t="n">
        <v>1</v>
      </c>
      <c r="K206" s="16" t="n">
        <v>1</v>
      </c>
      <c r="L206" s="16" t="inlineStr">
        <is>
          <t>15.10.2024 04:44:40</t>
        </is>
      </c>
      <c r="M206" s="16" t="inlineStr">
        <is>
          <t>2 min</t>
        </is>
      </c>
      <c r="N206" s="16" t="inlineStr">
        <is>
          <t xml:space="preserve">        N/A           N/A           N/A</t>
        </is>
      </c>
      <c r="O206" s="16" t="inlineStr">
        <is>
          <t>6s47kyM1ZM8N7cnMsxbfdUwSjSjpJGxZprqpT3Cepump</t>
        </is>
      </c>
      <c r="P206" s="16">
        <f>HYPERLINK("https://photon-sol.tinyastro.io/en/lp/6s47kyM1ZM8N7cnMsxbfdUwSjSjpJGxZprqpT3Cepump?handle=676050794bc1b1657a56b", "View")</f>
        <v/>
      </c>
    </row>
    <row r="207">
      <c r="A207" s="19" t="inlineStr">
        <is>
          <t>JEET</t>
        </is>
      </c>
      <c r="B207" s="20" t="n">
        <v>59988739</v>
      </c>
      <c r="C207" s="20" t="n">
        <v>59988739</v>
      </c>
      <c r="D207" s="20" t="inlineStr">
        <is>
          <t>0.007530</t>
        </is>
      </c>
      <c r="E207" s="20" t="inlineStr">
        <is>
          <t>8.358 SOL</t>
        </is>
      </c>
      <c r="F207" s="20" t="inlineStr">
        <is>
          <t>9.572 SOL</t>
        </is>
      </c>
      <c r="G207" s="22" t="inlineStr">
        <is>
          <t>1.206 SOL</t>
        </is>
      </c>
      <c r="H207" s="22" t="inlineStr">
        <is>
          <t>14.42%</t>
        </is>
      </c>
      <c r="I207" s="20" t="inlineStr">
        <is>
          <t>N/A</t>
        </is>
      </c>
      <c r="J207" s="20" t="n">
        <v>2</v>
      </c>
      <c r="K207" s="20" t="n">
        <v>1</v>
      </c>
      <c r="L207" s="20" t="inlineStr">
        <is>
          <t>15.10.2024 04:40:56</t>
        </is>
      </c>
      <c r="M207" s="18" t="inlineStr">
        <is>
          <t>49 sec</t>
        </is>
      </c>
      <c r="N207" s="20" t="inlineStr">
        <is>
          <t xml:space="preserve">        N/A           N/A           N/A</t>
        </is>
      </c>
      <c r="O207" s="20" t="inlineStr">
        <is>
          <t>BA1SEotvY2PUjoCPnYjDacvfsdeDrftBQ29xzUwMpump</t>
        </is>
      </c>
      <c r="P207" s="20">
        <f>HYPERLINK("https://photon-sol.tinyastro.io/en/lp/BA1SEotvY2PUjoCPnYjDacvfsdeDrftBQ29xzUwMpump?handle=676050794bc1b1657a56b", "View")</f>
        <v/>
      </c>
    </row>
    <row r="208">
      <c r="A208" s="15" t="inlineStr">
        <is>
          <t>RETARDAI</t>
        </is>
      </c>
      <c r="B208" s="16" t="n">
        <v>5594871</v>
      </c>
      <c r="C208" s="16" t="n">
        <v>5594871</v>
      </c>
      <c r="D208" s="16" t="inlineStr">
        <is>
          <t>0.000020</t>
        </is>
      </c>
      <c r="E208" s="16" t="inlineStr">
        <is>
          <t>5.000 SOL</t>
        </is>
      </c>
      <c r="F208" s="16" t="inlineStr">
        <is>
          <t>16.088 SOL</t>
        </is>
      </c>
      <c r="G208" s="23" t="inlineStr">
        <is>
          <t>11.088 SOL</t>
        </is>
      </c>
      <c r="H208" s="23" t="inlineStr">
        <is>
          <t>221.77%</t>
        </is>
      </c>
      <c r="I208" s="16" t="inlineStr">
        <is>
          <t>N/A</t>
        </is>
      </c>
      <c r="J208" s="16" t="n">
        <v>1</v>
      </c>
      <c r="K208" s="16" t="n">
        <v>1</v>
      </c>
      <c r="L208" s="16" t="inlineStr">
        <is>
          <t>15.10.2024 04:22:54</t>
        </is>
      </c>
      <c r="M208" s="16" t="inlineStr">
        <is>
          <t>8 min</t>
        </is>
      </c>
      <c r="N208" s="16" t="inlineStr">
        <is>
          <t xml:space="preserve">        156K           505K             6K</t>
        </is>
      </c>
      <c r="O208" s="16" t="inlineStr">
        <is>
          <t>6oXQE9haR8kkipinGU8Lr7tqwo4WxYMBzGPu8vbupump</t>
        </is>
      </c>
      <c r="P208" s="16">
        <f>HYPERLINK("https://dexscreener.com/solana/6oXQE9haR8kkipinGU8Lr7tqwo4WxYMBzGPu8vbupump", "View")</f>
        <v/>
      </c>
    </row>
    <row r="209">
      <c r="A209" s="19" t="inlineStr">
        <is>
          <t>NDOGAI</t>
        </is>
      </c>
      <c r="B209" s="20" t="n">
        <v>251365474</v>
      </c>
      <c r="C209" s="20" t="n">
        <v>251365474</v>
      </c>
      <c r="D209" s="20" t="inlineStr">
        <is>
          <t>0.000020</t>
        </is>
      </c>
      <c r="E209" s="20" t="inlineStr">
        <is>
          <t>10.192 SOL</t>
        </is>
      </c>
      <c r="F209" s="20" t="inlineStr">
        <is>
          <t>17.354 SOL</t>
        </is>
      </c>
      <c r="G209" s="23" t="inlineStr">
        <is>
          <t>7.162 SOL</t>
        </is>
      </c>
      <c r="H209" s="23" t="inlineStr">
        <is>
          <t>70.27%</t>
        </is>
      </c>
      <c r="I209" s="20" t="inlineStr">
        <is>
          <t>N/A</t>
        </is>
      </c>
      <c r="J209" s="20" t="n">
        <v>1</v>
      </c>
      <c r="K209" s="20" t="n">
        <v>1</v>
      </c>
      <c r="L209" s="20" t="inlineStr">
        <is>
          <t>15.10.2024 04:10:08</t>
        </is>
      </c>
      <c r="M209" s="20" t="inlineStr">
        <is>
          <t>1 min</t>
        </is>
      </c>
      <c r="N209" s="20" t="inlineStr">
        <is>
          <t xml:space="preserve">        N/A           N/A           N/A</t>
        </is>
      </c>
      <c r="O209" s="20" t="inlineStr">
        <is>
          <t>6iki4EVjg6WSN2VGndQhRn11orCqBdVQQMrKh8oNpump</t>
        </is>
      </c>
      <c r="P209" s="20">
        <f>HYPERLINK("https://photon-sol.tinyastro.io/en/lp/6iki4EVjg6WSN2VGndQhRn11orCqBdVQQMrKh8oNpump?handle=676050794bc1b1657a56b", "View")</f>
        <v/>
      </c>
    </row>
    <row r="210">
      <c r="A210" s="15" t="inlineStr">
        <is>
          <t>Figure</t>
        </is>
      </c>
      <c r="B210" s="16" t="n">
        <v>227742471</v>
      </c>
      <c r="C210" s="16" t="n">
        <v>227742471</v>
      </c>
      <c r="D210" s="16" t="inlineStr">
        <is>
          <t>0.000020</t>
        </is>
      </c>
      <c r="E210" s="16" t="inlineStr">
        <is>
          <t>10.333 SOL</t>
        </is>
      </c>
      <c r="F210" s="16" t="inlineStr">
        <is>
          <t>9.988 SOL</t>
        </is>
      </c>
      <c r="G210" s="21" t="inlineStr">
        <is>
          <t>-0.345 SOL</t>
        </is>
      </c>
      <c r="H210" s="21" t="inlineStr">
        <is>
          <t>-3.34%</t>
        </is>
      </c>
      <c r="I210" s="16" t="inlineStr">
        <is>
          <t>N/A</t>
        </is>
      </c>
      <c r="J210" s="16" t="n">
        <v>1</v>
      </c>
      <c r="K210" s="16" t="n">
        <v>1</v>
      </c>
      <c r="L210" s="16" t="inlineStr">
        <is>
          <t>15.10.2024 03:46:37</t>
        </is>
      </c>
      <c r="M210" s="18" t="inlineStr">
        <is>
          <t>12 sec</t>
        </is>
      </c>
      <c r="N210" s="16" t="inlineStr">
        <is>
          <t xml:space="preserve">        N/A           N/A           N/A</t>
        </is>
      </c>
      <c r="O210" s="16" t="inlineStr">
        <is>
          <t>GuipMK7rPosZd8uYEeUkpBjqMmkmMQM4BuUTziPGpump</t>
        </is>
      </c>
      <c r="P210" s="16">
        <f>HYPERLINK("https://photon-sol.tinyastro.io/en/lp/GuipMK7rPosZd8uYEeUkpBjqMmkmMQM4BuUTziPGpump?handle=676050794bc1b1657a56b", "View")</f>
        <v/>
      </c>
    </row>
    <row r="211">
      <c r="A211" s="19" t="inlineStr">
        <is>
          <t>WISDOM</t>
        </is>
      </c>
      <c r="B211" s="20" t="n">
        <v>250837766</v>
      </c>
      <c r="C211" s="20" t="n">
        <v>250837766</v>
      </c>
      <c r="D211" s="20" t="inlineStr">
        <is>
          <t>0.007520</t>
        </is>
      </c>
      <c r="E211" s="20" t="inlineStr">
        <is>
          <t>10.192 SOL</t>
        </is>
      </c>
      <c r="F211" s="20" t="inlineStr">
        <is>
          <t>11.509 SOL</t>
        </is>
      </c>
      <c r="G211" s="22" t="inlineStr">
        <is>
          <t>1.309 SOL</t>
        </is>
      </c>
      <c r="H211" s="22" t="inlineStr">
        <is>
          <t>12.84%</t>
        </is>
      </c>
      <c r="I211" s="20" t="inlineStr">
        <is>
          <t>N/A</t>
        </is>
      </c>
      <c r="J211" s="20" t="n">
        <v>1</v>
      </c>
      <c r="K211" s="20" t="n">
        <v>1</v>
      </c>
      <c r="L211" s="20" t="inlineStr">
        <is>
          <t>15.10.2024 03:45:38</t>
        </is>
      </c>
      <c r="M211" s="18" t="inlineStr">
        <is>
          <t>17 sec</t>
        </is>
      </c>
      <c r="N211" s="20" t="inlineStr">
        <is>
          <t xml:space="preserve">        N/A           N/A           N/A</t>
        </is>
      </c>
      <c r="O211" s="20" t="inlineStr">
        <is>
          <t>8PhjZngXnxs3e4ozQcFspdnbuQeQe1oZ4bokzZwxpump</t>
        </is>
      </c>
      <c r="P211" s="20">
        <f>HYPERLINK("https://photon-sol.tinyastro.io/en/lp/8PhjZngXnxs3e4ozQcFspdnbuQeQe1oZ4bokzZwxpump?handle=676050794bc1b1657a56b", "View")</f>
        <v/>
      </c>
    </row>
    <row r="212">
      <c r="A212" s="15" t="inlineStr">
        <is>
          <t>wen</t>
        </is>
      </c>
      <c r="B212" s="16" t="n">
        <v>250752692</v>
      </c>
      <c r="C212" s="16" t="n">
        <v>250752692</v>
      </c>
      <c r="D212" s="16" t="inlineStr">
        <is>
          <t>0.000020</t>
        </is>
      </c>
      <c r="E212" s="16" t="inlineStr">
        <is>
          <t>10.192 SOL</t>
        </is>
      </c>
      <c r="F212" s="16" t="inlineStr">
        <is>
          <t>15.473 SOL</t>
        </is>
      </c>
      <c r="G212" s="23" t="inlineStr">
        <is>
          <t>5.281 SOL</t>
        </is>
      </c>
      <c r="H212" s="23" t="inlineStr">
        <is>
          <t>51.81%</t>
        </is>
      </c>
      <c r="I212" s="16" t="inlineStr">
        <is>
          <t>N/A</t>
        </is>
      </c>
      <c r="J212" s="16" t="n">
        <v>1</v>
      </c>
      <c r="K212" s="16" t="n">
        <v>1</v>
      </c>
      <c r="L212" s="16" t="inlineStr">
        <is>
          <t>15.10.2024 03:45:00</t>
        </is>
      </c>
      <c r="M212" s="18" t="inlineStr">
        <is>
          <t>7 sec</t>
        </is>
      </c>
      <c r="N212" s="16" t="inlineStr">
        <is>
          <t xml:space="preserve">        N/A           N/A           N/A</t>
        </is>
      </c>
      <c r="O212" s="16" t="inlineStr">
        <is>
          <t>HVP6bSU8Lg44bn5QwijTHNqgU6cYWvwdbZe75sMppump</t>
        </is>
      </c>
      <c r="P212" s="16">
        <f>HYPERLINK("https://photon-sol.tinyastro.io/en/lp/HVP6bSU8Lg44bn5QwijTHNqgU6cYWvwdbZe75sMppump?handle=676050794bc1b1657a56b", "View")</f>
        <v/>
      </c>
    </row>
    <row r="213">
      <c r="A213" s="19" t="inlineStr">
        <is>
          <t>Nigga AI</t>
        </is>
      </c>
      <c r="B213" s="20" t="n">
        <v>55782644</v>
      </c>
      <c r="C213" s="20" t="n">
        <v>55782644</v>
      </c>
      <c r="D213" s="20" t="inlineStr">
        <is>
          <t>0.015080</t>
        </is>
      </c>
      <c r="E213" s="20" t="inlineStr">
        <is>
          <t>40.800 SOL</t>
        </is>
      </c>
      <c r="F213" s="20" t="inlineStr">
        <is>
          <t>35.666 SOL</t>
        </is>
      </c>
      <c r="G213" s="21" t="inlineStr">
        <is>
          <t>-5.149 SOL</t>
        </is>
      </c>
      <c r="H213" s="21" t="inlineStr">
        <is>
          <t>-12.62%</t>
        </is>
      </c>
      <c r="I213" s="20" t="inlineStr">
        <is>
          <t>N/A</t>
        </is>
      </c>
      <c r="J213" s="20" t="n">
        <v>5</v>
      </c>
      <c r="K213" s="20" t="n">
        <v>4</v>
      </c>
      <c r="L213" s="20" t="inlineStr">
        <is>
          <t>15.10.2024 03:33:27</t>
        </is>
      </c>
      <c r="M213" s="20" t="inlineStr">
        <is>
          <t>33 min</t>
        </is>
      </c>
      <c r="N213" s="20" t="inlineStr">
        <is>
          <t xml:space="preserve">         35K            90K             6K</t>
        </is>
      </c>
      <c r="O213" s="20" t="inlineStr">
        <is>
          <t>BFc8GNjKJXWUoe8qvg1evPe8zSgHnxFkJk97qNhLpump</t>
        </is>
      </c>
      <c r="P213" s="20">
        <f>HYPERLINK("https://dexscreener.com/solana/BFc8GNjKJXWUoe8qvg1evPe8zSgHnxFkJk97qNhLpump", "View")</f>
        <v/>
      </c>
    </row>
    <row r="214">
      <c r="A214" s="15" t="inlineStr">
        <is>
          <t>GAME</t>
        </is>
      </c>
      <c r="B214" s="16" t="n">
        <v>42680521</v>
      </c>
      <c r="C214" s="16" t="n">
        <v>42680521</v>
      </c>
      <c r="D214" s="16" t="inlineStr">
        <is>
          <t>0.007530</t>
        </is>
      </c>
      <c r="E214" s="16" t="inlineStr">
        <is>
          <t>6.258 SOL</t>
        </is>
      </c>
      <c r="F214" s="16" t="inlineStr">
        <is>
          <t>20.122 SOL</t>
        </is>
      </c>
      <c r="G214" s="23" t="inlineStr">
        <is>
          <t>13.857 SOL</t>
        </is>
      </c>
      <c r="H214" s="23" t="inlineStr">
        <is>
          <t>221.15%</t>
        </is>
      </c>
      <c r="I214" s="16" t="inlineStr">
        <is>
          <t>N/A</t>
        </is>
      </c>
      <c r="J214" s="16" t="n">
        <v>2</v>
      </c>
      <c r="K214" s="16" t="n">
        <v>1</v>
      </c>
      <c r="L214" s="16" t="inlineStr">
        <is>
          <t>15.10.2024 02:04:17</t>
        </is>
      </c>
      <c r="M214" s="16" t="inlineStr">
        <is>
          <t>7 hours</t>
        </is>
      </c>
      <c r="N214" s="16" t="inlineStr">
        <is>
          <t xml:space="preserve">         26K            23K             5K</t>
        </is>
      </c>
      <c r="O214" s="16" t="inlineStr">
        <is>
          <t>3DYUSsBQEPmgSHZsWmzBCRw9BQQLmU1HkpQQbuCNpump</t>
        </is>
      </c>
      <c r="P214" s="16">
        <f>HYPERLINK("https://photon-sol.tinyastro.io/en/lp/3DYUSsBQEPmgSHZsWmzBCRw9BQQLmU1HkpQQbuCNpump?handle=676050794bc1b1657a56b", "View")</f>
        <v/>
      </c>
    </row>
    <row r="215">
      <c r="A215" s="19" t="inlineStr">
        <is>
          <t>CLIPPY</t>
        </is>
      </c>
      <c r="B215" s="20" t="n">
        <v>6258513</v>
      </c>
      <c r="C215" s="20" t="n">
        <v>6258513</v>
      </c>
      <c r="D215" s="20" t="inlineStr">
        <is>
          <t>0.000020</t>
        </is>
      </c>
      <c r="E215" s="20" t="inlineStr">
        <is>
          <t>7.000 SOL</t>
        </is>
      </c>
      <c r="F215" s="20" t="inlineStr">
        <is>
          <t>4.989 SOL</t>
        </is>
      </c>
      <c r="G215" s="21" t="inlineStr">
        <is>
          <t>-2.011 SOL</t>
        </is>
      </c>
      <c r="H215" s="21" t="inlineStr">
        <is>
          <t>-28.72%</t>
        </is>
      </c>
      <c r="I215" s="20" t="inlineStr">
        <is>
          <t>N/A</t>
        </is>
      </c>
      <c r="J215" s="20" t="n">
        <v>1</v>
      </c>
      <c r="K215" s="20" t="n">
        <v>1</v>
      </c>
      <c r="L215" s="20" t="inlineStr">
        <is>
          <t>14.10.2024 21:21:11</t>
        </is>
      </c>
      <c r="M215" s="20" t="inlineStr">
        <is>
          <t>1 hours</t>
        </is>
      </c>
      <c r="N215" s="20" t="inlineStr">
        <is>
          <t xml:space="preserve">         88K            63K            30K</t>
        </is>
      </c>
      <c r="O215" s="20" t="inlineStr">
        <is>
          <t>4LjqYcRbhvmXeGnx2uXA9meTvdF232KAKjNAfFDM6nuj</t>
        </is>
      </c>
      <c r="P215" s="20">
        <f>HYPERLINK("https://dexscreener.com/solana/4LjqYcRbhvmXeGnx2uXA9meTvdF232KAKjNAfFDM6nuj", "View")</f>
        <v/>
      </c>
    </row>
    <row r="216">
      <c r="A216" s="15" t="inlineStr">
        <is>
          <t>CBM</t>
        </is>
      </c>
      <c r="B216" s="16" t="n">
        <v>10815130</v>
      </c>
      <c r="C216" s="16" t="n">
        <v>10815130</v>
      </c>
      <c r="D216" s="16" t="inlineStr">
        <is>
          <t>0.000030</t>
        </is>
      </c>
      <c r="E216" s="16" t="inlineStr">
        <is>
          <t>25.000 SOL</t>
        </is>
      </c>
      <c r="F216" s="16" t="inlineStr">
        <is>
          <t>21.019 SOL</t>
        </is>
      </c>
      <c r="G216" s="21" t="inlineStr">
        <is>
          <t>-3.981 SOL</t>
        </is>
      </c>
      <c r="H216" s="21" t="inlineStr">
        <is>
          <t>-15.92%</t>
        </is>
      </c>
      <c r="I216" s="16" t="inlineStr">
        <is>
          <t>N/A</t>
        </is>
      </c>
      <c r="J216" s="16" t="n">
        <v>1</v>
      </c>
      <c r="K216" s="16" t="n">
        <v>2</v>
      </c>
      <c r="L216" s="16" t="inlineStr">
        <is>
          <t>14.10.2024 19:34:28</t>
        </is>
      </c>
      <c r="M216" s="16" t="inlineStr">
        <is>
          <t>1 hours</t>
        </is>
      </c>
      <c r="N216" s="16" t="inlineStr">
        <is>
          <t xml:space="preserve">        398K           309K            19K</t>
        </is>
      </c>
      <c r="O216" s="16" t="inlineStr">
        <is>
          <t>DZBztmgHuuY49pVkwCTzusg6SXCpbj16ZeSFfQLapump</t>
        </is>
      </c>
      <c r="P216" s="16">
        <f>HYPERLINK("https://dexscreener.com/solana/DZBztmgHuuY49pVkwCTzusg6SXCpbj16ZeSFfQLapump", "View")</f>
        <v/>
      </c>
    </row>
    <row r="217">
      <c r="A217" s="19" t="inlineStr">
        <is>
          <t>Bloodline</t>
        </is>
      </c>
      <c r="B217" s="20" t="n">
        <v>58707090</v>
      </c>
      <c r="C217" s="20" t="n">
        <v>58707090</v>
      </c>
      <c r="D217" s="20" t="inlineStr">
        <is>
          <t>0.007530</t>
        </is>
      </c>
      <c r="E217" s="20" t="inlineStr">
        <is>
          <t>10.087 SOL</t>
        </is>
      </c>
      <c r="F217" s="20" t="inlineStr">
        <is>
          <t>9.173 SOL</t>
        </is>
      </c>
      <c r="G217" s="21" t="inlineStr">
        <is>
          <t>-0.921 SOL</t>
        </is>
      </c>
      <c r="H217" s="21" t="inlineStr">
        <is>
          <t>-9.13%</t>
        </is>
      </c>
      <c r="I217" s="20" t="inlineStr">
        <is>
          <t>N/A</t>
        </is>
      </c>
      <c r="J217" s="20" t="n">
        <v>2</v>
      </c>
      <c r="K217" s="20" t="n">
        <v>1</v>
      </c>
      <c r="L217" s="20" t="inlineStr">
        <is>
          <t>14.10.2024 18:01:19</t>
        </is>
      </c>
      <c r="M217" s="20" t="inlineStr">
        <is>
          <t>11 min</t>
        </is>
      </c>
      <c r="N217" s="20" t="inlineStr">
        <is>
          <t xml:space="preserve">         23K            28K             8K</t>
        </is>
      </c>
      <c r="O217" s="20" t="inlineStr">
        <is>
          <t>7bj3GENDHm6ABfS83akztQSEyGPJ33Fsu12uYj4Cpump</t>
        </is>
      </c>
      <c r="P217" s="20">
        <f>HYPERLINK("https://photon-sol.tinyastro.io/en/lp/7bj3GENDHm6ABfS83akztQSEyGPJ33Fsu12uYj4Cpump?handle=676050794bc1b1657a56b", "View")</f>
        <v/>
      </c>
    </row>
    <row r="218">
      <c r="A218" s="15" t="inlineStr">
        <is>
          <t>SNOGMA</t>
        </is>
      </c>
      <c r="B218" s="16" t="n">
        <v>44244269</v>
      </c>
      <c r="C218" s="16" t="n">
        <v>44244269</v>
      </c>
      <c r="D218" s="16" t="inlineStr">
        <is>
          <t>0.007520</t>
        </is>
      </c>
      <c r="E218" s="16" t="inlineStr">
        <is>
          <t>2.040 SOL</t>
        </is>
      </c>
      <c r="F218" s="16" t="inlineStr">
        <is>
          <t>2.040 SOL</t>
        </is>
      </c>
      <c r="G218" s="21" t="inlineStr">
        <is>
          <t>-0.008 SOL</t>
        </is>
      </c>
      <c r="H218" s="21" t="inlineStr">
        <is>
          <t>-0.38%</t>
        </is>
      </c>
      <c r="I218" s="16" t="inlineStr">
        <is>
          <t>N/A</t>
        </is>
      </c>
      <c r="J218" s="16" t="n">
        <v>1</v>
      </c>
      <c r="K218" s="16" t="n">
        <v>1</v>
      </c>
      <c r="L218" s="16" t="inlineStr">
        <is>
          <t>13.10.2024 21:33:57</t>
        </is>
      </c>
      <c r="M218" s="16" t="inlineStr">
        <is>
          <t>2 hours</t>
        </is>
      </c>
      <c r="N218" s="16" t="inlineStr">
        <is>
          <t xml:space="preserve">        N/A           N/A           N/A</t>
        </is>
      </c>
      <c r="O218" s="16" t="inlineStr">
        <is>
          <t>CExZUttRsmCG9qYmJTE1YRntgWpnagvMjoTQAeTupump</t>
        </is>
      </c>
      <c r="P218" s="16">
        <f>HYPERLINK("https://photon-sol.tinyastro.io/en/lp/CExZUttRsmCG9qYmJTE1YRntgWpnagvMjoTQAeTupump?handle=676050794bc1b1657a56b", "View")</f>
        <v/>
      </c>
    </row>
    <row r="219">
      <c r="A219" s="19" t="inlineStr">
        <is>
          <t>DOWN4200</t>
        </is>
      </c>
      <c r="B219" s="20" t="n">
        <v>52312503</v>
      </c>
      <c r="C219" s="20" t="n">
        <v>52312503</v>
      </c>
      <c r="D219" s="20" t="inlineStr">
        <is>
          <t>0.000020</t>
        </is>
      </c>
      <c r="E219" s="20" t="inlineStr">
        <is>
          <t>2.397 SOL</t>
        </is>
      </c>
      <c r="F219" s="20" t="inlineStr">
        <is>
          <t>7.832 SOL</t>
        </is>
      </c>
      <c r="G219" s="23" t="inlineStr">
        <is>
          <t>5.435 SOL</t>
        </is>
      </c>
      <c r="H219" s="23" t="inlineStr">
        <is>
          <t>226.76%</t>
        </is>
      </c>
      <c r="I219" s="20" t="inlineStr">
        <is>
          <t>N/A</t>
        </is>
      </c>
      <c r="J219" s="20" t="n">
        <v>1</v>
      </c>
      <c r="K219" s="20" t="n">
        <v>1</v>
      </c>
      <c r="L219" s="20" t="inlineStr">
        <is>
          <t>13.10.2024 15:46:16</t>
        </is>
      </c>
      <c r="M219" s="20" t="inlineStr">
        <is>
          <t>8 min</t>
        </is>
      </c>
      <c r="N219" s="20" t="inlineStr">
        <is>
          <t xml:space="preserve">        N/A           N/A           N/A</t>
        </is>
      </c>
      <c r="O219" s="20" t="inlineStr">
        <is>
          <t>9GmZKY2eKDgE6GDQbN2P8jHaQBMeDsw8uZdvhqHRpump</t>
        </is>
      </c>
      <c r="P219" s="20">
        <f>HYPERLINK("https://photon-sol.tinyastro.io/en/lp/9GmZKY2eKDgE6GDQbN2P8jHaQBMeDsw8uZdvhqHRpump?handle=676050794bc1b1657a56b", "View")</f>
        <v/>
      </c>
    </row>
    <row r="220">
      <c r="A220" s="15" t="inlineStr">
        <is>
          <t>OOGA</t>
        </is>
      </c>
      <c r="B220" s="16" t="n">
        <v>15925740</v>
      </c>
      <c r="C220" s="16" t="n">
        <v>15925740</v>
      </c>
      <c r="D220" s="16" t="inlineStr">
        <is>
          <t>0.000030</t>
        </is>
      </c>
      <c r="E220" s="16" t="inlineStr">
        <is>
          <t>16.000 SOL</t>
        </is>
      </c>
      <c r="F220" s="16" t="inlineStr">
        <is>
          <t>15.493 SOL</t>
        </is>
      </c>
      <c r="G220" s="21" t="inlineStr">
        <is>
          <t>-0.507 SOL</t>
        </is>
      </c>
      <c r="H220" s="21" t="inlineStr">
        <is>
          <t>-3.17%</t>
        </is>
      </c>
      <c r="I220" s="16" t="inlineStr">
        <is>
          <t>N/A</t>
        </is>
      </c>
      <c r="J220" s="16" t="n">
        <v>1</v>
      </c>
      <c r="K220" s="16" t="n">
        <v>2</v>
      </c>
      <c r="L220" s="16" t="inlineStr">
        <is>
          <t>11.10.2024 05:58:14</t>
        </is>
      </c>
      <c r="M220" s="16" t="inlineStr">
        <is>
          <t>11 min</t>
        </is>
      </c>
      <c r="N220" s="16" t="inlineStr">
        <is>
          <t xml:space="preserve">        175K           160K             6K</t>
        </is>
      </c>
      <c r="O220" s="16" t="inlineStr">
        <is>
          <t>khDgKAP8mRb8PbZnVhLyMhLtaRWvgciAzB2XiSLpump</t>
        </is>
      </c>
      <c r="P220" s="16">
        <f>HYPERLINK("https://dexscreener.com/solana/khDgKAP8mRb8PbZnVhLyMhLtaRWvgciAzB2XiSLpump", "View")</f>
        <v/>
      </c>
    </row>
    <row r="221">
      <c r="A221" s="19" t="inlineStr">
        <is>
          <t>CRINGE</t>
        </is>
      </c>
      <c r="B221" s="20" t="n">
        <v>10561446</v>
      </c>
      <c r="C221" s="20" t="n">
        <v>10561446</v>
      </c>
      <c r="D221" s="20" t="inlineStr">
        <is>
          <t>0.000020</t>
        </is>
      </c>
      <c r="E221" s="20" t="inlineStr">
        <is>
          <t>15.000 SOL</t>
        </is>
      </c>
      <c r="F221" s="20" t="inlineStr">
        <is>
          <t>14.066 SOL</t>
        </is>
      </c>
      <c r="G221" s="21" t="inlineStr">
        <is>
          <t>-0.934 SOL</t>
        </is>
      </c>
      <c r="H221" s="21" t="inlineStr">
        <is>
          <t>-6.23%</t>
        </is>
      </c>
      <c r="I221" s="20" t="inlineStr">
        <is>
          <t>N/A</t>
        </is>
      </c>
      <c r="J221" s="20" t="n">
        <v>1</v>
      </c>
      <c r="K221" s="20" t="n">
        <v>1</v>
      </c>
      <c r="L221" s="20" t="inlineStr">
        <is>
          <t>11.10.2024 05:34:22</t>
        </is>
      </c>
      <c r="M221" s="20" t="inlineStr">
        <is>
          <t>9 min</t>
        </is>
      </c>
      <c r="N221" s="20" t="inlineStr">
        <is>
          <t xml:space="preserve">        249K           234K            54K</t>
        </is>
      </c>
      <c r="O221" s="20" t="inlineStr">
        <is>
          <t>LoLLZBUGyTPNWyFF48KbcmkZGc1ajwaFdWoLhF2nBfQ</t>
        </is>
      </c>
      <c r="P221" s="20">
        <f>HYPERLINK("https://dexscreener.com/solana/LoLLZBUGyTPNWyFF48KbcmkZGc1ajwaFdWoLhF2nBfQ", "View")</f>
        <v/>
      </c>
    </row>
    <row r="222">
      <c r="A222" s="15" t="inlineStr">
        <is>
          <t>GLOFFI</t>
        </is>
      </c>
      <c r="B222" s="16" t="n">
        <v>7144881</v>
      </c>
      <c r="C222" s="16" t="n">
        <v>7144881</v>
      </c>
      <c r="D222" s="16" t="inlineStr">
        <is>
          <t>0.000020</t>
        </is>
      </c>
      <c r="E222" s="16" t="inlineStr">
        <is>
          <t>20.000 SOL</t>
        </is>
      </c>
      <c r="F222" s="16" t="inlineStr">
        <is>
          <t>19.536 SOL</t>
        </is>
      </c>
      <c r="G222" s="21" t="inlineStr">
        <is>
          <t>-0.464 SOL</t>
        </is>
      </c>
      <c r="H222" s="21" t="inlineStr">
        <is>
          <t>-2.32%</t>
        </is>
      </c>
      <c r="I222" s="16" t="inlineStr">
        <is>
          <t>N/A</t>
        </is>
      </c>
      <c r="J222" s="16" t="n">
        <v>1</v>
      </c>
      <c r="K222" s="16" t="n">
        <v>1</v>
      </c>
      <c r="L222" s="16" t="inlineStr">
        <is>
          <t>11.10.2024 05:17:50</t>
        </is>
      </c>
      <c r="M222" s="16" t="inlineStr">
        <is>
          <t>3 min</t>
        </is>
      </c>
      <c r="N222" s="16" t="inlineStr">
        <is>
          <t xml:space="preserve">        492K           479K             8K</t>
        </is>
      </c>
      <c r="O222" s="16" t="inlineStr">
        <is>
          <t>4aTDyXhFL5vB99ewQWymxN5wi3rzz7jW7Bmkp48Wpump</t>
        </is>
      </c>
      <c r="P222" s="16">
        <f>HYPERLINK("https://dexscreener.com/solana/4aTDyXhFL5vB99ewQWymxN5wi3rzz7jW7Bmkp48Wpump", "View")</f>
        <v/>
      </c>
    </row>
    <row r="223">
      <c r="A223" s="19" t="inlineStr">
        <is>
          <t>STAMINA</t>
        </is>
      </c>
      <c r="B223" s="20" t="n">
        <v>23277375</v>
      </c>
      <c r="C223" s="20" t="n">
        <v>23277375</v>
      </c>
      <c r="D223" s="20" t="inlineStr">
        <is>
          <t>0.000030</t>
        </is>
      </c>
      <c r="E223" s="20" t="inlineStr">
        <is>
          <t>20.000 SOL</t>
        </is>
      </c>
      <c r="F223" s="20" t="inlineStr">
        <is>
          <t>17.574 SOL</t>
        </is>
      </c>
      <c r="G223" s="21" t="inlineStr">
        <is>
          <t>-2.427 SOL</t>
        </is>
      </c>
      <c r="H223" s="21" t="inlineStr">
        <is>
          <t>-12.13%</t>
        </is>
      </c>
      <c r="I223" s="20" t="inlineStr">
        <is>
          <t>N/A</t>
        </is>
      </c>
      <c r="J223" s="20" t="n">
        <v>2</v>
      </c>
      <c r="K223" s="20" t="n">
        <v>1</v>
      </c>
      <c r="L223" s="20" t="inlineStr">
        <is>
          <t>11.10.2024 04:59:31</t>
        </is>
      </c>
      <c r="M223" s="20" t="inlineStr">
        <is>
          <t>5 min</t>
        </is>
      </c>
      <c r="N223" s="20" t="inlineStr">
        <is>
          <t xml:space="preserve">        130K           132K             8K</t>
        </is>
      </c>
      <c r="O223" s="20" t="inlineStr">
        <is>
          <t>BzdiswsdzbhfAciaYEVdBsRJabLho3CJM6PAPgDApump</t>
        </is>
      </c>
      <c r="P223" s="20">
        <f>HYPERLINK("https://dexscreener.com/solana/BzdiswsdzbhfAciaYEVdBsRJabLho3CJM6PAPgDApump", "View")</f>
        <v/>
      </c>
    </row>
    <row r="224">
      <c r="A224" s="15" t="inlineStr">
        <is>
          <t>IRS</t>
        </is>
      </c>
      <c r="B224" s="16" t="n">
        <v>13989615</v>
      </c>
      <c r="C224" s="16" t="n">
        <v>13989615</v>
      </c>
      <c r="D224" s="16" t="inlineStr">
        <is>
          <t>0.000020</t>
        </is>
      </c>
      <c r="E224" s="16" t="inlineStr">
        <is>
          <t>20.000 SOL</t>
        </is>
      </c>
      <c r="F224" s="16" t="inlineStr">
        <is>
          <t>20.374 SOL</t>
        </is>
      </c>
      <c r="G224" s="22" t="inlineStr">
        <is>
          <t>0.374 SOL</t>
        </is>
      </c>
      <c r="H224" s="22" t="inlineStr">
        <is>
          <t>1.87%</t>
        </is>
      </c>
      <c r="I224" s="16" t="inlineStr">
        <is>
          <t>N/A</t>
        </is>
      </c>
      <c r="J224" s="16" t="n">
        <v>1</v>
      </c>
      <c r="K224" s="16" t="n">
        <v>1</v>
      </c>
      <c r="L224" s="16" t="inlineStr">
        <is>
          <t>07.10.2024 23:39:47</t>
        </is>
      </c>
      <c r="M224" s="16" t="inlineStr">
        <is>
          <t>24 min</t>
        </is>
      </c>
      <c r="N224" s="16" t="inlineStr">
        <is>
          <t xml:space="preserve">        251K           256K            92K</t>
        </is>
      </c>
      <c r="O224" s="16" t="inlineStr">
        <is>
          <t>4y5fknXiRc8pJSTiNAzLmCum7LmzctRjxZWc1qtmpump</t>
        </is>
      </c>
      <c r="P224" s="16">
        <f>HYPERLINK("https://dexscreener.com/solana/4y5fknXiRc8pJSTiNAzLmCum7LmzctRjxZWc1qtmpump", "View")</f>
        <v/>
      </c>
    </row>
    <row r="225">
      <c r="A225" s="19" t="inlineStr">
        <is>
          <t>sonny</t>
        </is>
      </c>
      <c r="B225" s="20" t="n">
        <v>27724649</v>
      </c>
      <c r="C225" s="20" t="n">
        <v>27724649</v>
      </c>
      <c r="D225" s="20" t="inlineStr">
        <is>
          <t>0.007530</t>
        </is>
      </c>
      <c r="E225" s="20" t="inlineStr">
        <is>
          <t>10.000 SOL</t>
        </is>
      </c>
      <c r="F225" s="20" t="inlineStr">
        <is>
          <t>23.236 SOL</t>
        </is>
      </c>
      <c r="G225" s="23" t="inlineStr">
        <is>
          <t>13.228 SOL</t>
        </is>
      </c>
      <c r="H225" s="23" t="inlineStr">
        <is>
          <t>132.18%</t>
        </is>
      </c>
      <c r="I225" s="20" t="inlineStr">
        <is>
          <t>N/A</t>
        </is>
      </c>
      <c r="J225" s="20" t="n">
        <v>1</v>
      </c>
      <c r="K225" s="20" t="n">
        <v>2</v>
      </c>
      <c r="L225" s="20" t="inlineStr">
        <is>
          <t>07.10.2024 16:52:52</t>
        </is>
      </c>
      <c r="M225" s="20" t="inlineStr">
        <is>
          <t>29 min</t>
        </is>
      </c>
      <c r="N225" s="20" t="inlineStr">
        <is>
          <t xml:space="preserve">         63K           139K             2M</t>
        </is>
      </c>
      <c r="O225" s="20" t="inlineStr">
        <is>
          <t>FAJW358HjJ2mHXSHbHyxghfVGzX5SBoupdjRr2y9pump</t>
        </is>
      </c>
      <c r="P225" s="20">
        <f>HYPERLINK("https://dexscreener.com/solana/FAJW358HjJ2mHXSHbHyxghfVGzX5SBoupdjRr2y9pump", "View")</f>
        <v/>
      </c>
    </row>
    <row r="226">
      <c r="A226" s="15" t="inlineStr">
        <is>
          <t>Jonah</t>
        </is>
      </c>
      <c r="B226" s="16" t="n">
        <v>97545454</v>
      </c>
      <c r="C226" s="16" t="n">
        <v>97545454</v>
      </c>
      <c r="D226" s="16" t="inlineStr">
        <is>
          <t>0.000020</t>
        </is>
      </c>
      <c r="E226" s="16" t="inlineStr">
        <is>
          <t>3.059 SOL</t>
        </is>
      </c>
      <c r="F226" s="16" t="inlineStr">
        <is>
          <t>5.188 SOL</t>
        </is>
      </c>
      <c r="G226" s="23" t="inlineStr">
        <is>
          <t>2.129 SOL</t>
        </is>
      </c>
      <c r="H226" s="23" t="inlineStr">
        <is>
          <t>69.61%</t>
        </is>
      </c>
      <c r="I226" s="16" t="inlineStr">
        <is>
          <t>N/A</t>
        </is>
      </c>
      <c r="J226" s="16" t="n">
        <v>1</v>
      </c>
      <c r="K226" s="16" t="n">
        <v>1</v>
      </c>
      <c r="L226" s="16" t="inlineStr">
        <is>
          <t>29.09.2024 19:43:23</t>
        </is>
      </c>
      <c r="M226" s="16" t="inlineStr">
        <is>
          <t>2 min</t>
        </is>
      </c>
      <c r="N226" s="16" t="inlineStr">
        <is>
          <t xml:space="preserve">        N/A           N/A           N/A</t>
        </is>
      </c>
      <c r="O226" s="16" t="inlineStr">
        <is>
          <t>Fg9zC9EhQ2qmyc5XtoJQVAJ69zwQe4FP6MCAxeEhwQnT</t>
        </is>
      </c>
      <c r="P226" s="16">
        <f>HYPERLINK("https://photon-sol.tinyastro.io/en/lp/Fg9zC9EhQ2qmyc5XtoJQVAJ69zwQe4FP6MCAxeEhwQnT?handle=676050794bc1b1657a56b", "View")</f>
        <v/>
      </c>
    </row>
    <row r="227">
      <c r="A227" s="19" t="inlineStr">
        <is>
          <t>pump</t>
        </is>
      </c>
      <c r="B227" s="20" t="n">
        <v>71708096</v>
      </c>
      <c r="C227" s="20" t="n">
        <v>71708096</v>
      </c>
      <c r="D227" s="20" t="inlineStr">
        <is>
          <t>0.000020</t>
        </is>
      </c>
      <c r="E227" s="20" t="inlineStr">
        <is>
          <t>3.015 SOL</t>
        </is>
      </c>
      <c r="F227" s="20" t="inlineStr">
        <is>
          <t>4.080 SOL</t>
        </is>
      </c>
      <c r="G227" s="22" t="inlineStr">
        <is>
          <t>1.065 SOL</t>
        </is>
      </c>
      <c r="H227" s="22" t="inlineStr">
        <is>
          <t>35.33%</t>
        </is>
      </c>
      <c r="I227" s="20" t="inlineStr">
        <is>
          <t>N/A</t>
        </is>
      </c>
      <c r="J227" s="20" t="n">
        <v>1</v>
      </c>
      <c r="K227" s="20" t="n">
        <v>1</v>
      </c>
      <c r="L227" s="20" t="inlineStr">
        <is>
          <t>29.09.2024 05:25:50</t>
        </is>
      </c>
      <c r="M227" s="18" t="inlineStr">
        <is>
          <t>18 sec</t>
        </is>
      </c>
      <c r="N227" s="20" t="inlineStr">
        <is>
          <t xml:space="preserve">        N/A           N/A           N/A</t>
        </is>
      </c>
      <c r="O227" s="20" t="inlineStr">
        <is>
          <t>5mTSQmoum2CDscFKWQ2Tcd3dhaLwVTh2LJXrzFCxpump</t>
        </is>
      </c>
      <c r="P227" s="20">
        <f>HYPERLINK("https://photon-sol.tinyastro.io/en/lp/5mTSQmoum2CDscFKWQ2Tcd3dhaLwVTh2LJXrzFCxpump?handle=676050794bc1b1657a56b", "View")</f>
        <v/>
      </c>
    </row>
    <row r="228">
      <c r="A228" s="15" t="inlineStr">
        <is>
          <t xml:space="preserve">Shy </t>
        </is>
      </c>
      <c r="B228" s="16" t="n">
        <v>47481502</v>
      </c>
      <c r="C228" s="16" t="n">
        <v>47481502</v>
      </c>
      <c r="D228" s="16" t="inlineStr">
        <is>
          <t>0.000020</t>
        </is>
      </c>
      <c r="E228" s="16" t="inlineStr">
        <is>
          <t>5.173 SOL</t>
        </is>
      </c>
      <c r="F228" s="16" t="inlineStr">
        <is>
          <t>12.682 SOL</t>
        </is>
      </c>
      <c r="G228" s="23" t="inlineStr">
        <is>
          <t>7.508 SOL</t>
        </is>
      </c>
      <c r="H228" s="23" t="inlineStr">
        <is>
          <t>145.15%</t>
        </is>
      </c>
      <c r="I228" s="16" t="inlineStr">
        <is>
          <t>N/A</t>
        </is>
      </c>
      <c r="J228" s="16" t="n">
        <v>1</v>
      </c>
      <c r="K228" s="16" t="n">
        <v>1</v>
      </c>
      <c r="L228" s="16" t="inlineStr">
        <is>
          <t>29.09.2024 05:21:40</t>
        </is>
      </c>
      <c r="M228" s="16" t="inlineStr">
        <is>
          <t>58 min</t>
        </is>
      </c>
      <c r="N228" s="16" t="inlineStr">
        <is>
          <t xml:space="preserve">         19K            47K             3K</t>
        </is>
      </c>
      <c r="O228" s="16" t="inlineStr">
        <is>
          <t>4znuiWsXxG7bfEavApbUoaxxnTXYEtpbGyENxm1Vpump</t>
        </is>
      </c>
      <c r="P228" s="16">
        <f>HYPERLINK("https://photon-sol.tinyastro.io/en/lp/4znuiWsXxG7bfEavApbUoaxxnTXYEtpbGyENxm1Vpump?handle=676050794bc1b1657a56b", "View")</f>
        <v/>
      </c>
    </row>
    <row r="229">
      <c r="A229" s="19" t="inlineStr">
        <is>
          <t>Kiwi</t>
        </is>
      </c>
      <c r="B229" s="20" t="n">
        <v>255436540</v>
      </c>
      <c r="C229" s="20" t="n">
        <v>255436540</v>
      </c>
      <c r="D229" s="20" t="inlineStr">
        <is>
          <t>0.007540</t>
        </is>
      </c>
      <c r="E229" s="20" t="inlineStr">
        <is>
          <t>10.192 SOL</t>
        </is>
      </c>
      <c r="F229" s="20" t="inlineStr">
        <is>
          <t>10.565 SOL</t>
        </is>
      </c>
      <c r="G229" s="22" t="inlineStr">
        <is>
          <t>0.365 SOL</t>
        </is>
      </c>
      <c r="H229" s="22" t="inlineStr">
        <is>
          <t>3.58%</t>
        </is>
      </c>
      <c r="I229" s="20" t="inlineStr">
        <is>
          <t>N/A</t>
        </is>
      </c>
      <c r="J229" s="20" t="n">
        <v>2</v>
      </c>
      <c r="K229" s="20" t="n">
        <v>2</v>
      </c>
      <c r="L229" s="20" t="inlineStr">
        <is>
          <t>28.09.2024 06:48:17</t>
        </is>
      </c>
      <c r="M229" s="20" t="inlineStr">
        <is>
          <t>55 min</t>
        </is>
      </c>
      <c r="N229" s="20" t="inlineStr">
        <is>
          <t xml:space="preserve">        N/A           N/A           N/A</t>
        </is>
      </c>
      <c r="O229" s="20" t="inlineStr">
        <is>
          <t>6D2LKuJR22mBQpLJnGEPP5EnDBTFfuHfPVE82qfxpump</t>
        </is>
      </c>
      <c r="P229" s="20">
        <f>HYPERLINK("https://photon-sol.tinyastro.io/en/lp/6D2LKuJR22mBQpLJnGEPP5EnDBTFfuHfPVE82qfxpump?handle=676050794bc1b1657a56b", "View")</f>
        <v/>
      </c>
    </row>
    <row r="230">
      <c r="A230" s="15" t="inlineStr">
        <is>
          <t>ANYA</t>
        </is>
      </c>
      <c r="B230" s="16" t="n">
        <v>153285714</v>
      </c>
      <c r="C230" s="16" t="n">
        <v>153285714</v>
      </c>
      <c r="D230" s="16" t="inlineStr">
        <is>
          <t>0.000020</t>
        </is>
      </c>
      <c r="E230" s="16" t="inlineStr">
        <is>
          <t>5.097 SOL</t>
        </is>
      </c>
      <c r="F230" s="16" t="inlineStr">
        <is>
          <t>6.670 SOL</t>
        </is>
      </c>
      <c r="G230" s="22" t="inlineStr">
        <is>
          <t>1.573 SOL</t>
        </is>
      </c>
      <c r="H230" s="22" t="inlineStr">
        <is>
          <t>30.85%</t>
        </is>
      </c>
      <c r="I230" s="16" t="inlineStr">
        <is>
          <t>N/A</t>
        </is>
      </c>
      <c r="J230" s="16" t="n">
        <v>1</v>
      </c>
      <c r="K230" s="16" t="n">
        <v>1</v>
      </c>
      <c r="L230" s="16" t="inlineStr">
        <is>
          <t>28.09.2024 05:41:57</t>
        </is>
      </c>
      <c r="M230" s="18" t="inlineStr">
        <is>
          <t>23 sec</t>
        </is>
      </c>
      <c r="N230" s="16" t="inlineStr">
        <is>
          <t xml:space="preserve">        N/A           N/A           N/A</t>
        </is>
      </c>
      <c r="O230" s="16" t="inlineStr">
        <is>
          <t>FwHFaCMrnTVnE5oJj5oTE7ojrgbbWwaPHdabQrwvpump</t>
        </is>
      </c>
      <c r="P230" s="16">
        <f>HYPERLINK("https://photon-sol.tinyastro.io/en/lp/FwHFaCMrnTVnE5oJj5oTE7ojrgbbWwaPHdabQrwvpump?handle=676050794bc1b1657a56b", "View")</f>
        <v/>
      </c>
    </row>
    <row r="231">
      <c r="A231" s="19" t="inlineStr">
        <is>
          <t>Finn</t>
        </is>
      </c>
      <c r="B231" s="20" t="n">
        <v>306491533</v>
      </c>
      <c r="C231" s="20" t="n">
        <v>306491533</v>
      </c>
      <c r="D231" s="20" t="inlineStr">
        <is>
          <t>0.000040</t>
        </is>
      </c>
      <c r="E231" s="20" t="inlineStr">
        <is>
          <t>10.192 SOL</t>
        </is>
      </c>
      <c r="F231" s="20" t="inlineStr">
        <is>
          <t>13.794 SOL</t>
        </is>
      </c>
      <c r="G231" s="22" t="inlineStr">
        <is>
          <t>3.602 SOL</t>
        </is>
      </c>
      <c r="H231" s="22" t="inlineStr">
        <is>
          <t>35.34%</t>
        </is>
      </c>
      <c r="I231" s="20" t="inlineStr">
        <is>
          <t>N/A</t>
        </is>
      </c>
      <c r="J231" s="20" t="n">
        <v>2</v>
      </c>
      <c r="K231" s="20" t="n">
        <v>2</v>
      </c>
      <c r="L231" s="20" t="inlineStr">
        <is>
          <t>27.09.2024 19:27:49</t>
        </is>
      </c>
      <c r="M231" s="20" t="inlineStr">
        <is>
          <t>23 min</t>
        </is>
      </c>
      <c r="N231" s="20" t="inlineStr">
        <is>
          <t xml:space="preserve">        N/A           N/A           N/A</t>
        </is>
      </c>
      <c r="O231" s="20" t="inlineStr">
        <is>
          <t>BaayDsJ6jGNg4Aw9ChZieAF8wrgjK5fp5NjvWwSfpump</t>
        </is>
      </c>
      <c r="P231" s="20">
        <f>HYPERLINK("https://photon-sol.tinyastro.io/en/lp/BaayDsJ6jGNg4Aw9ChZieAF8wrgjK5fp5NjvWwSfpump?handle=676050794bc1b1657a56b", "View")</f>
        <v/>
      </c>
    </row>
    <row r="232">
      <c r="A232" s="15" t="inlineStr">
        <is>
          <t>KOKO</t>
        </is>
      </c>
      <c r="B232" s="16" t="n">
        <v>137047937</v>
      </c>
      <c r="C232" s="16" t="n">
        <v>137047937</v>
      </c>
      <c r="D232" s="16" t="inlineStr">
        <is>
          <t>0.000020</t>
        </is>
      </c>
      <c r="E232" s="16" t="inlineStr">
        <is>
          <t>7.135 SOL</t>
        </is>
      </c>
      <c r="F232" s="16" t="inlineStr">
        <is>
          <t>9.647 SOL</t>
        </is>
      </c>
      <c r="G232" s="22" t="inlineStr">
        <is>
          <t>2.512 SOL</t>
        </is>
      </c>
      <c r="H232" s="22" t="inlineStr">
        <is>
          <t>35.21%</t>
        </is>
      </c>
      <c r="I232" s="16" t="inlineStr">
        <is>
          <t>N/A</t>
        </is>
      </c>
      <c r="J232" s="16" t="n">
        <v>1</v>
      </c>
      <c r="K232" s="16" t="n">
        <v>1</v>
      </c>
      <c r="L232" s="16" t="inlineStr">
        <is>
          <t>27.09.2024 19:02:26</t>
        </is>
      </c>
      <c r="M232" s="18" t="inlineStr">
        <is>
          <t>11 sec</t>
        </is>
      </c>
      <c r="N232" s="16" t="inlineStr">
        <is>
          <t xml:space="preserve">        N/A           N/A           N/A</t>
        </is>
      </c>
      <c r="O232" s="16" t="inlineStr">
        <is>
          <t>6v7U76bizTbjYZQXwBntBDwsmHK4fGw8sqxNWqRGLzPr</t>
        </is>
      </c>
      <c r="P232" s="16">
        <f>HYPERLINK("https://photon-sol.tinyastro.io/en/lp/6v7U76bizTbjYZQXwBntBDwsmHK4fGw8sqxNWqRGLzPr?handle=676050794bc1b1657a56b", "View")</f>
        <v/>
      </c>
    </row>
    <row r="233">
      <c r="A233" s="19" t="inlineStr">
        <is>
          <t>DEGG</t>
        </is>
      </c>
      <c r="B233" s="20" t="n">
        <v>61727988</v>
      </c>
      <c r="C233" s="20" t="n">
        <v>61727988</v>
      </c>
      <c r="D233" s="20" t="inlineStr">
        <is>
          <t>0.000040</t>
        </is>
      </c>
      <c r="E233" s="20" t="inlineStr">
        <is>
          <t>15.097 SOL</t>
        </is>
      </c>
      <c r="F233" s="20" t="inlineStr">
        <is>
          <t>43.726 SOL</t>
        </is>
      </c>
      <c r="G233" s="23" t="inlineStr">
        <is>
          <t>28.628 SOL</t>
        </is>
      </c>
      <c r="H233" s="23" t="inlineStr">
        <is>
          <t>189.63%</t>
        </is>
      </c>
      <c r="I233" s="20" t="inlineStr">
        <is>
          <t>N/A</t>
        </is>
      </c>
      <c r="J233" s="20" t="n">
        <v>2</v>
      </c>
      <c r="K233" s="20" t="n">
        <v>2</v>
      </c>
      <c r="L233" s="20" t="inlineStr">
        <is>
          <t>27.09.2024 18:50:29</t>
        </is>
      </c>
      <c r="M233" s="20" t="inlineStr">
        <is>
          <t>34 min</t>
        </is>
      </c>
      <c r="N233" s="20" t="inlineStr">
        <is>
          <t xml:space="preserve">         18K            95K             4K</t>
        </is>
      </c>
      <c r="O233" s="20" t="inlineStr">
        <is>
          <t>aKtzSjkmrF2oQx7H6aFSBPtRXCvLLkDNt5L4wNqzRNp</t>
        </is>
      </c>
      <c r="P233" s="20">
        <f>HYPERLINK("https://photon-sol.tinyastro.io/en/lp/aKtzSjkmrF2oQx7H6aFSBPtRXCvLLkDNt5L4wNqzRNp?handle=676050794bc1b1657a56b", "View")</f>
        <v/>
      </c>
    </row>
    <row r="234">
      <c r="A234" s="15" t="inlineStr">
        <is>
          <t>FDO</t>
        </is>
      </c>
      <c r="B234" s="16" t="n">
        <v>149258100</v>
      </c>
      <c r="C234" s="16" t="n">
        <v>149258100</v>
      </c>
      <c r="D234" s="16" t="inlineStr">
        <is>
          <t>0.000020</t>
        </is>
      </c>
      <c r="E234" s="16" t="inlineStr">
        <is>
          <t>5.097 SOL</t>
        </is>
      </c>
      <c r="F234" s="16" t="inlineStr">
        <is>
          <t>7.916 SOL</t>
        </is>
      </c>
      <c r="G234" s="23" t="inlineStr">
        <is>
          <t>2.819 SOL</t>
        </is>
      </c>
      <c r="H234" s="23" t="inlineStr">
        <is>
          <t>55.31%</t>
        </is>
      </c>
      <c r="I234" s="16" t="inlineStr">
        <is>
          <t>N/A</t>
        </is>
      </c>
      <c r="J234" s="16" t="n">
        <v>1</v>
      </c>
      <c r="K234" s="16" t="n">
        <v>1</v>
      </c>
      <c r="L234" s="16" t="inlineStr">
        <is>
          <t>27.09.2024 13:42:05</t>
        </is>
      </c>
      <c r="M234" s="18" t="inlineStr">
        <is>
          <t>35 sec</t>
        </is>
      </c>
      <c r="N234" s="16" t="inlineStr">
        <is>
          <t xml:space="preserve">        N/A           N/A           N/A</t>
        </is>
      </c>
      <c r="O234" s="16" t="inlineStr">
        <is>
          <t>3WFY9Btk2TiiUyp6Khgw1mNc7XRvPHmpERtTgnEmpump</t>
        </is>
      </c>
      <c r="P234" s="16">
        <f>HYPERLINK("https://photon-sol.tinyastro.io/en/lp/3WFY9Btk2TiiUyp6Khgw1mNc7XRvPHmpERtTgnEmpump?handle=676050794bc1b1657a56b", "View")</f>
        <v/>
      </c>
    </row>
    <row r="235">
      <c r="A235" s="19" t="inlineStr">
        <is>
          <t>TOMMY</t>
        </is>
      </c>
      <c r="B235" s="20" t="n">
        <v>26488250</v>
      </c>
      <c r="C235" s="20" t="n">
        <v>26488250</v>
      </c>
      <c r="D235" s="20" t="inlineStr">
        <is>
          <t>0.007520</t>
        </is>
      </c>
      <c r="E235" s="20" t="inlineStr">
        <is>
          <t>10.000 SOL</t>
        </is>
      </c>
      <c r="F235" s="20" t="inlineStr">
        <is>
          <t>18.626 SOL</t>
        </is>
      </c>
      <c r="G235" s="23" t="inlineStr">
        <is>
          <t>8.619 SOL</t>
        </is>
      </c>
      <c r="H235" s="23" t="inlineStr">
        <is>
          <t>86.12%</t>
        </is>
      </c>
      <c r="I235" s="20" t="inlineStr">
        <is>
          <t>N/A</t>
        </is>
      </c>
      <c r="J235" s="20" t="n">
        <v>1</v>
      </c>
      <c r="K235" s="20" t="n">
        <v>1</v>
      </c>
      <c r="L235" s="20" t="inlineStr">
        <is>
          <t>27.09.2024 13:33:45</t>
        </is>
      </c>
      <c r="M235" s="20" t="inlineStr">
        <is>
          <t>12 min</t>
        </is>
      </c>
      <c r="N235" s="20" t="inlineStr">
        <is>
          <t xml:space="preserve">         67K           123K             6K</t>
        </is>
      </c>
      <c r="O235" s="20" t="inlineStr">
        <is>
          <t>9et6KvcE2R84QSi2m18RSFBX8diffFn17FC9vfDXpump</t>
        </is>
      </c>
      <c r="P235" s="20">
        <f>HYPERLINK("https://dexscreener.com/solana/9et6KvcE2R84QSi2m18RSFBX8diffFn17FC9vfDXpump", "View")</f>
        <v/>
      </c>
    </row>
    <row r="236">
      <c r="A236" s="15" t="inlineStr">
        <is>
          <t>sob</t>
        </is>
      </c>
      <c r="B236" s="16" t="n">
        <v>13462014</v>
      </c>
      <c r="C236" s="16" t="n">
        <v>13462014</v>
      </c>
      <c r="D236" s="16" t="inlineStr">
        <is>
          <t>0.007520</t>
        </is>
      </c>
      <c r="E236" s="16" t="inlineStr">
        <is>
          <t>20.000 SOL</t>
        </is>
      </c>
      <c r="F236" s="16" t="inlineStr">
        <is>
          <t>17.335 SOL</t>
        </is>
      </c>
      <c r="G236" s="21" t="inlineStr">
        <is>
          <t>-2.672 SOL</t>
        </is>
      </c>
      <c r="H236" s="21" t="inlineStr">
        <is>
          <t>-13.36%</t>
        </is>
      </c>
      <c r="I236" s="16" t="inlineStr">
        <is>
          <t>N/A</t>
        </is>
      </c>
      <c r="J236" s="16" t="n">
        <v>1</v>
      </c>
      <c r="K236" s="16" t="n">
        <v>1</v>
      </c>
      <c r="L236" s="16" t="inlineStr">
        <is>
          <t>26.09.2024 23:42:41</t>
        </is>
      </c>
      <c r="M236" s="16" t="inlineStr">
        <is>
          <t>22 min</t>
        </is>
      </c>
      <c r="N236" s="16" t="inlineStr">
        <is>
          <t xml:space="preserve">        262K           227K             7K</t>
        </is>
      </c>
      <c r="O236" s="16" t="inlineStr">
        <is>
          <t>GakTSP4CsvHjdcxsCm2dwFBc5RYgYhbDQrTnVCgUpump</t>
        </is>
      </c>
      <c r="P236" s="16">
        <f>HYPERLINK("https://dexscreener.com/solana/GakTSP4CsvHjdcxsCm2dwFBc5RYgYhbDQrTnVCgUpump", "View")</f>
        <v/>
      </c>
    </row>
    <row r="237">
      <c r="A237" s="19" t="inlineStr">
        <is>
          <t>SOLANA</t>
        </is>
      </c>
      <c r="B237" s="20" t="n">
        <v>9796406</v>
      </c>
      <c r="C237" s="20" t="n">
        <v>9796406</v>
      </c>
      <c r="D237" s="20" t="inlineStr">
        <is>
          <t>0.007520</t>
        </is>
      </c>
      <c r="E237" s="20" t="inlineStr">
        <is>
          <t>20.000 SOL</t>
        </is>
      </c>
      <c r="F237" s="20" t="inlineStr">
        <is>
          <t>21.546 SOL</t>
        </is>
      </c>
      <c r="G237" s="22" t="inlineStr">
        <is>
          <t>1.538 SOL</t>
        </is>
      </c>
      <c r="H237" s="22" t="inlineStr">
        <is>
          <t>7.69%</t>
        </is>
      </c>
      <c r="I237" s="20" t="inlineStr">
        <is>
          <t>N/A</t>
        </is>
      </c>
      <c r="J237" s="20" t="n">
        <v>1</v>
      </c>
      <c r="K237" s="20" t="n">
        <v>1</v>
      </c>
      <c r="L237" s="20" t="inlineStr">
        <is>
          <t>26.09.2024 20:04:18</t>
        </is>
      </c>
      <c r="M237" s="20" t="inlineStr">
        <is>
          <t>57 min</t>
        </is>
      </c>
      <c r="N237" s="20" t="inlineStr">
        <is>
          <t xml:space="preserve">        345K           372K           341K</t>
        </is>
      </c>
      <c r="O237" s="20" t="inlineStr">
        <is>
          <t>fESbUKjuMY6jzDH9VP8cy4p3pu2q5W2rK2XghVfNseP</t>
        </is>
      </c>
      <c r="P237" s="20">
        <f>HYPERLINK("https://dexscreener.com/solana/fESbUKjuMY6jzDH9VP8cy4p3pu2q5W2rK2XghVfNseP", "View")</f>
        <v/>
      </c>
    </row>
    <row r="238">
      <c r="A238" s="15" t="inlineStr">
        <is>
          <t>ATH</t>
        </is>
      </c>
      <c r="B238" s="16" t="n">
        <v>8651985</v>
      </c>
      <c r="C238" s="16" t="n">
        <v>8651985</v>
      </c>
      <c r="D238" s="16" t="inlineStr">
        <is>
          <t>0.000020</t>
        </is>
      </c>
      <c r="E238" s="16" t="inlineStr">
        <is>
          <t>20.000 SOL</t>
        </is>
      </c>
      <c r="F238" s="16" t="inlineStr">
        <is>
          <t>19.595 SOL</t>
        </is>
      </c>
      <c r="G238" s="21" t="inlineStr">
        <is>
          <t>-0.405 SOL</t>
        </is>
      </c>
      <c r="H238" s="21" t="inlineStr">
        <is>
          <t>-2.03%</t>
        </is>
      </c>
      <c r="I238" s="16" t="inlineStr">
        <is>
          <t>N/A</t>
        </is>
      </c>
      <c r="J238" s="16" t="n">
        <v>1</v>
      </c>
      <c r="K238" s="16" t="n">
        <v>1</v>
      </c>
      <c r="L238" s="16" t="inlineStr">
        <is>
          <t>26.09.2024 17:25:28</t>
        </is>
      </c>
      <c r="M238" s="16" t="inlineStr">
        <is>
          <t>2 min</t>
        </is>
      </c>
      <c r="N238" s="16" t="inlineStr">
        <is>
          <t xml:space="preserve">        405K           397K             6K</t>
        </is>
      </c>
      <c r="O238" s="16" t="inlineStr">
        <is>
          <t>8m6zCXsR5LEiECLzTQwzcnr8kisYPZrMSmugqVZTpump</t>
        </is>
      </c>
      <c r="P238" s="16">
        <f>HYPERLINK("https://dexscreener.com/solana/8m6zCXsR5LEiECLzTQwzcnr8kisYPZrMSmugqVZTpump", "View")</f>
        <v/>
      </c>
    </row>
    <row r="239">
      <c r="A239" s="19" t="inlineStr">
        <is>
          <t>PRESTO</t>
        </is>
      </c>
      <c r="B239" s="20" t="n">
        <v>122399493</v>
      </c>
      <c r="C239" s="20" t="n">
        <v>122409914</v>
      </c>
      <c r="D239" s="20" t="inlineStr">
        <is>
          <t>0.000020</t>
        </is>
      </c>
      <c r="E239" s="20" t="inlineStr">
        <is>
          <t>4.076 SOL</t>
        </is>
      </c>
      <c r="F239" s="20" t="inlineStr">
        <is>
          <t>4.834 SOL</t>
        </is>
      </c>
      <c r="G239" s="22" t="inlineStr">
        <is>
          <t>0.758 SOL</t>
        </is>
      </c>
      <c r="H239" s="22" t="inlineStr">
        <is>
          <t>18.60%</t>
        </is>
      </c>
      <c r="I239" s="20" t="inlineStr">
        <is>
          <t>N/A</t>
        </is>
      </c>
      <c r="J239" s="20" t="n">
        <v>1</v>
      </c>
      <c r="K239" s="20" t="n">
        <v>1</v>
      </c>
      <c r="L239" s="20" t="inlineStr">
        <is>
          <t>24.09.2024 20:41:43</t>
        </is>
      </c>
      <c r="M239" s="18" t="inlineStr">
        <is>
          <t>16 sec</t>
        </is>
      </c>
      <c r="N239" s="20" t="inlineStr">
        <is>
          <t xml:space="preserve">        N/A           N/A           N/A</t>
        </is>
      </c>
      <c r="O239" s="20" t="inlineStr">
        <is>
          <t>FAZh2U5BS6gi5ibw7hU4HPMnqVVbDcQSWbXVpqeCpump</t>
        </is>
      </c>
      <c r="P239" s="20">
        <f>HYPERLINK("https://photon-sol.tinyastro.io/en/lp/FAZh2U5BS6gi5ibw7hU4HPMnqVVbDcQSWbXVpqeCpump?handle=676050794bc1b1657a56b", "View")</f>
        <v/>
      </c>
    </row>
    <row r="240">
      <c r="A240" s="15" t="inlineStr">
        <is>
          <t>drip</t>
        </is>
      </c>
      <c r="B240" s="16" t="n">
        <v>32201361</v>
      </c>
      <c r="C240" s="16" t="n">
        <v>32213861</v>
      </c>
      <c r="D240" s="16" t="inlineStr">
        <is>
          <t>0.000020</t>
        </is>
      </c>
      <c r="E240" s="16" t="inlineStr">
        <is>
          <t>1.019 SOL</t>
        </is>
      </c>
      <c r="F240" s="16" t="inlineStr">
        <is>
          <t>1.342 SOL</t>
        </is>
      </c>
      <c r="G240" s="22" t="inlineStr">
        <is>
          <t>0.323 SOL</t>
        </is>
      </c>
      <c r="H240" s="22" t="inlineStr">
        <is>
          <t>31.71%</t>
        </is>
      </c>
      <c r="I240" s="16" t="inlineStr">
        <is>
          <t>N/A</t>
        </is>
      </c>
      <c r="J240" s="16" t="n">
        <v>1</v>
      </c>
      <c r="K240" s="16" t="n">
        <v>1</v>
      </c>
      <c r="L240" s="16" t="inlineStr">
        <is>
          <t>24.09.2024 20:41:13</t>
        </is>
      </c>
      <c r="M240" s="16" t="inlineStr">
        <is>
          <t>7 hours</t>
        </is>
      </c>
      <c r="N240" s="16" t="inlineStr">
        <is>
          <t xml:space="preserve">        N/A           N/A           N/A</t>
        </is>
      </c>
      <c r="O240" s="16" t="inlineStr">
        <is>
          <t>Edazh5SW6ts7PocPvPgjrdKyqqszcRcqdB22B8tapump</t>
        </is>
      </c>
      <c r="P240" s="16">
        <f>HYPERLINK("https://photon-sol.tinyastro.io/en/lp/Edazh5SW6ts7PocPvPgjrdKyqqszcRcqdB22B8tapump?handle=676050794bc1b1657a56b", "View")</f>
        <v/>
      </c>
    </row>
    <row r="241">
      <c r="A241" s="19" t="inlineStr">
        <is>
          <t>bDOG</t>
        </is>
      </c>
      <c r="B241" s="20" t="n">
        <v>148798309</v>
      </c>
      <c r="C241" s="20" t="n">
        <v>148798309</v>
      </c>
      <c r="D241" s="20" t="inlineStr">
        <is>
          <t>0.007540</t>
        </is>
      </c>
      <c r="E241" s="20" t="inlineStr">
        <is>
          <t>8.162 SOL</t>
        </is>
      </c>
      <c r="F241" s="20" t="inlineStr">
        <is>
          <t>8.322 SOL</t>
        </is>
      </c>
      <c r="G241" s="22" t="inlineStr">
        <is>
          <t>0.153 SOL</t>
        </is>
      </c>
      <c r="H241" s="22" t="inlineStr">
        <is>
          <t>1.88%</t>
        </is>
      </c>
      <c r="I241" s="20" t="inlineStr">
        <is>
          <t>N/A</t>
        </is>
      </c>
      <c r="J241" s="20" t="n">
        <v>2</v>
      </c>
      <c r="K241" s="20" t="n">
        <v>2</v>
      </c>
      <c r="L241" s="20" t="inlineStr">
        <is>
          <t>24.09.2024 13:32:24</t>
        </is>
      </c>
      <c r="M241" s="20" t="inlineStr">
        <is>
          <t>8 hours</t>
        </is>
      </c>
      <c r="N241" s="20" t="inlineStr">
        <is>
          <t xml:space="preserve">        N/A           N/A           N/A</t>
        </is>
      </c>
      <c r="O241" s="20" t="inlineStr">
        <is>
          <t>AtemtSDeFP5jmfWB7tfn8JF8CuvQJzQq58b1rTBFpump</t>
        </is>
      </c>
      <c r="P241" s="20">
        <f>HYPERLINK("https://photon-sol.tinyastro.io/en/lp/AtemtSDeFP5jmfWB7tfn8JF8CuvQJzQq58b1rTBFpump?handle=676050794bc1b1657a56b", "View")</f>
        <v/>
      </c>
    </row>
    <row r="242">
      <c r="A242" s="15" t="inlineStr">
        <is>
          <t>JIZZY</t>
        </is>
      </c>
      <c r="B242" s="16" t="n">
        <v>64474673</v>
      </c>
      <c r="C242" s="16" t="n">
        <v>64474673</v>
      </c>
      <c r="D242" s="16" t="inlineStr">
        <is>
          <t>0.000020</t>
        </is>
      </c>
      <c r="E242" s="16" t="inlineStr">
        <is>
          <t>3.059 SOL</t>
        </is>
      </c>
      <c r="F242" s="16" t="inlineStr">
        <is>
          <t>4.833 SOL</t>
        </is>
      </c>
      <c r="G242" s="23" t="inlineStr">
        <is>
          <t>1.774 SOL</t>
        </is>
      </c>
      <c r="H242" s="23" t="inlineStr">
        <is>
          <t>57.98%</t>
        </is>
      </c>
      <c r="I242" s="16" t="inlineStr">
        <is>
          <t>N/A</t>
        </is>
      </c>
      <c r="J242" s="16" t="n">
        <v>1</v>
      </c>
      <c r="K242" s="16" t="n">
        <v>1</v>
      </c>
      <c r="L242" s="16" t="inlineStr">
        <is>
          <t>24.09.2024 05:22:31</t>
        </is>
      </c>
      <c r="M242" s="18" t="inlineStr">
        <is>
          <t>14 sec</t>
        </is>
      </c>
      <c r="N242" s="16" t="inlineStr">
        <is>
          <t xml:space="preserve">        N/A           N/A           N/A</t>
        </is>
      </c>
      <c r="O242" s="16" t="inlineStr">
        <is>
          <t>3NdUCr52JL458HSRBNt18XrF8pqr7u76xJzsybQxpump</t>
        </is>
      </c>
      <c r="P242" s="16">
        <f>HYPERLINK("https://photon-sol.tinyastro.io/en/lp/3NdUCr52JL458HSRBNt18XrF8pqr7u76xJzsybQxpump?handle=676050794bc1b1657a56b", "View")</f>
        <v/>
      </c>
    </row>
    <row r="243">
      <c r="A243" s="19" t="inlineStr">
        <is>
          <t>Derek</t>
        </is>
      </c>
      <c r="B243" s="20" t="n">
        <v>62772969</v>
      </c>
      <c r="C243" s="20" t="n">
        <v>62772969</v>
      </c>
      <c r="D243" s="20" t="inlineStr">
        <is>
          <t>0.000020</t>
        </is>
      </c>
      <c r="E243" s="20" t="inlineStr">
        <is>
          <t>2.295 SOL</t>
        </is>
      </c>
      <c r="F243" s="20" t="inlineStr">
        <is>
          <t>11.896 SOL</t>
        </is>
      </c>
      <c r="G243" s="23" t="inlineStr">
        <is>
          <t>9.601 SOL</t>
        </is>
      </c>
      <c r="H243" s="23" t="inlineStr">
        <is>
          <t>418.38%</t>
        </is>
      </c>
      <c r="I243" s="20" t="inlineStr">
        <is>
          <t>N/A</t>
        </is>
      </c>
      <c r="J243" s="20" t="n">
        <v>1</v>
      </c>
      <c r="K243" s="20" t="n">
        <v>1</v>
      </c>
      <c r="L243" s="20" t="inlineStr">
        <is>
          <t>24.09.2024 00:11:27</t>
        </is>
      </c>
      <c r="M243" s="20" t="inlineStr">
        <is>
          <t>10 min</t>
        </is>
      </c>
      <c r="N243" s="20" t="inlineStr">
        <is>
          <t xml:space="preserve">        N/A           N/A           N/A</t>
        </is>
      </c>
      <c r="O243" s="20" t="inlineStr">
        <is>
          <t>68zRvToHmBgcVYSj4qzU8sWwxCGCaHqqFsgXMGU6pump</t>
        </is>
      </c>
      <c r="P243" s="20">
        <f>HYPERLINK("https://photon-sol.tinyastro.io/en/lp/68zRvToHmBgcVYSj4qzU8sWwxCGCaHqqFsgXMGU6pump?handle=676050794bc1b1657a56b", "View")</f>
        <v/>
      </c>
    </row>
    <row r="244">
      <c r="A244" s="15" t="inlineStr">
        <is>
          <t>rizzler</t>
        </is>
      </c>
      <c r="B244" s="16" t="n">
        <v>13587346</v>
      </c>
      <c r="C244" s="16" t="n">
        <v>13587346</v>
      </c>
      <c r="D244" s="16" t="inlineStr">
        <is>
          <t>0.000020</t>
        </is>
      </c>
      <c r="E244" s="16" t="inlineStr">
        <is>
          <t>3.133 SOL</t>
        </is>
      </c>
      <c r="F244" s="16" t="inlineStr">
        <is>
          <t>4.624 SOL</t>
        </is>
      </c>
      <c r="G244" s="22" t="inlineStr">
        <is>
          <t>1.491 SOL</t>
        </is>
      </c>
      <c r="H244" s="22" t="inlineStr">
        <is>
          <t>47.60%</t>
        </is>
      </c>
      <c r="I244" s="16" t="inlineStr">
        <is>
          <t>N/A</t>
        </is>
      </c>
      <c r="J244" s="16" t="n">
        <v>1</v>
      </c>
      <c r="K244" s="16" t="n">
        <v>1</v>
      </c>
      <c r="L244" s="16" t="inlineStr">
        <is>
          <t>23.09.2024 01:49:40</t>
        </is>
      </c>
      <c r="M244" s="16" t="inlineStr">
        <is>
          <t>1 hours</t>
        </is>
      </c>
      <c r="N244" s="16" t="inlineStr">
        <is>
          <t xml:space="preserve">         40K            60K            13K</t>
        </is>
      </c>
      <c r="O244" s="16" t="inlineStr">
        <is>
          <t>HSyQ1TCwJApXRoLszSdwzTnYXY8aqYdJwQYsTgq6pump</t>
        </is>
      </c>
      <c r="P244" s="16">
        <f>HYPERLINK("https://photon-sol.tinyastro.io/en/lp/HSyQ1TCwJApXRoLszSdwzTnYXY8aqYdJwQYsTgq6pump?handle=676050794bc1b1657a56b", "View")</f>
        <v/>
      </c>
    </row>
    <row r="245">
      <c r="A245" s="19" t="inlineStr">
        <is>
          <t>fomc</t>
        </is>
      </c>
      <c r="B245" s="20" t="n">
        <v>119883704</v>
      </c>
      <c r="C245" s="20" t="n">
        <v>119883704</v>
      </c>
      <c r="D245" s="20" t="inlineStr">
        <is>
          <t>0.007530</t>
        </is>
      </c>
      <c r="E245" s="20" t="inlineStr">
        <is>
          <t>6.361 SOL</t>
        </is>
      </c>
      <c r="F245" s="20" t="inlineStr">
        <is>
          <t>7.350 SOL</t>
        </is>
      </c>
      <c r="G245" s="22" t="inlineStr">
        <is>
          <t>0.981 SOL</t>
        </is>
      </c>
      <c r="H245" s="22" t="inlineStr">
        <is>
          <t>15.41%</t>
        </is>
      </c>
      <c r="I245" s="20" t="inlineStr">
        <is>
          <t>N/A</t>
        </is>
      </c>
      <c r="J245" s="20" t="n">
        <v>2</v>
      </c>
      <c r="K245" s="20" t="n">
        <v>1</v>
      </c>
      <c r="L245" s="20" t="inlineStr">
        <is>
          <t>18.09.2024 19:56:39</t>
        </is>
      </c>
      <c r="M245" s="20" t="inlineStr">
        <is>
          <t>1 min</t>
        </is>
      </c>
      <c r="N245" s="20" t="inlineStr">
        <is>
          <t xml:space="preserve">          9K            11K             5K</t>
        </is>
      </c>
      <c r="O245" s="20" t="inlineStr">
        <is>
          <t>DTi1AVjyeYdSeBRN6jxpLK7ry99pgAMazMrXmSK3pump</t>
        </is>
      </c>
      <c r="P245" s="20">
        <f>HYPERLINK("https://photon-sol.tinyastro.io/en/lp/DTi1AVjyeYdSeBRN6jxpLK7ry99pgAMazMrXmSK3pump?handle=676050794bc1b1657a56b", "View")</f>
        <v/>
      </c>
    </row>
    <row r="246">
      <c r="A246" s="15" t="inlineStr">
        <is>
          <t>wym</t>
        </is>
      </c>
      <c r="B246" s="16" t="n">
        <v>147097314</v>
      </c>
      <c r="C246" s="16" t="n">
        <v>147097314</v>
      </c>
      <c r="D246" s="16" t="inlineStr">
        <is>
          <t>0.000020</t>
        </is>
      </c>
      <c r="E246" s="16" t="inlineStr">
        <is>
          <t>5.097 SOL</t>
        </is>
      </c>
      <c r="F246" s="16" t="inlineStr">
        <is>
          <t>6.308 SOL</t>
        </is>
      </c>
      <c r="G246" s="22" t="inlineStr">
        <is>
          <t>1.210 SOL</t>
        </is>
      </c>
      <c r="H246" s="22" t="inlineStr">
        <is>
          <t>23.75%</t>
        </is>
      </c>
      <c r="I246" s="16" t="inlineStr">
        <is>
          <t>N/A</t>
        </is>
      </c>
      <c r="J246" s="16" t="n">
        <v>1</v>
      </c>
      <c r="K246" s="16" t="n">
        <v>1</v>
      </c>
      <c r="L246" s="16" t="inlineStr">
        <is>
          <t>18.09.2024 00:07:12</t>
        </is>
      </c>
      <c r="M246" s="18" t="inlineStr">
        <is>
          <t>20 sec</t>
        </is>
      </c>
      <c r="N246" s="16" t="inlineStr">
        <is>
          <t xml:space="preserve">        N/A           N/A           N/A</t>
        </is>
      </c>
      <c r="O246" s="16" t="inlineStr">
        <is>
          <t>5uUCfovB4UpbqZo5NcwSQmDo9V9Rz4Ya4UuB4gndpump</t>
        </is>
      </c>
      <c r="P246" s="16">
        <f>HYPERLINK("https://photon-sol.tinyastro.io/en/lp/5uUCfovB4UpbqZo5NcwSQmDo9V9Rz4Ya4UuB4gndpump?handle=676050794bc1b1657a56b", "View")</f>
        <v/>
      </c>
    </row>
    <row r="247">
      <c r="A247" s="19" t="inlineStr">
        <is>
          <t>yawny</t>
        </is>
      </c>
      <c r="B247" s="20" t="n">
        <v>153285714</v>
      </c>
      <c r="C247" s="20" t="n">
        <v>153285714</v>
      </c>
      <c r="D247" s="20" t="inlineStr">
        <is>
          <t>0.007520</t>
        </is>
      </c>
      <c r="E247" s="20" t="inlineStr">
        <is>
          <t>5.105 SOL</t>
        </is>
      </c>
      <c r="F247" s="20" t="inlineStr">
        <is>
          <t>19.737 SOL</t>
        </is>
      </c>
      <c r="G247" s="23" t="inlineStr">
        <is>
          <t>14.625 SOL</t>
        </is>
      </c>
      <c r="H247" s="23" t="inlineStr">
        <is>
          <t>286.10%</t>
        </is>
      </c>
      <c r="I247" s="20" t="inlineStr">
        <is>
          <t>N/A</t>
        </is>
      </c>
      <c r="J247" s="20" t="n">
        <v>1</v>
      </c>
      <c r="K247" s="20" t="n">
        <v>1</v>
      </c>
      <c r="L247" s="20" t="inlineStr">
        <is>
          <t>18.09.2024 00:04:19</t>
        </is>
      </c>
      <c r="M247" s="20" t="inlineStr">
        <is>
          <t>46 min</t>
        </is>
      </c>
      <c r="N247" s="20" t="inlineStr">
        <is>
          <t xml:space="preserve">        N/A           N/A           N/A</t>
        </is>
      </c>
      <c r="O247" s="20" t="inlineStr">
        <is>
          <t>574E6PS3gYNKv8G5aSYk2bqYjjDWGH8XKhgMQMeBpump</t>
        </is>
      </c>
      <c r="P247" s="20">
        <f>HYPERLINK("https://photon-sol.tinyastro.io/en/lp/574E6PS3gYNKv8G5aSYk2bqYjjDWGH8XKhgMQMeBpump?handle=676050794bc1b1657a56b", "View")</f>
        <v/>
      </c>
    </row>
    <row r="248">
      <c r="A248" s="15" t="inlineStr">
        <is>
          <t>PYPI</t>
        </is>
      </c>
      <c r="B248" s="16" t="n">
        <v>196403366</v>
      </c>
      <c r="C248" s="16" t="n">
        <v>196403366</v>
      </c>
      <c r="D248" s="16" t="inlineStr">
        <is>
          <t>0.007520</t>
        </is>
      </c>
      <c r="E248" s="16" t="inlineStr">
        <is>
          <t>10.200 SOL</t>
        </is>
      </c>
      <c r="F248" s="16" t="inlineStr">
        <is>
          <t>11.870 SOL</t>
        </is>
      </c>
      <c r="G248" s="22" t="inlineStr">
        <is>
          <t>1.663 SOL</t>
        </is>
      </c>
      <c r="H248" s="22" t="inlineStr">
        <is>
          <t>16.29%</t>
        </is>
      </c>
      <c r="I248" s="16" t="inlineStr">
        <is>
          <t>N/A</t>
        </is>
      </c>
      <c r="J248" s="16" t="n">
        <v>1</v>
      </c>
      <c r="K248" s="16" t="n">
        <v>1</v>
      </c>
      <c r="L248" s="16" t="inlineStr">
        <is>
          <t>17.09.2024 23:15:41</t>
        </is>
      </c>
      <c r="M248" s="18" t="inlineStr">
        <is>
          <t>45 sec</t>
        </is>
      </c>
      <c r="N248" s="16" t="inlineStr">
        <is>
          <t xml:space="preserve">        N/A           N/A           N/A</t>
        </is>
      </c>
      <c r="O248" s="16" t="inlineStr">
        <is>
          <t>AEPqz8CfzSZtePT7rvyAaThqzZ64qf492sos6HRqpump</t>
        </is>
      </c>
      <c r="P248" s="16">
        <f>HYPERLINK("https://photon-sol.tinyastro.io/en/lp/AEPqz8CfzSZtePT7rvyAaThqzZ64qf492sos6HRqpump?handle=676050794bc1b1657a56b", "View")</f>
        <v/>
      </c>
    </row>
    <row r="249">
      <c r="A249" s="19" t="inlineStr">
        <is>
          <t>dengwifhat</t>
        </is>
      </c>
      <c r="B249" s="20" t="n">
        <v>207913682</v>
      </c>
      <c r="C249" s="20" t="n">
        <v>207913682</v>
      </c>
      <c r="D249" s="20" t="inlineStr">
        <is>
          <t>0.000020</t>
        </is>
      </c>
      <c r="E249" s="20" t="inlineStr">
        <is>
          <t>10.192 SOL</t>
        </is>
      </c>
      <c r="F249" s="20" t="inlineStr">
        <is>
          <t>11.324 SOL</t>
        </is>
      </c>
      <c r="G249" s="22" t="inlineStr">
        <is>
          <t>1.132 SOL</t>
        </is>
      </c>
      <c r="H249" s="22" t="inlineStr">
        <is>
          <t>11.11%</t>
        </is>
      </c>
      <c r="I249" s="20" t="inlineStr">
        <is>
          <t>N/A</t>
        </is>
      </c>
      <c r="J249" s="20" t="n">
        <v>1</v>
      </c>
      <c r="K249" s="20" t="n">
        <v>1</v>
      </c>
      <c r="L249" s="20" t="inlineStr">
        <is>
          <t>17.09.2024 23:14:27</t>
        </is>
      </c>
      <c r="M249" s="18" t="inlineStr">
        <is>
          <t>8 sec</t>
        </is>
      </c>
      <c r="N249" s="20" t="inlineStr">
        <is>
          <t xml:space="preserve">        N/A           N/A           N/A</t>
        </is>
      </c>
      <c r="O249" s="20" t="inlineStr">
        <is>
          <t>EvobPwvLdKz8RkD2gv8CnE9fRbz5JiDNVBEyyrBMpump</t>
        </is>
      </c>
      <c r="P249" s="20">
        <f>HYPERLINK("https://photon-sol.tinyastro.io/en/lp/EvobPwvLdKz8RkD2gv8CnE9fRbz5JiDNVBEyyrBMpump?handle=676050794bc1b1657a56b", "View")</f>
        <v/>
      </c>
    </row>
    <row r="250">
      <c r="A250" s="15" t="inlineStr">
        <is>
          <t>papi</t>
        </is>
      </c>
      <c r="B250" s="16" t="n">
        <v>142967792</v>
      </c>
      <c r="C250" s="16" t="n">
        <v>142967792</v>
      </c>
      <c r="D250" s="16" t="inlineStr">
        <is>
          <t>0.007520</t>
        </is>
      </c>
      <c r="E250" s="16" t="inlineStr">
        <is>
          <t>5.097 SOL</t>
        </is>
      </c>
      <c r="F250" s="16" t="inlineStr">
        <is>
          <t>14.606 SOL</t>
        </is>
      </c>
      <c r="G250" s="23" t="inlineStr">
        <is>
          <t>9.501 SOL</t>
        </is>
      </c>
      <c r="H250" s="23" t="inlineStr">
        <is>
          <t>186.14%</t>
        </is>
      </c>
      <c r="I250" s="16" t="inlineStr">
        <is>
          <t>N/A</t>
        </is>
      </c>
      <c r="J250" s="16" t="n">
        <v>1</v>
      </c>
      <c r="K250" s="16" t="n">
        <v>1</v>
      </c>
      <c r="L250" s="16" t="inlineStr">
        <is>
          <t>17.09.2024 19:23:39</t>
        </is>
      </c>
      <c r="M250" s="16" t="inlineStr">
        <is>
          <t>1 min</t>
        </is>
      </c>
      <c r="N250" s="16" t="inlineStr">
        <is>
          <t xml:space="preserve">        N/A           N/A           N/A</t>
        </is>
      </c>
      <c r="O250" s="16" t="inlineStr">
        <is>
          <t>FVX11kYphSJCvLYfYyxmtmMBmobN7EzF4efeeabBpump</t>
        </is>
      </c>
      <c r="P250" s="16">
        <f>HYPERLINK("https://photon-sol.tinyastro.io/en/lp/FVX11kYphSJCvLYfYyxmtmMBmobN7EzF4efeeabBpump?handle=676050794bc1b1657a56b", "View")</f>
        <v/>
      </c>
    </row>
    <row r="251">
      <c r="A251" s="19" t="inlineStr">
        <is>
          <t>OSAMABULL</t>
        </is>
      </c>
      <c r="B251" s="20" t="n">
        <v>3202893</v>
      </c>
      <c r="C251" s="20" t="n">
        <v>3203804</v>
      </c>
      <c r="D251" s="20" t="inlineStr">
        <is>
          <t>0.000020</t>
        </is>
      </c>
      <c r="E251" s="20" t="inlineStr">
        <is>
          <t>3.000 SOL</t>
        </is>
      </c>
      <c r="F251" s="20" t="inlineStr">
        <is>
          <t>4.349 SOL</t>
        </is>
      </c>
      <c r="G251" s="22" t="inlineStr">
        <is>
          <t>1.349 SOL</t>
        </is>
      </c>
      <c r="H251" s="22" t="inlineStr">
        <is>
          <t>44.97%</t>
        </is>
      </c>
      <c r="I251" s="20" t="inlineStr">
        <is>
          <t>N/A</t>
        </is>
      </c>
      <c r="J251" s="20" t="n">
        <v>1</v>
      </c>
      <c r="K251" s="20" t="n">
        <v>1</v>
      </c>
      <c r="L251" s="20" t="inlineStr">
        <is>
          <t>17.09.2024 19:21:43</t>
        </is>
      </c>
      <c r="M251" s="18" t="inlineStr">
        <is>
          <t>14 sec</t>
        </is>
      </c>
      <c r="N251" s="20" t="inlineStr">
        <is>
          <t xml:space="preserve">        N/A           N/A           N/A</t>
        </is>
      </c>
      <c r="O251" s="20" t="inlineStr">
        <is>
          <t>EqG8kGuM73FMJyQ4diAm7Wkk1y5WEUbPpRRYhoZUZetb</t>
        </is>
      </c>
      <c r="P251" s="20">
        <f>HYPERLINK("https://dexscreener.com/solana/EqG8kGuM73FMJyQ4diAm7Wkk1y5WEUbPpRRYhoZUZetb", "View")</f>
        <v/>
      </c>
    </row>
    <row r="252">
      <c r="A252" s="15" t="inlineStr">
        <is>
          <t>NC</t>
        </is>
      </c>
      <c r="B252" s="16" t="n">
        <v>304119</v>
      </c>
      <c r="C252" s="16" t="n">
        <v>304119</v>
      </c>
      <c r="D252" s="16" t="inlineStr">
        <is>
          <t>0.000380</t>
        </is>
      </c>
      <c r="E252" s="16" t="inlineStr">
        <is>
          <t>8.000 SOL</t>
        </is>
      </c>
      <c r="F252" s="16" t="inlineStr">
        <is>
          <t>7.440 SOL</t>
        </is>
      </c>
      <c r="G252" s="21" t="inlineStr">
        <is>
          <t>-0.560 SOL</t>
        </is>
      </c>
      <c r="H252" s="21" t="inlineStr">
        <is>
          <t>-7.00%</t>
        </is>
      </c>
      <c r="I252" s="16" t="inlineStr">
        <is>
          <t>N/A</t>
        </is>
      </c>
      <c r="J252" s="16" t="n">
        <v>2</v>
      </c>
      <c r="K252" s="16" t="n">
        <v>1</v>
      </c>
      <c r="L252" s="16" t="inlineStr">
        <is>
          <t>17.09.2024 19:21:14</t>
        </is>
      </c>
      <c r="M252" s="16" t="inlineStr">
        <is>
          <t>7 days</t>
        </is>
      </c>
      <c r="N252" s="16" t="inlineStr">
        <is>
          <t xml:space="preserve">         21M             4K           142K</t>
        </is>
      </c>
      <c r="O252" s="16" t="inlineStr">
        <is>
          <t>7wH5YKNnhcjyqUUXZwsdQWK26JVj9ejfNwDFfR1VCyod</t>
        </is>
      </c>
      <c r="P252" s="16">
        <f>HYPERLINK("https://dexscreener.com/solana/7wH5YKNnhcjyqUUXZwsdQWK26JVj9ejfNwDFfR1VCyod", "View")</f>
        <v/>
      </c>
    </row>
    <row r="253">
      <c r="A253" s="19" t="inlineStr">
        <is>
          <t>MRB</t>
        </is>
      </c>
      <c r="B253" s="20" t="n">
        <v>97848757</v>
      </c>
      <c r="C253" s="20" t="n">
        <v>97848757</v>
      </c>
      <c r="D253" s="20" t="inlineStr">
        <is>
          <t>0.000020</t>
        </is>
      </c>
      <c r="E253" s="20" t="inlineStr">
        <is>
          <t>5.097 SOL</t>
        </is>
      </c>
      <c r="F253" s="20" t="inlineStr">
        <is>
          <t>6.329 SOL</t>
        </is>
      </c>
      <c r="G253" s="22" t="inlineStr">
        <is>
          <t>1.232 SOL</t>
        </is>
      </c>
      <c r="H253" s="22" t="inlineStr">
        <is>
          <t>24.16%</t>
        </is>
      </c>
      <c r="I253" s="20" t="inlineStr">
        <is>
          <t>N/A</t>
        </is>
      </c>
      <c r="J253" s="20" t="n">
        <v>1</v>
      </c>
      <c r="K253" s="20" t="n">
        <v>1</v>
      </c>
      <c r="L253" s="20" t="inlineStr">
        <is>
          <t>17.09.2024 19:19:18</t>
        </is>
      </c>
      <c r="M253" s="18" t="inlineStr">
        <is>
          <t>20 sec</t>
        </is>
      </c>
      <c r="N253" s="20" t="inlineStr">
        <is>
          <t xml:space="preserve">        N/A           N/A           N/A</t>
        </is>
      </c>
      <c r="O253" s="20" t="inlineStr">
        <is>
          <t>Gg5zZXhp9eRsPp8EUydkdWY2eRtwmT1AtT8u5EY2pump</t>
        </is>
      </c>
      <c r="P253" s="20">
        <f>HYPERLINK("https://photon-sol.tinyastro.io/en/lp/Gg5zZXhp9eRsPp8EUydkdWY2eRtwmT1AtT8u5EY2pump?handle=676050794bc1b1657a56b", "View")</f>
        <v/>
      </c>
    </row>
    <row r="254">
      <c r="A254" s="15" t="inlineStr">
        <is>
          <t>FR</t>
        </is>
      </c>
      <c r="B254" s="16" t="n">
        <v>141707558</v>
      </c>
      <c r="C254" s="16" t="n">
        <v>141707558</v>
      </c>
      <c r="D254" s="16" t="inlineStr">
        <is>
          <t>0.007520</t>
        </is>
      </c>
      <c r="E254" s="16" t="inlineStr">
        <is>
          <t>5.097 SOL</t>
        </is>
      </c>
      <c r="F254" s="16" t="inlineStr">
        <is>
          <t>6.759 SOL</t>
        </is>
      </c>
      <c r="G254" s="22" t="inlineStr">
        <is>
          <t>1.655 SOL</t>
        </is>
      </c>
      <c r="H254" s="22" t="inlineStr">
        <is>
          <t>32.42%</t>
        </is>
      </c>
      <c r="I254" s="16" t="inlineStr">
        <is>
          <t>N/A</t>
        </is>
      </c>
      <c r="J254" s="16" t="n">
        <v>1</v>
      </c>
      <c r="K254" s="16" t="n">
        <v>1</v>
      </c>
      <c r="L254" s="16" t="inlineStr">
        <is>
          <t>08.09.2024 19:56:52</t>
        </is>
      </c>
      <c r="M254" s="18" t="inlineStr">
        <is>
          <t>21 sec</t>
        </is>
      </c>
      <c r="N254" s="16" t="inlineStr">
        <is>
          <t xml:space="preserve">        N/A           N/A           N/A</t>
        </is>
      </c>
      <c r="O254" s="16" t="inlineStr">
        <is>
          <t>C8HqrVUNbocX6Quvmde97DUXCiyNafjD2sLENbbhpump</t>
        </is>
      </c>
      <c r="P254" s="16">
        <f>HYPERLINK("https://photon-sol.tinyastro.io/en/lp/C8HqrVUNbocX6Quvmde97DUXCiyNafjD2sLENbbhpump?handle=676050794bc1b1657a56b", "View")</f>
        <v/>
      </c>
    </row>
    <row r="255">
      <c r="A255" s="19" t="inlineStr">
        <is>
          <t>BBTC</t>
        </is>
      </c>
      <c r="B255" s="20" t="n">
        <v>151706929</v>
      </c>
      <c r="C255" s="20" t="n">
        <v>151706929</v>
      </c>
      <c r="D255" s="20" t="inlineStr">
        <is>
          <t>0.000020</t>
        </is>
      </c>
      <c r="E255" s="20" t="inlineStr">
        <is>
          <t>5.097 SOL</t>
        </is>
      </c>
      <c r="F255" s="20" t="inlineStr">
        <is>
          <t>9.876 SOL</t>
        </is>
      </c>
      <c r="G255" s="23" t="inlineStr">
        <is>
          <t>4.779 SOL</t>
        </is>
      </c>
      <c r="H255" s="23" t="inlineStr">
        <is>
          <t>93.76%</t>
        </is>
      </c>
      <c r="I255" s="20" t="inlineStr">
        <is>
          <t>N/A</t>
        </is>
      </c>
      <c r="J255" s="20" t="n">
        <v>1</v>
      </c>
      <c r="K255" s="20" t="n">
        <v>1</v>
      </c>
      <c r="L255" s="20" t="inlineStr">
        <is>
          <t>08.09.2024 19:26:54</t>
        </is>
      </c>
      <c r="M255" s="18" t="inlineStr">
        <is>
          <t>39 sec</t>
        </is>
      </c>
      <c r="N255" s="20" t="inlineStr">
        <is>
          <t xml:space="preserve">        N/A           N/A           N/A</t>
        </is>
      </c>
      <c r="O255" s="20" t="inlineStr">
        <is>
          <t>EUHGRgMMB3ccSTUdXqhwQR5FXCsAbUcVzc14Ecnopump</t>
        </is>
      </c>
      <c r="P255" s="20">
        <f>HYPERLINK("https://photon-sol.tinyastro.io/en/lp/EUHGRgMMB3ccSTUdXqhwQR5FXCsAbUcVzc14Ecnopump?handle=676050794bc1b1657a56b", "View")</f>
        <v/>
      </c>
    </row>
    <row r="256">
      <c r="A256" s="15" t="inlineStr">
        <is>
          <t>Budy</t>
        </is>
      </c>
      <c r="B256" s="16" t="n">
        <v>152510839</v>
      </c>
      <c r="C256" s="16" t="n">
        <v>152510839</v>
      </c>
      <c r="D256" s="16" t="inlineStr">
        <is>
          <t>0.007520</t>
        </is>
      </c>
      <c r="E256" s="16" t="inlineStr">
        <is>
          <t>5.105 SOL</t>
        </is>
      </c>
      <c r="F256" s="16" t="inlineStr">
        <is>
          <t>21.325 SOL</t>
        </is>
      </c>
      <c r="G256" s="23" t="inlineStr">
        <is>
          <t>16.213 SOL</t>
        </is>
      </c>
      <c r="H256" s="23" t="inlineStr">
        <is>
          <t>317.16%</t>
        </is>
      </c>
      <c r="I256" s="16" t="inlineStr">
        <is>
          <t>N/A</t>
        </is>
      </c>
      <c r="J256" s="16" t="n">
        <v>1</v>
      </c>
      <c r="K256" s="16" t="n">
        <v>1</v>
      </c>
      <c r="L256" s="16" t="inlineStr">
        <is>
          <t>08.09.2024 18:47:33</t>
        </is>
      </c>
      <c r="M256" s="16" t="inlineStr">
        <is>
          <t>4 min</t>
        </is>
      </c>
      <c r="N256" s="16" t="inlineStr">
        <is>
          <t xml:space="preserve">        N/A           N/A           N/A</t>
        </is>
      </c>
      <c r="O256" s="16" t="inlineStr">
        <is>
          <t>DDchvg75qzvCZWot2ZoSM9Ti6KL8jciARLnV2H6wdwF2</t>
        </is>
      </c>
      <c r="P256" s="16">
        <f>HYPERLINK("https://photon-sol.tinyastro.io/en/lp/DDchvg75qzvCZWot2ZoSM9Ti6KL8jciARLnV2H6wdwF2?handle=676050794bc1b1657a56b", "View")</f>
        <v/>
      </c>
    </row>
    <row r="257">
      <c r="A257" s="19" t="inlineStr">
        <is>
          <t>coke</t>
        </is>
      </c>
      <c r="B257" s="20" t="n">
        <v>30243744</v>
      </c>
      <c r="C257" s="20" t="n">
        <v>30243744</v>
      </c>
      <c r="D257" s="20" t="inlineStr">
        <is>
          <t>0.000020</t>
        </is>
      </c>
      <c r="E257" s="20" t="inlineStr">
        <is>
          <t>3.000 SOL</t>
        </is>
      </c>
      <c r="F257" s="20" t="inlineStr">
        <is>
          <t>4.846 SOL</t>
        </is>
      </c>
      <c r="G257" s="23" t="inlineStr">
        <is>
          <t>1.846 SOL</t>
        </is>
      </c>
      <c r="H257" s="23" t="inlineStr">
        <is>
          <t>61.54%</t>
        </is>
      </c>
      <c r="I257" s="20" t="inlineStr">
        <is>
          <t>N/A</t>
        </is>
      </c>
      <c r="J257" s="20" t="n">
        <v>1</v>
      </c>
      <c r="K257" s="20" t="n">
        <v>1</v>
      </c>
      <c r="L257" s="20" t="inlineStr">
        <is>
          <t>30.08.2024 02:45:20</t>
        </is>
      </c>
      <c r="M257" s="20" t="inlineStr">
        <is>
          <t>20 min</t>
        </is>
      </c>
      <c r="N257" s="20" t="inlineStr">
        <is>
          <t xml:space="preserve">         18K            28K             4K</t>
        </is>
      </c>
      <c r="O257" s="20" t="inlineStr">
        <is>
          <t>C9DRTdA25hzcqSfHdRYKtGEQ77kispxqTngRVJm3jS4A</t>
        </is>
      </c>
      <c r="P257" s="20">
        <f>HYPERLINK("https://dexscreener.com/solana/C9DRTdA25hzcqSfHdRYKtGEQ77kispxqTngRVJm3jS4A", "View")</f>
        <v/>
      </c>
    </row>
    <row r="258">
      <c r="A258" s="15" t="inlineStr">
        <is>
          <t>$MBAPPE</t>
        </is>
      </c>
      <c r="B258" s="16" t="n">
        <v>6820507</v>
      </c>
      <c r="C258" s="16" t="n">
        <v>6820507</v>
      </c>
      <c r="D258" s="16" t="inlineStr">
        <is>
          <t>0.000020</t>
        </is>
      </c>
      <c r="E258" s="16" t="inlineStr">
        <is>
          <t>0.500 SOL</t>
        </is>
      </c>
      <c r="F258" s="16" t="inlineStr">
        <is>
          <t>0.488 SOL</t>
        </is>
      </c>
      <c r="G258" s="21" t="inlineStr">
        <is>
          <t>-0.012 SOL</t>
        </is>
      </c>
      <c r="H258" s="21" t="inlineStr">
        <is>
          <t>-2.33%</t>
        </is>
      </c>
      <c r="I258" s="16" t="inlineStr">
        <is>
          <t>N/A</t>
        </is>
      </c>
      <c r="J258" s="16" t="n">
        <v>1</v>
      </c>
      <c r="K258" s="16" t="n">
        <v>1</v>
      </c>
      <c r="L258" s="16" t="inlineStr">
        <is>
          <t>29.08.2024 02:22:02</t>
        </is>
      </c>
      <c r="M258" s="16" t="inlineStr">
        <is>
          <t>42 min</t>
        </is>
      </c>
      <c r="N258" s="16" t="inlineStr">
        <is>
          <t xml:space="preserve">         12K            12K             4K</t>
        </is>
      </c>
      <c r="O258" s="16" t="inlineStr">
        <is>
          <t>BWY3meE6Av2FrXTeSrXpmCHGUoFdzZ1gcLjR5Ufwpump</t>
        </is>
      </c>
      <c r="P258" s="16">
        <f>HYPERLINK("https://dexscreener.com/solana/BWY3meE6Av2FrXTeSrXpmCHGUoFdzZ1gcLjR5Ufwpump", "View")</f>
        <v/>
      </c>
    </row>
    <row r="259">
      <c r="A259" s="19" t="inlineStr">
        <is>
          <t>dek</t>
        </is>
      </c>
      <c r="B259" s="20" t="n">
        <v>153285714</v>
      </c>
      <c r="C259" s="20" t="n">
        <v>153285714</v>
      </c>
      <c r="D259" s="20" t="inlineStr">
        <is>
          <t>0.000020</t>
        </is>
      </c>
      <c r="E259" s="20" t="inlineStr">
        <is>
          <t>5.097 SOL</t>
        </is>
      </c>
      <c r="F259" s="20" t="inlineStr">
        <is>
          <t>8.322 SOL</t>
        </is>
      </c>
      <c r="G259" s="23" t="inlineStr">
        <is>
          <t>3.225 SOL</t>
        </is>
      </c>
      <c r="H259" s="23" t="inlineStr">
        <is>
          <t>63.27%</t>
        </is>
      </c>
      <c r="I259" s="20" t="inlineStr">
        <is>
          <t>N/A</t>
        </is>
      </c>
      <c r="J259" s="20" t="n">
        <v>1</v>
      </c>
      <c r="K259" s="20" t="n">
        <v>1</v>
      </c>
      <c r="L259" s="20" t="inlineStr">
        <is>
          <t>27.08.2024 17:37:22</t>
        </is>
      </c>
      <c r="M259" s="20" t="inlineStr">
        <is>
          <t>1 min</t>
        </is>
      </c>
      <c r="N259" s="20" t="inlineStr">
        <is>
          <t xml:space="preserve">        N/A           N/A           N/A</t>
        </is>
      </c>
      <c r="O259" s="20" t="inlineStr">
        <is>
          <t>68vauA4gkwWakz3QB2uernPJU5vfkfo5dHTDRVTxMnUh</t>
        </is>
      </c>
      <c r="P259" s="20">
        <f>HYPERLINK("https://photon-sol.tinyastro.io/en/lp/68vauA4gkwWakz3QB2uernPJU5vfkfo5dHTDRVTxMnUh?handle=676050794bc1b1657a56b", "View")</f>
        <v/>
      </c>
    </row>
    <row r="260">
      <c r="A260" s="15" t="inlineStr">
        <is>
          <t>watching</t>
        </is>
      </c>
      <c r="B260" s="16" t="n">
        <v>131605831</v>
      </c>
      <c r="C260" s="16" t="n">
        <v>131605831</v>
      </c>
      <c r="D260" s="16" t="inlineStr">
        <is>
          <t>0.000020</t>
        </is>
      </c>
      <c r="E260" s="16" t="inlineStr">
        <is>
          <t>5.097 SOL</t>
        </is>
      </c>
      <c r="F260" s="16" t="inlineStr">
        <is>
          <t>11.861 SOL</t>
        </is>
      </c>
      <c r="G260" s="23" t="inlineStr">
        <is>
          <t>6.764 SOL</t>
        </is>
      </c>
      <c r="H260" s="23" t="inlineStr">
        <is>
          <t>132.71%</t>
        </is>
      </c>
      <c r="I260" s="16" t="inlineStr">
        <is>
          <t>N/A</t>
        </is>
      </c>
      <c r="J260" s="16" t="n">
        <v>1</v>
      </c>
      <c r="K260" s="16" t="n">
        <v>1</v>
      </c>
      <c r="L260" s="16" t="inlineStr">
        <is>
          <t>27.08.2024 17:35:09</t>
        </is>
      </c>
      <c r="M260" s="16" t="inlineStr">
        <is>
          <t>2 min</t>
        </is>
      </c>
      <c r="N260" s="16" t="inlineStr">
        <is>
          <t xml:space="preserve">        N/A           N/A           N/A</t>
        </is>
      </c>
      <c r="O260" s="16" t="inlineStr">
        <is>
          <t>61grGET2pPtdrVBSBtGAUHXyQwRaGi8onDLPWwBupump</t>
        </is>
      </c>
      <c r="P260" s="16">
        <f>HYPERLINK("https://photon-sol.tinyastro.io/en/lp/61grGET2pPtdrVBSBtGAUHXyQwRaGi8onDLPWwBupump?handle=676050794bc1b1657a56b", "View")</f>
        <v/>
      </c>
    </row>
    <row r="261">
      <c r="A261" s="19" t="inlineStr">
        <is>
          <t>COPY</t>
        </is>
      </c>
      <c r="B261" s="20" t="n">
        <v>129280861</v>
      </c>
      <c r="C261" s="20" t="n">
        <v>129280861</v>
      </c>
      <c r="D261" s="20" t="inlineStr">
        <is>
          <t>0.000020</t>
        </is>
      </c>
      <c r="E261" s="20" t="inlineStr">
        <is>
          <t>5.097 SOL</t>
        </is>
      </c>
      <c r="F261" s="20" t="inlineStr">
        <is>
          <t>11.069 SOL</t>
        </is>
      </c>
      <c r="G261" s="23" t="inlineStr">
        <is>
          <t>5.972 SOL</t>
        </is>
      </c>
      <c r="H261" s="23" t="inlineStr">
        <is>
          <t>117.17%</t>
        </is>
      </c>
      <c r="I261" s="20" t="inlineStr">
        <is>
          <t>N/A</t>
        </is>
      </c>
      <c r="J261" s="20" t="n">
        <v>1</v>
      </c>
      <c r="K261" s="20" t="n">
        <v>1</v>
      </c>
      <c r="L261" s="20" t="inlineStr">
        <is>
          <t>27.08.2024 02:43:41</t>
        </is>
      </c>
      <c r="M261" s="18" t="inlineStr">
        <is>
          <t>10 sec</t>
        </is>
      </c>
      <c r="N261" s="20" t="inlineStr">
        <is>
          <t xml:space="preserve">        N/A           N/A           N/A</t>
        </is>
      </c>
      <c r="O261" s="20" t="inlineStr">
        <is>
          <t>7src8YhqHnbVNkieoPnBYKqYdfq4AW9yHyqLTtLnpump</t>
        </is>
      </c>
      <c r="P261" s="20">
        <f>HYPERLINK("https://photon-sol.tinyastro.io/en/lp/7src8YhqHnbVNkieoPnBYKqYdfq4AW9yHyqLTtLnpump?handle=676050794bc1b1657a56b", "View")</f>
        <v/>
      </c>
    </row>
    <row r="262">
      <c r="A262" s="15" t="inlineStr">
        <is>
          <t>TIBBERS</t>
        </is>
      </c>
      <c r="B262" s="16" t="n">
        <v>144220430</v>
      </c>
      <c r="C262" s="16" t="n">
        <v>144220430</v>
      </c>
      <c r="D262" s="16" t="inlineStr">
        <is>
          <t>0.000020</t>
        </is>
      </c>
      <c r="E262" s="16" t="inlineStr">
        <is>
          <t>5.097 SOL</t>
        </is>
      </c>
      <c r="F262" s="16" t="inlineStr">
        <is>
          <t>11.190 SOL</t>
        </is>
      </c>
      <c r="G262" s="23" t="inlineStr">
        <is>
          <t>6.093 SOL</t>
        </is>
      </c>
      <c r="H262" s="23" t="inlineStr">
        <is>
          <t>119.54%</t>
        </is>
      </c>
      <c r="I262" s="16" t="inlineStr">
        <is>
          <t>N/A</t>
        </is>
      </c>
      <c r="J262" s="16" t="n">
        <v>1</v>
      </c>
      <c r="K262" s="16" t="n">
        <v>1</v>
      </c>
      <c r="L262" s="16" t="inlineStr">
        <is>
          <t>27.08.2024 02:43:06</t>
        </is>
      </c>
      <c r="M262" s="18" t="inlineStr">
        <is>
          <t>11 sec</t>
        </is>
      </c>
      <c r="N262" s="16" t="inlineStr">
        <is>
          <t xml:space="preserve">        N/A           N/A           N/A</t>
        </is>
      </c>
      <c r="O262" s="16" t="inlineStr">
        <is>
          <t>J4ZAo9qcqtYyQdoUSUyfJFfrsDyXkFP8UY1Ps3J7cytS</t>
        </is>
      </c>
      <c r="P262" s="16">
        <f>HYPERLINK("https://photon-sol.tinyastro.io/en/lp/J4ZAo9qcqtYyQdoUSUyfJFfrsDyXkFP8UY1Ps3J7cytS?handle=676050794bc1b1657a56b", "View")</f>
        <v/>
      </c>
    </row>
    <row r="263">
      <c r="A263" s="19" t="inlineStr">
        <is>
          <t>Rosie</t>
        </is>
      </c>
      <c r="B263" s="20" t="n">
        <v>153176925</v>
      </c>
      <c r="C263" s="20" t="n">
        <v>153176925</v>
      </c>
      <c r="D263" s="20" t="inlineStr">
        <is>
          <t>0.000020</t>
        </is>
      </c>
      <c r="E263" s="20" t="inlineStr">
        <is>
          <t>5.097 SOL</t>
        </is>
      </c>
      <c r="F263" s="20" t="inlineStr">
        <is>
          <t>9.921 SOL</t>
        </is>
      </c>
      <c r="G263" s="23" t="inlineStr">
        <is>
          <t>4.824 SOL</t>
        </is>
      </c>
      <c r="H263" s="23" t="inlineStr">
        <is>
          <t>94.64%</t>
        </is>
      </c>
      <c r="I263" s="20" t="inlineStr">
        <is>
          <t>N/A</t>
        </is>
      </c>
      <c r="J263" s="20" t="n">
        <v>1</v>
      </c>
      <c r="K263" s="20" t="n">
        <v>1</v>
      </c>
      <c r="L263" s="20" t="inlineStr">
        <is>
          <t>27.08.2024 02:42:16</t>
        </is>
      </c>
      <c r="M263" s="18" t="inlineStr">
        <is>
          <t>28 sec</t>
        </is>
      </c>
      <c r="N263" s="20" t="inlineStr">
        <is>
          <t xml:space="preserve">        N/A           N/A           N/A</t>
        </is>
      </c>
      <c r="O263" s="20" t="inlineStr">
        <is>
          <t>3nTjLHwpinY3EUdeNK52Mgj5rJtcgPztZnksJXV2NBVd</t>
        </is>
      </c>
      <c r="P263" s="20">
        <f>HYPERLINK("https://photon-sol.tinyastro.io/en/lp/3nTjLHwpinY3EUdeNK52Mgj5rJtcgPztZnksJXV2NBVd?handle=676050794bc1b1657a56b", "View")</f>
        <v/>
      </c>
    </row>
    <row r="264">
      <c r="A264" s="15" t="inlineStr">
        <is>
          <t>dazzle</t>
        </is>
      </c>
      <c r="B264" s="16" t="n">
        <v>97440424</v>
      </c>
      <c r="C264" s="16" t="n">
        <v>97440424</v>
      </c>
      <c r="D264" s="16" t="inlineStr">
        <is>
          <t>0.000020</t>
        </is>
      </c>
      <c r="E264" s="16" t="inlineStr">
        <is>
          <t>3.059 SOL</t>
        </is>
      </c>
      <c r="F264" s="16" t="inlineStr">
        <is>
          <t>12.558 SOL</t>
        </is>
      </c>
      <c r="G264" s="23" t="inlineStr">
        <is>
          <t>9.499 SOL</t>
        </is>
      </c>
      <c r="H264" s="23" t="inlineStr">
        <is>
          <t>310.51%</t>
        </is>
      </c>
      <c r="I264" s="16" t="inlineStr">
        <is>
          <t>N/A</t>
        </is>
      </c>
      <c r="J264" s="16" t="n">
        <v>1</v>
      </c>
      <c r="K264" s="16" t="n">
        <v>1</v>
      </c>
      <c r="L264" s="16" t="inlineStr">
        <is>
          <t>27.08.2024 00:13:05</t>
        </is>
      </c>
      <c r="M264" s="18" t="inlineStr">
        <is>
          <t>31 sec</t>
        </is>
      </c>
      <c r="N264" s="16" t="inlineStr">
        <is>
          <t xml:space="preserve">        N/A           N/A           N/A</t>
        </is>
      </c>
      <c r="O264" s="16" t="inlineStr">
        <is>
          <t>8EY65xdnMH6hhFcKqqYeUKkX3pNszCY3BAorvawLn13j</t>
        </is>
      </c>
      <c r="P264" s="16">
        <f>HYPERLINK("https://photon-sol.tinyastro.io/en/lp/8EY65xdnMH6hhFcKqqYeUKkX3pNszCY3BAorvawLn13j?handle=676050794bc1b1657a56b", "View")</f>
        <v/>
      </c>
    </row>
    <row r="265">
      <c r="A265" s="19" t="inlineStr">
        <is>
          <t>NEAL</t>
        </is>
      </c>
      <c r="B265" s="20" t="n">
        <v>36225494</v>
      </c>
      <c r="C265" s="20" t="n">
        <v>36225494</v>
      </c>
      <c r="D265" s="20" t="inlineStr">
        <is>
          <t>0.000020</t>
        </is>
      </c>
      <c r="E265" s="20" t="inlineStr">
        <is>
          <t>3.059 SOL</t>
        </is>
      </c>
      <c r="F265" s="20" t="inlineStr">
        <is>
          <t>15.547 SOL</t>
        </is>
      </c>
      <c r="G265" s="23" t="inlineStr">
        <is>
          <t>12.488 SOL</t>
        </is>
      </c>
      <c r="H265" s="23" t="inlineStr">
        <is>
          <t>408.24%</t>
        </is>
      </c>
      <c r="I265" s="20" t="inlineStr">
        <is>
          <t>N/A</t>
        </is>
      </c>
      <c r="J265" s="20" t="n">
        <v>1</v>
      </c>
      <c r="K265" s="20" t="n">
        <v>1</v>
      </c>
      <c r="L265" s="20" t="inlineStr">
        <is>
          <t>26.08.2024 17:04:21</t>
        </is>
      </c>
      <c r="M265" s="20" t="inlineStr">
        <is>
          <t>34 min</t>
        </is>
      </c>
      <c r="N265" s="20" t="inlineStr">
        <is>
          <t xml:space="preserve">         14K            75K             4K</t>
        </is>
      </c>
      <c r="O265" s="20" t="inlineStr">
        <is>
          <t>Btv1j6L2pxLQHVqU5vuJBsXcDkaZD3rV7yu5HnDwpump</t>
        </is>
      </c>
      <c r="P265" s="20">
        <f>HYPERLINK("https://photon-sol.tinyastro.io/en/lp/Btv1j6L2pxLQHVqU5vuJBsXcDkaZD3rV7yu5HnDwpump?handle=676050794bc1b1657a56b", "View")</f>
        <v/>
      </c>
    </row>
    <row r="266">
      <c r="A266" s="15" t="inlineStr">
        <is>
          <t>bare</t>
        </is>
      </c>
      <c r="B266" s="16" t="n">
        <v>51705677</v>
      </c>
      <c r="C266" s="16" t="n">
        <v>51705677</v>
      </c>
      <c r="D266" s="16" t="inlineStr">
        <is>
          <t>0.000020</t>
        </is>
      </c>
      <c r="E266" s="16" t="inlineStr">
        <is>
          <t>1.785 SOL</t>
        </is>
      </c>
      <c r="F266" s="16" t="inlineStr">
        <is>
          <t>10.965 SOL</t>
        </is>
      </c>
      <c r="G266" s="23" t="inlineStr">
        <is>
          <t>9.180 SOL</t>
        </is>
      </c>
      <c r="H266" s="23" t="inlineStr">
        <is>
          <t>514.19%</t>
        </is>
      </c>
      <c r="I266" s="16" t="inlineStr">
        <is>
          <t>N/A</t>
        </is>
      </c>
      <c r="J266" s="16" t="n">
        <v>1</v>
      </c>
      <c r="K266" s="16" t="n">
        <v>1</v>
      </c>
      <c r="L266" s="16" t="inlineStr">
        <is>
          <t>26.08.2024 12:58:08</t>
        </is>
      </c>
      <c r="M266" s="16" t="inlineStr">
        <is>
          <t>11 hours</t>
        </is>
      </c>
      <c r="N266" s="16" t="inlineStr">
        <is>
          <t xml:space="preserve">          5K            37K             4K</t>
        </is>
      </c>
      <c r="O266" s="16" t="inlineStr">
        <is>
          <t>6tjRkKpQxTT1Bymf5cCGYtsfQduNmoj8raYEbFteAXJ4</t>
        </is>
      </c>
      <c r="P266" s="16">
        <f>HYPERLINK("https://photon-sol.tinyastro.io/en/lp/6tjRkKpQxTT1Bymf5cCGYtsfQduNmoj8raYEbFteAXJ4?handle=676050794bc1b1657a56b", "View")</f>
        <v/>
      </c>
    </row>
    <row r="267">
      <c r="A267" s="19" t="inlineStr">
        <is>
          <t>sym</t>
        </is>
      </c>
      <c r="B267" s="20" t="n">
        <v>22975330</v>
      </c>
      <c r="C267" s="20" t="n">
        <v>22975330</v>
      </c>
      <c r="D267" s="20" t="inlineStr">
        <is>
          <t>0.000020</t>
        </is>
      </c>
      <c r="E267" s="20" t="inlineStr">
        <is>
          <t>30.000 SOL</t>
        </is>
      </c>
      <c r="F267" s="20" t="inlineStr">
        <is>
          <t>25.546 SOL</t>
        </is>
      </c>
      <c r="G267" s="21" t="inlineStr">
        <is>
          <t>-4.454 SOL</t>
        </is>
      </c>
      <c r="H267" s="21" t="inlineStr">
        <is>
          <t>-14.85%</t>
        </is>
      </c>
      <c r="I267" s="20" t="inlineStr">
        <is>
          <t>N/A</t>
        </is>
      </c>
      <c r="J267" s="20" t="n">
        <v>1</v>
      </c>
      <c r="K267" s="20" t="n">
        <v>1</v>
      </c>
      <c r="L267" s="20" t="inlineStr">
        <is>
          <t>25.08.2024 03:55:29</t>
        </is>
      </c>
      <c r="M267" s="20" t="inlineStr">
        <is>
          <t>33 min</t>
        </is>
      </c>
      <c r="N267" s="20" t="inlineStr">
        <is>
          <t xml:space="preserve">        230K           195K             8K</t>
        </is>
      </c>
      <c r="O267" s="20" t="inlineStr">
        <is>
          <t>TrnnxPQvYkMtakCYGToFHs1uYMqumpWeE93W9fFpump</t>
        </is>
      </c>
      <c r="P267" s="20">
        <f>HYPERLINK("https://dexscreener.com/solana/TrnnxPQvYkMtakCYGToFHs1uYMqumpWeE93W9fFpump", "View")</f>
        <v/>
      </c>
    </row>
    <row r="268">
      <c r="A268" s="15" t="inlineStr">
        <is>
          <t>bor</t>
        </is>
      </c>
      <c r="B268" s="16" t="n">
        <v>129164584</v>
      </c>
      <c r="C268" s="16" t="n">
        <v>129164584</v>
      </c>
      <c r="D268" s="16" t="inlineStr">
        <is>
          <t>0.000020</t>
        </is>
      </c>
      <c r="E268" s="16" t="inlineStr">
        <is>
          <t>5.097 SOL</t>
        </is>
      </c>
      <c r="F268" s="16" t="inlineStr">
        <is>
          <t>6.329 SOL</t>
        </is>
      </c>
      <c r="G268" s="22" t="inlineStr">
        <is>
          <t>1.232 SOL</t>
        </is>
      </c>
      <c r="H268" s="22" t="inlineStr">
        <is>
          <t>24.18%</t>
        </is>
      </c>
      <c r="I268" s="16" t="inlineStr">
        <is>
          <t>N/A</t>
        </is>
      </c>
      <c r="J268" s="16" t="n">
        <v>1</v>
      </c>
      <c r="K268" s="16" t="n">
        <v>1</v>
      </c>
      <c r="L268" s="16" t="inlineStr">
        <is>
          <t>18.08.2024 23:16:27</t>
        </is>
      </c>
      <c r="M268" s="18" t="inlineStr">
        <is>
          <t>13 sec</t>
        </is>
      </c>
      <c r="N268" s="16" t="inlineStr">
        <is>
          <t xml:space="preserve">        N/A           N/A           N/A</t>
        </is>
      </c>
      <c r="O268" s="16" t="inlineStr">
        <is>
          <t>3u43cc3XbmUaCmRnq71PRQu92KkwXTo5r7JLiu8PSV8b</t>
        </is>
      </c>
      <c r="P268" s="16">
        <f>HYPERLINK("https://photon-sol.tinyastro.io/en/lp/3u43cc3XbmUaCmRnq71PRQu92KkwXTo5r7JLiu8PSV8b?handle=676050794bc1b1657a56b", "View")</f>
        <v/>
      </c>
    </row>
    <row r="269">
      <c r="A269" s="19" t="inlineStr">
        <is>
          <t>mcdog</t>
        </is>
      </c>
      <c r="B269" s="20" t="n">
        <v>8927692</v>
      </c>
      <c r="C269" s="20" t="n">
        <v>8927692</v>
      </c>
      <c r="D269" s="20" t="inlineStr">
        <is>
          <t>0.000030</t>
        </is>
      </c>
      <c r="E269" s="20" t="inlineStr">
        <is>
          <t>10.000 SOL</t>
        </is>
      </c>
      <c r="F269" s="20" t="inlineStr">
        <is>
          <t>9.995 SOL</t>
        </is>
      </c>
      <c r="G269" s="21" t="inlineStr">
        <is>
          <t>-0.005 SOL</t>
        </is>
      </c>
      <c r="H269" s="21" t="inlineStr">
        <is>
          <t>-0.05%</t>
        </is>
      </c>
      <c r="I269" s="20" t="inlineStr">
        <is>
          <t>N/A</t>
        </is>
      </c>
      <c r="J269" s="20" t="n">
        <v>1</v>
      </c>
      <c r="K269" s="20" t="n">
        <v>2</v>
      </c>
      <c r="L269" s="20" t="inlineStr">
        <is>
          <t>18.08.2024 23:08:37</t>
        </is>
      </c>
      <c r="M269" s="20" t="inlineStr">
        <is>
          <t>3 min</t>
        </is>
      </c>
      <c r="N269" s="20" t="inlineStr">
        <is>
          <t xml:space="preserve">        197K           188K            11K</t>
        </is>
      </c>
      <c r="O269" s="20" t="inlineStr">
        <is>
          <t>5Ue9q5Bogsdq7yZipQdmG2j9J3y1u2VpGxzfi42gpump</t>
        </is>
      </c>
      <c r="P269" s="20">
        <f>HYPERLINK("https://dexscreener.com/solana/5Ue9q5Bogsdq7yZipQdmG2j9J3y1u2VpGxzfi42gpump", "View")</f>
        <v/>
      </c>
    </row>
    <row r="270">
      <c r="A270" s="15" t="inlineStr">
        <is>
          <t>VODKA</t>
        </is>
      </c>
      <c r="B270" s="16" t="n">
        <v>50745364</v>
      </c>
      <c r="C270" s="16" t="n">
        <v>50745364</v>
      </c>
      <c r="D270" s="16" t="inlineStr">
        <is>
          <t>0.007530</t>
        </is>
      </c>
      <c r="E270" s="16" t="inlineStr">
        <is>
          <t>3.000 SOL</t>
        </is>
      </c>
      <c r="F270" s="16" t="inlineStr">
        <is>
          <t>4.775 SOL</t>
        </is>
      </c>
      <c r="G270" s="23" t="inlineStr">
        <is>
          <t>1.767 SOL</t>
        </is>
      </c>
      <c r="H270" s="23" t="inlineStr">
        <is>
          <t>58.75%</t>
        </is>
      </c>
      <c r="I270" s="16" t="inlineStr">
        <is>
          <t>N/A</t>
        </is>
      </c>
      <c r="J270" s="16" t="n">
        <v>1</v>
      </c>
      <c r="K270" s="16" t="n">
        <v>2</v>
      </c>
      <c r="L270" s="16" t="inlineStr">
        <is>
          <t>17.08.2024 22:35:55</t>
        </is>
      </c>
      <c r="M270" s="16" t="inlineStr">
        <is>
          <t>41 min</t>
        </is>
      </c>
      <c r="N270" s="16" t="inlineStr">
        <is>
          <t xml:space="preserve">         11K            12K             5K</t>
        </is>
      </c>
      <c r="O270" s="16" t="inlineStr">
        <is>
          <t>5iTrKEyVWiQNoUFfwNZeFCYEwPDgrXCzke9Nz1Dk6g9K</t>
        </is>
      </c>
      <c r="P270" s="16">
        <f>HYPERLINK("https://dexscreener.com/solana/5iTrKEyVWiQNoUFfwNZeFCYEwPDgrXCzke9Nz1Dk6g9K", "View")</f>
        <v/>
      </c>
    </row>
    <row r="271">
      <c r="A271" s="19" t="inlineStr">
        <is>
          <t>$macini</t>
        </is>
      </c>
      <c r="B271" s="20" t="n">
        <v>135274452</v>
      </c>
      <c r="C271" s="20" t="n">
        <v>135274452</v>
      </c>
      <c r="D271" s="20" t="inlineStr">
        <is>
          <t>0.000020</t>
        </is>
      </c>
      <c r="E271" s="20" t="inlineStr">
        <is>
          <t>5.097 SOL</t>
        </is>
      </c>
      <c r="F271" s="20" t="inlineStr">
        <is>
          <t>6.088 SOL</t>
        </is>
      </c>
      <c r="G271" s="22" t="inlineStr">
        <is>
          <t>0.991 SOL</t>
        </is>
      </c>
      <c r="H271" s="22" t="inlineStr">
        <is>
          <t>19.44%</t>
        </is>
      </c>
      <c r="I271" s="20" t="inlineStr">
        <is>
          <t>N/A</t>
        </is>
      </c>
      <c r="J271" s="20" t="n">
        <v>1</v>
      </c>
      <c r="K271" s="20" t="n">
        <v>1</v>
      </c>
      <c r="L271" s="20" t="inlineStr">
        <is>
          <t>17.08.2024 17:24:44</t>
        </is>
      </c>
      <c r="M271" s="18" t="inlineStr">
        <is>
          <t>38 sec</t>
        </is>
      </c>
      <c r="N271" s="20" t="inlineStr">
        <is>
          <t xml:space="preserve">        N/A           N/A           N/A</t>
        </is>
      </c>
      <c r="O271" s="20" t="inlineStr">
        <is>
          <t>2DTwi9yNg3XStnhYS32RCtws1czz2cSCEgS78kP9TrPh</t>
        </is>
      </c>
      <c r="P271" s="20">
        <f>HYPERLINK("https://photon-sol.tinyastro.io/en/lp/2DTwi9yNg3XStnhYS32RCtws1czz2cSCEgS78kP9TrPh?handle=676050794bc1b1657a56b", "View")</f>
        <v/>
      </c>
    </row>
    <row r="272">
      <c r="A272" s="15" t="inlineStr">
        <is>
          <t xml:space="preserve">Kniffy </t>
        </is>
      </c>
      <c r="B272" s="16" t="n">
        <v>148394121</v>
      </c>
      <c r="C272" s="16" t="n">
        <v>148394121</v>
      </c>
      <c r="D272" s="16" t="inlineStr">
        <is>
          <t>0.000030</t>
        </is>
      </c>
      <c r="E272" s="16" t="inlineStr">
        <is>
          <t>5.097 SOL</t>
        </is>
      </c>
      <c r="F272" s="16" t="inlineStr">
        <is>
          <t>14.081 SOL</t>
        </is>
      </c>
      <c r="G272" s="23" t="inlineStr">
        <is>
          <t>8.984 SOL</t>
        </is>
      </c>
      <c r="H272" s="23" t="inlineStr">
        <is>
          <t>176.26%</t>
        </is>
      </c>
      <c r="I272" s="16" t="inlineStr">
        <is>
          <t>N/A</t>
        </is>
      </c>
      <c r="J272" s="16" t="n">
        <v>1</v>
      </c>
      <c r="K272" s="16" t="n">
        <v>2</v>
      </c>
      <c r="L272" s="16" t="inlineStr">
        <is>
          <t>16.08.2024 02:16:01</t>
        </is>
      </c>
      <c r="M272" s="16" t="inlineStr">
        <is>
          <t>2 min</t>
        </is>
      </c>
      <c r="N272" s="16" t="inlineStr">
        <is>
          <t xml:space="preserve">        N/A           N/A           N/A</t>
        </is>
      </c>
      <c r="O272" s="16" t="inlineStr">
        <is>
          <t>Cha9rAgfwHT9fC3iAsEHpJooGZaVdWAM3iiTQCufdVQL</t>
        </is>
      </c>
      <c r="P272" s="16">
        <f>HYPERLINK("https://photon-sol.tinyastro.io/en/lp/Cha9rAgfwHT9fC3iAsEHpJooGZaVdWAM3iiTQCufdVQL?handle=676050794bc1b1657a56b", "View")</f>
        <v/>
      </c>
    </row>
    <row r="273">
      <c r="A273" s="19" t="inlineStr">
        <is>
          <t>grut</t>
        </is>
      </c>
      <c r="B273" s="20" t="n">
        <v>15375061</v>
      </c>
      <c r="C273" s="20" t="n">
        <v>15375061</v>
      </c>
      <c r="D273" s="20" t="inlineStr">
        <is>
          <t>0.000020</t>
        </is>
      </c>
      <c r="E273" s="20" t="inlineStr">
        <is>
          <t>5.097 SOL</t>
        </is>
      </c>
      <c r="F273" s="20" t="inlineStr">
        <is>
          <t>5.070 SOL</t>
        </is>
      </c>
      <c r="G273" s="21" t="inlineStr">
        <is>
          <t>-0.027 SOL</t>
        </is>
      </c>
      <c r="H273" s="21" t="inlineStr">
        <is>
          <t>-0.53%</t>
        </is>
      </c>
      <c r="I273" s="20" t="inlineStr">
        <is>
          <t>N/A</t>
        </is>
      </c>
      <c r="J273" s="20" t="n">
        <v>1</v>
      </c>
      <c r="K273" s="20" t="n">
        <v>1</v>
      </c>
      <c r="L273" s="20" t="inlineStr">
        <is>
          <t>15.08.2024 00:59:37</t>
        </is>
      </c>
      <c r="M273" s="18" t="inlineStr">
        <is>
          <t>21 sec</t>
        </is>
      </c>
      <c r="N273" s="20" t="inlineStr">
        <is>
          <t xml:space="preserve">        N/A           N/A           N/A</t>
        </is>
      </c>
      <c r="O273" s="20" t="inlineStr">
        <is>
          <t>2FnRseSBQScwUSvCzn6GsqqMm6z3mdKJ3NVjJrHuvti8</t>
        </is>
      </c>
      <c r="P273" s="20">
        <f>HYPERLINK("https://photon-sol.tinyastro.io/en/lp/2FnRseSBQScwUSvCzn6GsqqMm6z3mdKJ3NVjJrHuvti8?handle=676050794bc1b1657a56b", "View")</f>
        <v/>
      </c>
    </row>
    <row r="274">
      <c r="A274" s="15" t="inlineStr">
        <is>
          <t>bark</t>
        </is>
      </c>
      <c r="B274" s="16" t="n">
        <v>64586790</v>
      </c>
      <c r="C274" s="16" t="n">
        <v>64586790</v>
      </c>
      <c r="D274" s="16" t="inlineStr">
        <is>
          <t>0.000030</t>
        </is>
      </c>
      <c r="E274" s="16" t="inlineStr">
        <is>
          <t>4.078 SOL</t>
        </is>
      </c>
      <c r="F274" s="16" t="inlineStr">
        <is>
          <t>4.794 SOL</t>
        </is>
      </c>
      <c r="G274" s="22" t="inlineStr">
        <is>
          <t>0.716 SOL</t>
        </is>
      </c>
      <c r="H274" s="22" t="inlineStr">
        <is>
          <t>17.55%</t>
        </is>
      </c>
      <c r="I274" s="16" t="inlineStr">
        <is>
          <t>N/A</t>
        </is>
      </c>
      <c r="J274" s="16" t="n">
        <v>2</v>
      </c>
      <c r="K274" s="16" t="n">
        <v>1</v>
      </c>
      <c r="L274" s="16" t="inlineStr">
        <is>
          <t>14.08.2024 19:50:11</t>
        </is>
      </c>
      <c r="M274" s="16" t="inlineStr">
        <is>
          <t>57 min</t>
        </is>
      </c>
      <c r="N274" s="16" t="inlineStr">
        <is>
          <t xml:space="preserve">        N/A           N/A           N/A</t>
        </is>
      </c>
      <c r="O274" s="16" t="inlineStr">
        <is>
          <t>Bvr2H1dsqiPeBXasyTEKGyAg2F8Y4ymyL2vWbgikpump</t>
        </is>
      </c>
      <c r="P274" s="16">
        <f>HYPERLINK("https://photon-sol.tinyastro.io/en/lp/Bvr2H1dsqiPeBXasyTEKGyAg2F8Y4ymyL2vWbgikpump?handle=676050794bc1b1657a56b", "View")</f>
        <v/>
      </c>
    </row>
    <row r="275">
      <c r="A275" s="19" t="inlineStr">
        <is>
          <t>RSUS</t>
        </is>
      </c>
      <c r="B275" s="20" t="n">
        <v>64197319</v>
      </c>
      <c r="C275" s="20" t="n">
        <v>64197319</v>
      </c>
      <c r="D275" s="20" t="inlineStr">
        <is>
          <t>0.000020</t>
        </is>
      </c>
      <c r="E275" s="20" t="inlineStr">
        <is>
          <t>5.630 SOL</t>
        </is>
      </c>
      <c r="F275" s="20" t="inlineStr">
        <is>
          <t>7.322 SOL</t>
        </is>
      </c>
      <c r="G275" s="22" t="inlineStr">
        <is>
          <t>1.692 SOL</t>
        </is>
      </c>
      <c r="H275" s="22" t="inlineStr">
        <is>
          <t>30.05%</t>
        </is>
      </c>
      <c r="I275" s="20" t="inlineStr">
        <is>
          <t>N/A</t>
        </is>
      </c>
      <c r="J275" s="20" t="n">
        <v>1</v>
      </c>
      <c r="K275" s="20" t="n">
        <v>1</v>
      </c>
      <c r="L275" s="20" t="inlineStr">
        <is>
          <t>14.08.2024 05:34:18</t>
        </is>
      </c>
      <c r="M275" s="18" t="inlineStr">
        <is>
          <t>15 sec</t>
        </is>
      </c>
      <c r="N275" s="20" t="inlineStr">
        <is>
          <t xml:space="preserve">        N/A           N/A           N/A</t>
        </is>
      </c>
      <c r="O275" s="20" t="inlineStr">
        <is>
          <t>Dyc8GMJ3MeB5XMpW7iREwP9k52UVDXCLRYi3Wbtppump</t>
        </is>
      </c>
      <c r="P275" s="20">
        <f>HYPERLINK("https://photon-sol.tinyastro.io/en/lp/Dyc8GMJ3MeB5XMpW7iREwP9k52UVDXCLRYi3Wbtppump?handle=676050794bc1b1657a56b", "View")</f>
        <v/>
      </c>
    </row>
    <row r="276">
      <c r="A276" s="15" t="inlineStr">
        <is>
          <t>meme</t>
        </is>
      </c>
      <c r="B276" s="16" t="n">
        <v>292863120</v>
      </c>
      <c r="C276" s="16" t="n">
        <v>292863120</v>
      </c>
      <c r="D276" s="16" t="inlineStr">
        <is>
          <t>0.000040</t>
        </is>
      </c>
      <c r="E276" s="16" t="inlineStr">
        <is>
          <t>10.192 SOL</t>
        </is>
      </c>
      <c r="F276" s="16" t="inlineStr">
        <is>
          <t>12.184 SOL</t>
        </is>
      </c>
      <c r="G276" s="22" t="inlineStr">
        <is>
          <t>1.992 SOL</t>
        </is>
      </c>
      <c r="H276" s="22" t="inlineStr">
        <is>
          <t>19.54%</t>
        </is>
      </c>
      <c r="I276" s="16" t="inlineStr">
        <is>
          <t>N/A</t>
        </is>
      </c>
      <c r="J276" s="16" t="n">
        <v>2</v>
      </c>
      <c r="K276" s="16" t="n">
        <v>2</v>
      </c>
      <c r="L276" s="16" t="inlineStr">
        <is>
          <t>14.08.2024 00:19:54</t>
        </is>
      </c>
      <c r="M276" s="16" t="inlineStr">
        <is>
          <t>1 min</t>
        </is>
      </c>
      <c r="N276" s="16" t="inlineStr">
        <is>
          <t xml:space="preserve">        N/A           N/A           N/A</t>
        </is>
      </c>
      <c r="O276" s="16" t="inlineStr">
        <is>
          <t>9GbsndRXqvjtyxstgsZFs7mWesQG7gWLSGcubQWqpump</t>
        </is>
      </c>
      <c r="P276" s="16">
        <f>HYPERLINK("https://photon-sol.tinyastro.io/en/lp/9GbsndRXqvjtyxstgsZFs7mWesQG7gWLSGcubQWqpump?handle=676050794bc1b1657a56b", "View")</f>
        <v/>
      </c>
    </row>
    <row r="277">
      <c r="A277" s="19" t="inlineStr">
        <is>
          <t>stucky</t>
        </is>
      </c>
      <c r="B277" s="20" t="n">
        <v>97545454</v>
      </c>
      <c r="C277" s="20" t="n">
        <v>97545454</v>
      </c>
      <c r="D277" s="20" t="inlineStr">
        <is>
          <t>0.000020</t>
        </is>
      </c>
      <c r="E277" s="20" t="inlineStr">
        <is>
          <t>3.059 SOL</t>
        </is>
      </c>
      <c r="F277" s="20" t="inlineStr">
        <is>
          <t>4.537 SOL</t>
        </is>
      </c>
      <c r="G277" s="22" t="inlineStr">
        <is>
          <t>1.478 SOL</t>
        </is>
      </c>
      <c r="H277" s="22" t="inlineStr">
        <is>
          <t>48.32%</t>
        </is>
      </c>
      <c r="I277" s="20" t="inlineStr">
        <is>
          <t>N/A</t>
        </is>
      </c>
      <c r="J277" s="20" t="n">
        <v>1</v>
      </c>
      <c r="K277" s="20" t="n">
        <v>1</v>
      </c>
      <c r="L277" s="20" t="inlineStr">
        <is>
          <t>13.08.2024 23:10:45</t>
        </is>
      </c>
      <c r="M277" s="18" t="inlineStr">
        <is>
          <t>23 sec</t>
        </is>
      </c>
      <c r="N277" s="20" t="inlineStr">
        <is>
          <t xml:space="preserve">        N/A           N/A           N/A</t>
        </is>
      </c>
      <c r="O277" s="20" t="inlineStr">
        <is>
          <t>Dsq64VnAzDD3jx78HCdJbE1TDZh9xXBC8HqNDeMzpump</t>
        </is>
      </c>
      <c r="P277" s="20">
        <f>HYPERLINK("https://photon-sol.tinyastro.io/en/lp/Dsq64VnAzDD3jx78HCdJbE1TDZh9xXBC8HqNDeMzpump?handle=676050794bc1b1657a56b", "View")</f>
        <v/>
      </c>
    </row>
    <row r="278">
      <c r="A278" s="15" t="inlineStr">
        <is>
          <t>Glider</t>
        </is>
      </c>
      <c r="B278" s="16" t="n">
        <v>14987878</v>
      </c>
      <c r="C278" s="16" t="n">
        <v>19994333</v>
      </c>
      <c r="D278" s="16" t="inlineStr">
        <is>
          <t>0.000050</t>
        </is>
      </c>
      <c r="E278" s="16" t="inlineStr">
        <is>
          <t>6.000 SOL</t>
        </is>
      </c>
      <c r="F278" s="16" t="inlineStr">
        <is>
          <t>9.271 SOL</t>
        </is>
      </c>
      <c r="G278" s="23" t="inlineStr">
        <is>
          <t>3.271 SOL</t>
        </is>
      </c>
      <c r="H278" s="23" t="inlineStr">
        <is>
          <t>54.51%</t>
        </is>
      </c>
      <c r="I278" s="16" t="inlineStr">
        <is>
          <t>N/A</t>
        </is>
      </c>
      <c r="J278" s="16" t="n">
        <v>2</v>
      </c>
      <c r="K278" s="16" t="n">
        <v>3</v>
      </c>
      <c r="L278" s="16" t="inlineStr">
        <is>
          <t>13.08.2024 22:10:55</t>
        </is>
      </c>
      <c r="M278" s="16" t="inlineStr">
        <is>
          <t>20 min</t>
        </is>
      </c>
      <c r="N278" s="16" t="inlineStr">
        <is>
          <t xml:space="preserve">         51K            63K             4K</t>
        </is>
      </c>
      <c r="O278" s="16" t="inlineStr">
        <is>
          <t>KBXH2F4jL6Lw1s5tW6hgzfkKTKeZVZ4WPsKKuHVpump</t>
        </is>
      </c>
      <c r="P278" s="16">
        <f>HYPERLINK("https://dexscreener.com/solana/KBXH2F4jL6Lw1s5tW6hgzfkKTKeZVZ4WPsKKuHVpump", "View")</f>
        <v/>
      </c>
    </row>
    <row r="279">
      <c r="A279" s="19" t="inlineStr">
        <is>
          <t>Freaky bob</t>
        </is>
      </c>
      <c r="B279" s="20" t="n">
        <v>43171720</v>
      </c>
      <c r="C279" s="20" t="n">
        <v>43171720</v>
      </c>
      <c r="D279" s="20" t="inlineStr">
        <is>
          <t>0.000020</t>
        </is>
      </c>
      <c r="E279" s="20" t="inlineStr">
        <is>
          <t>5.000 SOL</t>
        </is>
      </c>
      <c r="F279" s="20" t="inlineStr">
        <is>
          <t>6.868 SOL</t>
        </is>
      </c>
      <c r="G279" s="22" t="inlineStr">
        <is>
          <t>1.868 SOL</t>
        </is>
      </c>
      <c r="H279" s="22" t="inlineStr">
        <is>
          <t>37.36%</t>
        </is>
      </c>
      <c r="I279" s="20" t="inlineStr">
        <is>
          <t>N/A</t>
        </is>
      </c>
      <c r="J279" s="20" t="n">
        <v>1</v>
      </c>
      <c r="K279" s="20" t="n">
        <v>1</v>
      </c>
      <c r="L279" s="20" t="inlineStr">
        <is>
          <t>13.08.2024 21:40:04</t>
        </is>
      </c>
      <c r="M279" s="20" t="inlineStr">
        <is>
          <t>4 min</t>
        </is>
      </c>
      <c r="N279" s="20" t="inlineStr">
        <is>
          <t xml:space="preserve">         19K            25K             6K</t>
        </is>
      </c>
      <c r="O279" s="20" t="inlineStr">
        <is>
          <t>96KrtwbMmjY46gYHBRc66WVNior8Z1cRoqYynbxqBxAX</t>
        </is>
      </c>
      <c r="P279" s="20">
        <f>HYPERLINK("https://dexscreener.com/solana/96KrtwbMmjY46gYHBRc66WVNior8Z1cRoqYynbxqBxAX", "View")</f>
        <v/>
      </c>
    </row>
    <row r="280">
      <c r="A280" s="15" t="inlineStr">
        <is>
          <t>Yup</t>
        </is>
      </c>
      <c r="B280" s="16" t="n">
        <v>163485197</v>
      </c>
      <c r="C280" s="16" t="n">
        <v>163485197</v>
      </c>
      <c r="D280" s="16" t="inlineStr">
        <is>
          <t>0.000020</t>
        </is>
      </c>
      <c r="E280" s="16" t="inlineStr">
        <is>
          <t>7.135 SOL</t>
        </is>
      </c>
      <c r="F280" s="16" t="inlineStr">
        <is>
          <t>10.206 SOL</t>
        </is>
      </c>
      <c r="G280" s="22" t="inlineStr">
        <is>
          <t>3.071 SOL</t>
        </is>
      </c>
      <c r="H280" s="22" t="inlineStr">
        <is>
          <t>43.04%</t>
        </is>
      </c>
      <c r="I280" s="16" t="inlineStr">
        <is>
          <t>N/A</t>
        </is>
      </c>
      <c r="J280" s="16" t="n">
        <v>1</v>
      </c>
      <c r="K280" s="16" t="n">
        <v>1</v>
      </c>
      <c r="L280" s="16" t="inlineStr">
        <is>
          <t>13.08.2024 03:14:27</t>
        </is>
      </c>
      <c r="M280" s="18" t="inlineStr">
        <is>
          <t>42 sec</t>
        </is>
      </c>
      <c r="N280" s="16" t="inlineStr">
        <is>
          <t xml:space="preserve">        N/A           N/A           N/A</t>
        </is>
      </c>
      <c r="O280" s="16" t="inlineStr">
        <is>
          <t>8KXXQfq9EVJ8fwzihwE9SyYjhjbPbGuuuYYVdJX4pump</t>
        </is>
      </c>
      <c r="P280" s="16">
        <f>HYPERLINK("https://photon-sol.tinyastro.io/en/lp/8KXXQfq9EVJ8fwzihwE9SyYjhjbPbGuuuYYVdJX4pump?handle=676050794bc1b1657a56b", "View")</f>
        <v/>
      </c>
    </row>
    <row r="281">
      <c r="A281" s="19" t="inlineStr">
        <is>
          <t>WUTING</t>
        </is>
      </c>
      <c r="B281" s="20" t="n">
        <v>202877524</v>
      </c>
      <c r="C281" s="20" t="n">
        <v>202877524</v>
      </c>
      <c r="D281" s="20" t="inlineStr">
        <is>
          <t>0.000020</t>
        </is>
      </c>
      <c r="E281" s="20" t="inlineStr">
        <is>
          <t>7.135 SOL</t>
        </is>
      </c>
      <c r="F281" s="20" t="inlineStr">
        <is>
          <t>8.120 SOL</t>
        </is>
      </c>
      <c r="G281" s="22" t="inlineStr">
        <is>
          <t>0.985 SOL</t>
        </is>
      </c>
      <c r="H281" s="22" t="inlineStr">
        <is>
          <t>13.81%</t>
        </is>
      </c>
      <c r="I281" s="20" t="inlineStr">
        <is>
          <t>N/A</t>
        </is>
      </c>
      <c r="J281" s="20" t="n">
        <v>1</v>
      </c>
      <c r="K281" s="20" t="n">
        <v>1</v>
      </c>
      <c r="L281" s="20" t="inlineStr">
        <is>
          <t>13.08.2024 03:13:24</t>
        </is>
      </c>
      <c r="M281" s="18" t="inlineStr">
        <is>
          <t>10 sec</t>
        </is>
      </c>
      <c r="N281" s="20" t="inlineStr">
        <is>
          <t xml:space="preserve">        N/A           N/A           N/A</t>
        </is>
      </c>
      <c r="O281" s="20" t="inlineStr">
        <is>
          <t>8d9Xw4DKJC2k7CJJikTtfTxspBy7Ehi4A1STRnampump</t>
        </is>
      </c>
      <c r="P281" s="20">
        <f>HYPERLINK("https://photon-sol.tinyastro.io/en/lp/8d9Xw4DKJC2k7CJJikTtfTxspBy7Ehi4A1STRnampump?handle=676050794bc1b1657a56b", "View")</f>
        <v/>
      </c>
    </row>
    <row r="282">
      <c r="A282" s="15" t="inlineStr">
        <is>
          <t>DOGE</t>
        </is>
      </c>
      <c r="B282" s="16" t="n">
        <v>31230556</v>
      </c>
      <c r="C282" s="16" t="n">
        <v>31230556</v>
      </c>
      <c r="D282" s="16" t="inlineStr">
        <is>
          <t>0.000050</t>
        </is>
      </c>
      <c r="E282" s="16" t="inlineStr">
        <is>
          <t>7.244 SOL</t>
        </is>
      </c>
      <c r="F282" s="16" t="inlineStr">
        <is>
          <t>18.965 SOL</t>
        </is>
      </c>
      <c r="G282" s="23" t="inlineStr">
        <is>
          <t>11.721 SOL</t>
        </is>
      </c>
      <c r="H282" s="23" t="inlineStr">
        <is>
          <t>161.80%</t>
        </is>
      </c>
      <c r="I282" s="16" t="inlineStr">
        <is>
          <t>N/A</t>
        </is>
      </c>
      <c r="J282" s="16" t="n">
        <v>1</v>
      </c>
      <c r="K282" s="16" t="n">
        <v>4</v>
      </c>
      <c r="L282" s="16" t="inlineStr">
        <is>
          <t>13.08.2024 02:09:33</t>
        </is>
      </c>
      <c r="M282" s="16" t="inlineStr">
        <is>
          <t>10 min</t>
        </is>
      </c>
      <c r="N282" s="16" t="inlineStr">
        <is>
          <t xml:space="preserve">         40K           147K             4K</t>
        </is>
      </c>
      <c r="O282" s="16" t="inlineStr">
        <is>
          <t>7z2pPnrM7pdFXuWpdHeZVQBLptxNccNdhWWxNXGTpump</t>
        </is>
      </c>
      <c r="P282" s="16">
        <f>HYPERLINK("https://photon-sol.tinyastro.io/en/lp/7z2pPnrM7pdFXuWpdHeZVQBLptxNccNdhWWxNXGTpump?handle=676050794bc1b1657a56b", "View")</f>
        <v/>
      </c>
    </row>
    <row r="283">
      <c r="A283" s="19" t="inlineStr">
        <is>
          <t>UH</t>
        </is>
      </c>
      <c r="B283" s="20" t="n">
        <v>196726230</v>
      </c>
      <c r="C283" s="20" t="n">
        <v>196726230</v>
      </c>
      <c r="D283" s="20" t="inlineStr">
        <is>
          <t>0.022540</t>
        </is>
      </c>
      <c r="E283" s="20" t="inlineStr">
        <is>
          <t>7.150 SOL</t>
        </is>
      </c>
      <c r="F283" s="20" t="inlineStr">
        <is>
          <t>10.987 SOL</t>
        </is>
      </c>
      <c r="G283" s="23" t="inlineStr">
        <is>
          <t>3.814 SOL</t>
        </is>
      </c>
      <c r="H283" s="23" t="inlineStr">
        <is>
          <t>53.18%</t>
        </is>
      </c>
      <c r="I283" s="20" t="inlineStr">
        <is>
          <t>N/A</t>
        </is>
      </c>
      <c r="J283" s="20" t="n">
        <v>3</v>
      </c>
      <c r="K283" s="20" t="n">
        <v>2</v>
      </c>
      <c r="L283" s="20" t="inlineStr">
        <is>
          <t>13.08.2024 01:53:08</t>
        </is>
      </c>
      <c r="M283" s="20" t="inlineStr">
        <is>
          <t>32 min</t>
        </is>
      </c>
      <c r="N283" s="20" t="inlineStr">
        <is>
          <t xml:space="preserve">        N/A           N/A           N/A</t>
        </is>
      </c>
      <c r="O283" s="20" t="inlineStr">
        <is>
          <t>3kEzbPK9eFXDJSeGWGUF8QWem2CbB47cTREkVcWppump</t>
        </is>
      </c>
      <c r="P283" s="20">
        <f>HYPERLINK("https://photon-sol.tinyastro.io/en/lp/3kEzbPK9eFXDJSeGWGUF8QWem2CbB47cTREkVcWppump?handle=676050794bc1b1657a56b", "View")</f>
        <v/>
      </c>
    </row>
    <row r="284">
      <c r="A284" s="15" t="inlineStr">
        <is>
          <t>MAGA</t>
        </is>
      </c>
      <c r="B284" s="16" t="n">
        <v>10975505</v>
      </c>
      <c r="C284" s="16" t="n">
        <v>10975505</v>
      </c>
      <c r="D284" s="16" t="inlineStr">
        <is>
          <t>0.007530</t>
        </is>
      </c>
      <c r="E284" s="16" t="inlineStr">
        <is>
          <t>5.000 SOL</t>
        </is>
      </c>
      <c r="F284" s="16" t="inlineStr">
        <is>
          <t>2.551 SOL</t>
        </is>
      </c>
      <c r="G284" s="21" t="inlineStr">
        <is>
          <t>-2.456 SOL</t>
        </is>
      </c>
      <c r="H284" s="21" t="inlineStr">
        <is>
          <t>-49.05%</t>
        </is>
      </c>
      <c r="I284" s="16" t="inlineStr">
        <is>
          <t>N/A</t>
        </is>
      </c>
      <c r="J284" s="16" t="n">
        <v>1</v>
      </c>
      <c r="K284" s="16" t="n">
        <v>2</v>
      </c>
      <c r="L284" s="16" t="inlineStr">
        <is>
          <t>13.08.2024 01:43:29</t>
        </is>
      </c>
      <c r="M284" s="16" t="inlineStr">
        <is>
          <t>1 min</t>
        </is>
      </c>
      <c r="N284" s="16" t="inlineStr">
        <is>
          <t xml:space="preserve">         81K            33K            62K</t>
        </is>
      </c>
      <c r="O284" s="16" t="inlineStr">
        <is>
          <t>3cwtJRCzxfkAk4TSaiNcD5Zv6bvdVScNJc6Rb7Xepump</t>
        </is>
      </c>
      <c r="P284" s="16">
        <f>HYPERLINK("https://dexscreener.com/solana/3cwtJRCzxfkAk4TSaiNcD5Zv6bvdVScNJc6Rb7Xepump", "View")</f>
        <v/>
      </c>
    </row>
    <row r="285">
      <c r="A285" s="19" t="inlineStr">
        <is>
          <t>I mean</t>
        </is>
      </c>
      <c r="B285" s="20" t="n">
        <v>14056211</v>
      </c>
      <c r="C285" s="20" t="n">
        <v>14056211</v>
      </c>
      <c r="D285" s="20" t="inlineStr">
        <is>
          <t>0.007520</t>
        </is>
      </c>
      <c r="E285" s="20" t="inlineStr">
        <is>
          <t>3.029 SOL</t>
        </is>
      </c>
      <c r="F285" s="20" t="inlineStr">
        <is>
          <t>0.392 SOL</t>
        </is>
      </c>
      <c r="G285" s="24" t="inlineStr">
        <is>
          <t>-2.645 SOL</t>
        </is>
      </c>
      <c r="H285" s="24" t="inlineStr">
        <is>
          <t>-87.09%</t>
        </is>
      </c>
      <c r="I285" s="20" t="inlineStr">
        <is>
          <t>N/A</t>
        </is>
      </c>
      <c r="J285" s="20" t="n">
        <v>1</v>
      </c>
      <c r="K285" s="20" t="n">
        <v>1</v>
      </c>
      <c r="L285" s="20" t="inlineStr">
        <is>
          <t>13.08.2024 01:38:44</t>
        </is>
      </c>
      <c r="M285" s="18" t="inlineStr">
        <is>
          <t>16 sec</t>
        </is>
      </c>
      <c r="N285" s="20" t="inlineStr">
        <is>
          <t xml:space="preserve">        N/A           N/A           N/A</t>
        </is>
      </c>
      <c r="O285" s="20" t="inlineStr">
        <is>
          <t>EDuzznDw2qyXBz8dZPn7BxsFhmSsmRcB3G8EWUZrpump</t>
        </is>
      </c>
      <c r="P285" s="20">
        <f>HYPERLINK("https://photon-sol.tinyastro.io/en/lp/EDuzznDw2qyXBz8dZPn7BxsFhmSsmRcB3G8EWUZrpump?handle=676050794bc1b1657a56b", "View")</f>
        <v/>
      </c>
    </row>
    <row r="286">
      <c r="A286" s="15" t="inlineStr">
        <is>
          <t>LIKE</t>
        </is>
      </c>
      <c r="B286" s="16" t="n">
        <v>30129557</v>
      </c>
      <c r="C286" s="16" t="n">
        <v>30129557</v>
      </c>
      <c r="D286" s="16" t="inlineStr">
        <is>
          <t>0.007520</t>
        </is>
      </c>
      <c r="E286" s="16" t="inlineStr">
        <is>
          <t>1.016 SOL</t>
        </is>
      </c>
      <c r="F286" s="16" t="inlineStr">
        <is>
          <t>1.141 SOL</t>
        </is>
      </c>
      <c r="G286" s="22" t="inlineStr">
        <is>
          <t>0.117 SOL</t>
        </is>
      </c>
      <c r="H286" s="22" t="inlineStr">
        <is>
          <t>11.47%</t>
        </is>
      </c>
      <c r="I286" s="16" t="inlineStr">
        <is>
          <t>N/A</t>
        </is>
      </c>
      <c r="J286" s="16" t="n">
        <v>1</v>
      </c>
      <c r="K286" s="16" t="n">
        <v>1</v>
      </c>
      <c r="L286" s="16" t="inlineStr">
        <is>
          <t>13.08.2024 01:27:30</t>
        </is>
      </c>
      <c r="M286" s="16" t="inlineStr">
        <is>
          <t>1 min</t>
        </is>
      </c>
      <c r="N286" s="16" t="inlineStr">
        <is>
          <t xml:space="preserve">        N/A           N/A           N/A</t>
        </is>
      </c>
      <c r="O286" s="16" t="inlineStr">
        <is>
          <t>7u1YuK2XYchP1Q6szgjMFv7HtrokAkgw2GRZ6N2Kpump</t>
        </is>
      </c>
      <c r="P286" s="16">
        <f>HYPERLINK("https://photon-sol.tinyastro.io/en/lp/7u1YuK2XYchP1Q6szgjMFv7HtrokAkgw2GRZ6N2Kpump?handle=676050794bc1b1657a56b", "View")</f>
        <v/>
      </c>
    </row>
    <row r="287">
      <c r="A287" s="19" t="inlineStr">
        <is>
          <t>UHHYEAH</t>
        </is>
      </c>
      <c r="B287" s="20" t="n">
        <v>59527365</v>
      </c>
      <c r="C287" s="20" t="n">
        <v>59527365</v>
      </c>
      <c r="D287" s="20" t="inlineStr">
        <is>
          <t>0.000020</t>
        </is>
      </c>
      <c r="E287" s="20" t="inlineStr">
        <is>
          <t>1.988 SOL</t>
        </is>
      </c>
      <c r="F287" s="20" t="inlineStr">
        <is>
          <t>1.784 SOL</t>
        </is>
      </c>
      <c r="G287" s="21" t="inlineStr">
        <is>
          <t>-0.204 SOL</t>
        </is>
      </c>
      <c r="H287" s="21" t="inlineStr">
        <is>
          <t>-10.26%</t>
        </is>
      </c>
      <c r="I287" s="20" t="inlineStr">
        <is>
          <t>N/A</t>
        </is>
      </c>
      <c r="J287" s="20" t="n">
        <v>1</v>
      </c>
      <c r="K287" s="20" t="n">
        <v>1</v>
      </c>
      <c r="L287" s="20" t="inlineStr">
        <is>
          <t>13.08.2024 01:22:02</t>
        </is>
      </c>
      <c r="M287" s="20" t="inlineStr">
        <is>
          <t>1 min</t>
        </is>
      </c>
      <c r="N287" s="20" t="inlineStr">
        <is>
          <t xml:space="preserve">        N/A           N/A           N/A</t>
        </is>
      </c>
      <c r="O287" s="20" t="inlineStr">
        <is>
          <t>AfwWQmQF4v7tmTivwJ9jGkdFDStQjfdT14HJwDtbpump</t>
        </is>
      </c>
      <c r="P287" s="20">
        <f>HYPERLINK("https://photon-sol.tinyastro.io/en/lp/AfwWQmQF4v7tmTivwJ9jGkdFDStQjfdT14HJwDtbpump?handle=676050794bc1b1657a56b", "View")</f>
        <v/>
      </c>
    </row>
    <row r="288">
      <c r="A288" s="15" t="inlineStr">
        <is>
          <t>uhm</t>
        </is>
      </c>
      <c r="B288" s="16" t="n">
        <v>43365209</v>
      </c>
      <c r="C288" s="16" t="n">
        <v>43365209</v>
      </c>
      <c r="D288" s="16" t="inlineStr">
        <is>
          <t>0.000020</t>
        </is>
      </c>
      <c r="E288" s="16" t="inlineStr">
        <is>
          <t>3.059 SOL</t>
        </is>
      </c>
      <c r="F288" s="16" t="inlineStr">
        <is>
          <t>2.875 SOL</t>
        </is>
      </c>
      <c r="G288" s="21" t="inlineStr">
        <is>
          <t>-0.184 SOL</t>
        </is>
      </c>
      <c r="H288" s="21" t="inlineStr">
        <is>
          <t>-6.01%</t>
        </is>
      </c>
      <c r="I288" s="16" t="inlineStr">
        <is>
          <t>N/A</t>
        </is>
      </c>
      <c r="J288" s="16" t="n">
        <v>1</v>
      </c>
      <c r="K288" s="16" t="n">
        <v>1</v>
      </c>
      <c r="L288" s="16" t="inlineStr">
        <is>
          <t>13.08.2024 01:21:53</t>
        </is>
      </c>
      <c r="M288" s="16" t="inlineStr">
        <is>
          <t>1 min</t>
        </is>
      </c>
      <c r="N288" s="16" t="inlineStr">
        <is>
          <t xml:space="preserve">        N/A           N/A           N/A</t>
        </is>
      </c>
      <c r="O288" s="16" t="inlineStr">
        <is>
          <t>Ezz8bJdAnmkyzynpA8y3SCmLbQGe4NPUDvfdL1akpump</t>
        </is>
      </c>
      <c r="P288" s="16">
        <f>HYPERLINK("https://photon-sol.tinyastro.io/en/lp/Ezz8bJdAnmkyzynpA8y3SCmLbQGe4NPUDvfdL1akpump?handle=676050794bc1b1657a56b", "View")</f>
        <v/>
      </c>
    </row>
    <row r="289">
      <c r="A289" s="19" t="inlineStr">
        <is>
          <t>RIGHT</t>
        </is>
      </c>
      <c r="B289" s="20" t="n">
        <v>23770765</v>
      </c>
      <c r="C289" s="20" t="n">
        <v>23770765</v>
      </c>
      <c r="D289" s="20" t="inlineStr">
        <is>
          <t>0.000020</t>
        </is>
      </c>
      <c r="E289" s="20" t="inlineStr">
        <is>
          <t>3.175 SOL</t>
        </is>
      </c>
      <c r="F289" s="20" t="inlineStr">
        <is>
          <t>7.033 SOL</t>
        </is>
      </c>
      <c r="G289" s="23" t="inlineStr">
        <is>
          <t>3.858 SOL</t>
        </is>
      </c>
      <c r="H289" s="23" t="inlineStr">
        <is>
          <t>121.53%</t>
        </is>
      </c>
      <c r="I289" s="20" t="inlineStr">
        <is>
          <t>N/A</t>
        </is>
      </c>
      <c r="J289" s="20" t="n">
        <v>1</v>
      </c>
      <c r="K289" s="20" t="n">
        <v>1</v>
      </c>
      <c r="L289" s="20" t="inlineStr">
        <is>
          <t>13.08.2024 01:20:19</t>
        </is>
      </c>
      <c r="M289" s="20" t="inlineStr">
        <is>
          <t>3 min</t>
        </is>
      </c>
      <c r="N289" s="20" t="inlineStr">
        <is>
          <t xml:space="preserve">         23K            53K             3K</t>
        </is>
      </c>
      <c r="O289" s="20" t="inlineStr">
        <is>
          <t>5xuj9yibabVdFaDASSzypRxYzC3ySRtUGVGdVkncpump</t>
        </is>
      </c>
      <c r="P289" s="20">
        <f>HYPERLINK("https://photon-sol.tinyastro.io/en/lp/5xuj9yibabVdFaDASSzypRxYzC3ySRtUGVGdVkncpump?handle=676050794bc1b1657a56b", "View")</f>
        <v/>
      </c>
    </row>
    <row r="290">
      <c r="A290" s="15" t="inlineStr">
        <is>
          <t>BEAT</t>
        </is>
      </c>
      <c r="B290" s="16" t="n">
        <v>67439808</v>
      </c>
      <c r="C290" s="16" t="n">
        <v>67439808</v>
      </c>
      <c r="D290" s="16" t="inlineStr">
        <is>
          <t>0.015020</t>
        </is>
      </c>
      <c r="E290" s="16" t="inlineStr">
        <is>
          <t>2.555 SOL</t>
        </is>
      </c>
      <c r="F290" s="16" t="inlineStr">
        <is>
          <t>6.938 SOL</t>
        </is>
      </c>
      <c r="G290" s="23" t="inlineStr">
        <is>
          <t>4.368 SOL</t>
        </is>
      </c>
      <c r="H290" s="23" t="inlineStr">
        <is>
          <t>169.96%</t>
        </is>
      </c>
      <c r="I290" s="16" t="inlineStr">
        <is>
          <t>N/A</t>
        </is>
      </c>
      <c r="J290" s="16" t="n">
        <v>1</v>
      </c>
      <c r="K290" s="16" t="n">
        <v>2</v>
      </c>
      <c r="L290" s="16" t="inlineStr">
        <is>
          <t>13.08.2024 01:18:11</t>
        </is>
      </c>
      <c r="M290" s="18" t="inlineStr">
        <is>
          <t>42 sec</t>
        </is>
      </c>
      <c r="N290" s="16" t="inlineStr">
        <is>
          <t xml:space="preserve">        N/A           N/A           N/A</t>
        </is>
      </c>
      <c r="O290" s="16" t="inlineStr">
        <is>
          <t>9Y9JpTEAvorpZf65Am8w1UMpMS28mNs6nf9a3SZMpump</t>
        </is>
      </c>
      <c r="P290" s="16">
        <f>HYPERLINK("https://photon-sol.tinyastro.io/en/lp/9Y9JpTEAvorpZf65Am8w1UMpMS28mNs6nf9a3SZMpump?handle=676050794bc1b1657a56b", "View")</f>
        <v/>
      </c>
    </row>
    <row r="291">
      <c r="A291" s="19" t="inlineStr">
        <is>
          <t>AEM</t>
        </is>
      </c>
      <c r="B291" s="20" t="n">
        <v>23081667</v>
      </c>
      <c r="C291" s="20" t="n">
        <v>23081667</v>
      </c>
      <c r="D291" s="20" t="inlineStr">
        <is>
          <t>0.007520</t>
        </is>
      </c>
      <c r="E291" s="20" t="inlineStr">
        <is>
          <t>3.059 SOL</t>
        </is>
      </c>
      <c r="F291" s="20" t="inlineStr">
        <is>
          <t>3.726 SOL</t>
        </is>
      </c>
      <c r="G291" s="22" t="inlineStr">
        <is>
          <t>0.659 SOL</t>
        </is>
      </c>
      <c r="H291" s="22" t="inlineStr">
        <is>
          <t>21.50%</t>
        </is>
      </c>
      <c r="I291" s="20" t="inlineStr">
        <is>
          <t>N/A</t>
        </is>
      </c>
      <c r="J291" s="20" t="n">
        <v>1</v>
      </c>
      <c r="K291" s="20" t="n">
        <v>1</v>
      </c>
      <c r="L291" s="20" t="inlineStr">
        <is>
          <t>13.08.2024 01:09:16</t>
        </is>
      </c>
      <c r="M291" s="18" t="inlineStr">
        <is>
          <t>21 sec</t>
        </is>
      </c>
      <c r="N291" s="20" t="inlineStr">
        <is>
          <t xml:space="preserve">        N/A           N/A           N/A</t>
        </is>
      </c>
      <c r="O291" s="20" t="inlineStr">
        <is>
          <t>5fc3WZitFKumwHQXrsVgbLtHDk2ri8WioC29W3gypump</t>
        </is>
      </c>
      <c r="P291" s="20">
        <f>HYPERLINK("https://photon-sol.tinyastro.io/en/lp/5fc3WZitFKumwHQXrsVgbLtHDk2ri8WioC29W3gypump?handle=676050794bc1b1657a56b", "View")</f>
        <v/>
      </c>
    </row>
    <row r="292">
      <c r="A292" s="15" t="inlineStr">
        <is>
          <t>Yeah</t>
        </is>
      </c>
      <c r="B292" s="16" t="n">
        <v>14590037</v>
      </c>
      <c r="C292" s="16" t="n">
        <v>14590037</v>
      </c>
      <c r="D292" s="16" t="inlineStr">
        <is>
          <t>0.022570</t>
        </is>
      </c>
      <c r="E292" s="16" t="inlineStr">
        <is>
          <t>50.000 SOL</t>
        </is>
      </c>
      <c r="F292" s="16" t="inlineStr">
        <is>
          <t>53.178 SOL</t>
        </is>
      </c>
      <c r="G292" s="22" t="inlineStr">
        <is>
          <t>3.155 SOL</t>
        </is>
      </c>
      <c r="H292" s="22" t="inlineStr">
        <is>
          <t>6.31%</t>
        </is>
      </c>
      <c r="I292" s="16" t="inlineStr">
        <is>
          <t>N/A</t>
        </is>
      </c>
      <c r="J292" s="16" t="n">
        <v>4</v>
      </c>
      <c r="K292" s="16" t="n">
        <v>4</v>
      </c>
      <c r="L292" s="16" t="inlineStr">
        <is>
          <t>13.08.2024 01:06:51</t>
        </is>
      </c>
      <c r="M292" s="16" t="inlineStr">
        <is>
          <t>10 min</t>
        </is>
      </c>
      <c r="N292" s="16" t="inlineStr">
        <is>
          <t xml:space="preserve">        426K           681K            20K</t>
        </is>
      </c>
      <c r="O292" s="16" t="inlineStr">
        <is>
          <t>uucJfyhgo7c1Xn2eotbmjZgWUkpJKSi2DTjFXmuMj1n</t>
        </is>
      </c>
      <c r="P292" s="16">
        <f>HYPERLINK("https://dexscreener.com/solana/uucJfyhgo7c1Xn2eotbmjZgWUkpJKSi2DTjFXmuMj1n", "View")</f>
        <v/>
      </c>
    </row>
    <row r="293">
      <c r="A293" s="19" t="inlineStr">
        <is>
          <t>SURE</t>
        </is>
      </c>
      <c r="B293" s="20" t="n">
        <v>18954978</v>
      </c>
      <c r="C293" s="20" t="n">
        <v>18954978</v>
      </c>
      <c r="D293" s="20" t="inlineStr">
        <is>
          <t>0.000040</t>
        </is>
      </c>
      <c r="E293" s="20" t="inlineStr">
        <is>
          <t>8.000 SOL</t>
        </is>
      </c>
      <c r="F293" s="20" t="inlineStr">
        <is>
          <t>9.762 SOL</t>
        </is>
      </c>
      <c r="G293" s="22" t="inlineStr">
        <is>
          <t>1.762 SOL</t>
        </is>
      </c>
      <c r="H293" s="22" t="inlineStr">
        <is>
          <t>22.02%</t>
        </is>
      </c>
      <c r="I293" s="20" t="inlineStr">
        <is>
          <t>N/A</t>
        </is>
      </c>
      <c r="J293" s="20" t="n">
        <v>2</v>
      </c>
      <c r="K293" s="20" t="n">
        <v>2</v>
      </c>
      <c r="L293" s="20" t="inlineStr">
        <is>
          <t>13.08.2024 01:01:51</t>
        </is>
      </c>
      <c r="M293" s="20" t="inlineStr">
        <is>
          <t>1 min</t>
        </is>
      </c>
      <c r="N293" s="20" t="inlineStr">
        <is>
          <t xml:space="preserve">         42K           156K             4K</t>
        </is>
      </c>
      <c r="O293" s="20" t="inlineStr">
        <is>
          <t>FMqSsC45H9zAbBb7vUkH718n2k6vG1ynXy5yh1umFNEi</t>
        </is>
      </c>
      <c r="P293" s="20">
        <f>HYPERLINK("https://dexscreener.com/solana/FMqSsC45H9zAbBb7vUkH718n2k6vG1ynXy5yh1umFNEi", "View")</f>
        <v/>
      </c>
    </row>
    <row r="294">
      <c r="A294" s="15" t="inlineStr">
        <is>
          <t>SURE</t>
        </is>
      </c>
      <c r="B294" s="16" t="n">
        <v>8256213</v>
      </c>
      <c r="C294" s="16" t="n">
        <v>8256213</v>
      </c>
      <c r="D294" s="16" t="inlineStr">
        <is>
          <t>0.007520</t>
        </is>
      </c>
      <c r="E294" s="16" t="inlineStr">
        <is>
          <t>0.691 SOL</t>
        </is>
      </c>
      <c r="F294" s="16" t="inlineStr">
        <is>
          <t>0.781 SOL</t>
        </is>
      </c>
      <c r="G294" s="22" t="inlineStr">
        <is>
          <t>0.082 SOL</t>
        </is>
      </c>
      <c r="H294" s="22" t="inlineStr">
        <is>
          <t>11.73%</t>
        </is>
      </c>
      <c r="I294" s="16" t="inlineStr">
        <is>
          <t>N/A</t>
        </is>
      </c>
      <c r="J294" s="16" t="n">
        <v>1</v>
      </c>
      <c r="K294" s="16" t="n">
        <v>1</v>
      </c>
      <c r="L294" s="16" t="inlineStr">
        <is>
          <t>13.08.2024 00:56:00</t>
        </is>
      </c>
      <c r="M294" s="18" t="inlineStr">
        <is>
          <t>28 sec</t>
        </is>
      </c>
      <c r="N294" s="16" t="inlineStr">
        <is>
          <t xml:space="preserve">        N/A           N/A           N/A</t>
        </is>
      </c>
      <c r="O294" s="16" t="inlineStr">
        <is>
          <t>D3Xxcx4nCEcMKdGP9Rwbi4hDphCmAWvFE7iLjkswpump</t>
        </is>
      </c>
      <c r="P294" s="16">
        <f>HYPERLINK("https://photon-sol.tinyastro.io/en/lp/D3Xxcx4nCEcMKdGP9Rwbi4hDphCmAWvFE7iLjkswpump?handle=676050794bc1b1657a56b", "View")</f>
        <v/>
      </c>
    </row>
    <row r="295">
      <c r="A295" s="19" t="inlineStr">
        <is>
          <t>GOD</t>
        </is>
      </c>
      <c r="B295" s="20" t="n">
        <v>18850798</v>
      </c>
      <c r="C295" s="20" t="n">
        <v>18850798</v>
      </c>
      <c r="D295" s="20" t="inlineStr">
        <is>
          <t>0.015010</t>
        </is>
      </c>
      <c r="E295" s="20" t="inlineStr">
        <is>
          <t>2.649 SOL</t>
        </is>
      </c>
      <c r="F295" s="20" t="inlineStr">
        <is>
          <t>1.427 SOL</t>
        </is>
      </c>
      <c r="G295" s="21" t="inlineStr">
        <is>
          <t>-1.236 SOL</t>
        </is>
      </c>
      <c r="H295" s="21" t="inlineStr">
        <is>
          <t>-46.41%</t>
        </is>
      </c>
      <c r="I295" s="20" t="inlineStr">
        <is>
          <t>N/A</t>
        </is>
      </c>
      <c r="J295" s="20" t="n">
        <v>1</v>
      </c>
      <c r="K295" s="20" t="n">
        <v>1</v>
      </c>
      <c r="L295" s="20" t="inlineStr">
        <is>
          <t>13.08.2024 00:47:19</t>
        </is>
      </c>
      <c r="M295" s="18" t="inlineStr">
        <is>
          <t>28 sec</t>
        </is>
      </c>
      <c r="N295" s="20" t="inlineStr">
        <is>
          <t xml:space="preserve">        N/A           N/A           N/A</t>
        </is>
      </c>
      <c r="O295" s="20" t="inlineStr">
        <is>
          <t>69SzTf14PjLWqHQTht6B6PUoBPhdFhPX5dTEALVmpump</t>
        </is>
      </c>
      <c r="P295" s="20">
        <f>HYPERLINK("https://photon-sol.tinyastro.io/en/lp/69SzTf14PjLWqHQTht6B6PUoBPhdFhPX5dTEALVmpump?handle=676050794bc1b1657a56b", "View")</f>
        <v/>
      </c>
    </row>
    <row r="296">
      <c r="A296" s="15" t="inlineStr">
        <is>
          <t>ASSASSIN</t>
        </is>
      </c>
      <c r="B296" s="16" t="n">
        <v>4493953</v>
      </c>
      <c r="C296" s="16" t="n">
        <v>4493953</v>
      </c>
      <c r="D296" s="16" t="inlineStr">
        <is>
          <t>0.007520</t>
        </is>
      </c>
      <c r="E296" s="16" t="inlineStr">
        <is>
          <t>0.500 SOL</t>
        </is>
      </c>
      <c r="F296" s="16" t="inlineStr">
        <is>
          <t>0.150 SOL</t>
        </is>
      </c>
      <c r="G296" s="24" t="inlineStr">
        <is>
          <t>-0.358 SOL</t>
        </is>
      </c>
      <c r="H296" s="24" t="inlineStr">
        <is>
          <t>-70.49%</t>
        </is>
      </c>
      <c r="I296" s="16" t="inlineStr">
        <is>
          <t>N/A</t>
        </is>
      </c>
      <c r="J296" s="16" t="n">
        <v>1</v>
      </c>
      <c r="K296" s="16" t="n">
        <v>1</v>
      </c>
      <c r="L296" s="16" t="inlineStr">
        <is>
          <t>13.08.2024 00:46:04</t>
        </is>
      </c>
      <c r="M296" s="16" t="inlineStr">
        <is>
          <t>1 min</t>
        </is>
      </c>
      <c r="N296" s="16" t="inlineStr">
        <is>
          <t xml:space="preserve">        N/A           N/A           N/A</t>
        </is>
      </c>
      <c r="O296" s="16" t="inlineStr">
        <is>
          <t>6Mp6jxQZpCQrvD2AuUfHBVjva4HmdqtMj9kGjjozwHxu</t>
        </is>
      </c>
      <c r="P296" s="16">
        <f>HYPERLINK("https://photon-sol.tinyastro.io/en/lp/6Mp6jxQZpCQrvD2AuUfHBVjva4HmdqtMj9kGjjozwHxu?handle=676050794bc1b1657a56b", "View")</f>
        <v/>
      </c>
    </row>
    <row r="297">
      <c r="A297" s="19" t="inlineStr">
        <is>
          <t>BLOOD</t>
        </is>
      </c>
      <c r="B297" s="20" t="n">
        <v>30495874</v>
      </c>
      <c r="C297" s="20" t="n">
        <v>30495874</v>
      </c>
      <c r="D297" s="20" t="inlineStr">
        <is>
          <t>0.007520</t>
        </is>
      </c>
      <c r="E297" s="20" t="inlineStr">
        <is>
          <t>2.344 SOL</t>
        </is>
      </c>
      <c r="F297" s="20" t="inlineStr">
        <is>
          <t>1.951 SOL</t>
        </is>
      </c>
      <c r="G297" s="21" t="inlineStr">
        <is>
          <t>-0.400 SOL</t>
        </is>
      </c>
      <c r="H297" s="21" t="inlineStr">
        <is>
          <t>-17.02%</t>
        </is>
      </c>
      <c r="I297" s="20" t="inlineStr">
        <is>
          <t>N/A</t>
        </is>
      </c>
      <c r="J297" s="20" t="n">
        <v>1</v>
      </c>
      <c r="K297" s="20" t="n">
        <v>1</v>
      </c>
      <c r="L297" s="20" t="inlineStr">
        <is>
          <t>13.08.2024 00:45:55</t>
        </is>
      </c>
      <c r="M297" s="18" t="inlineStr">
        <is>
          <t>10 sec</t>
        </is>
      </c>
      <c r="N297" s="20" t="inlineStr">
        <is>
          <t xml:space="preserve">        N/A           N/A           N/A</t>
        </is>
      </c>
      <c r="O297" s="20" t="inlineStr">
        <is>
          <t>DVBPmX2qcJiQJE8jBpmEaWz3Ds8sTWUvc8L8LUeBpump</t>
        </is>
      </c>
      <c r="P297" s="20">
        <f>HYPERLINK("https://photon-sol.tinyastro.io/en/lp/DVBPmX2qcJiQJE8jBpmEaWz3Ds8sTWUvc8L8LUeBpump?handle=676050794bc1b1657a56b", "View")</f>
        <v/>
      </c>
    </row>
    <row r="298">
      <c r="A298" s="15" t="inlineStr">
        <is>
          <t>STARTED</t>
        </is>
      </c>
      <c r="B298" s="16" t="n">
        <v>11463779</v>
      </c>
      <c r="C298" s="16" t="n">
        <v>11463779</v>
      </c>
      <c r="D298" s="16" t="inlineStr">
        <is>
          <t>0.000020</t>
        </is>
      </c>
      <c r="E298" s="16" t="inlineStr">
        <is>
          <t>0.997 SOL</t>
        </is>
      </c>
      <c r="F298" s="16" t="inlineStr">
        <is>
          <t>0.433 SOL</t>
        </is>
      </c>
      <c r="G298" s="24" t="inlineStr">
        <is>
          <t>-0.564 SOL</t>
        </is>
      </c>
      <c r="H298" s="24" t="inlineStr">
        <is>
          <t>-56.56%</t>
        </is>
      </c>
      <c r="I298" s="16" t="inlineStr">
        <is>
          <t>N/A</t>
        </is>
      </c>
      <c r="J298" s="16" t="n">
        <v>1</v>
      </c>
      <c r="K298" s="16" t="n">
        <v>1</v>
      </c>
      <c r="L298" s="16" t="inlineStr">
        <is>
          <t>13.08.2024 00:37:07</t>
        </is>
      </c>
      <c r="M298" s="16" t="inlineStr">
        <is>
          <t>1 min</t>
        </is>
      </c>
      <c r="N298" s="16" t="inlineStr">
        <is>
          <t xml:space="preserve">        N/A           N/A           N/A</t>
        </is>
      </c>
      <c r="O298" s="16" t="inlineStr">
        <is>
          <t>3KqrBKuCigxzWntTvdQMsEhv4Z3wgHAtkr3xW6Qypump</t>
        </is>
      </c>
      <c r="P298" s="16">
        <f>HYPERLINK("https://photon-sol.tinyastro.io/en/lp/3KqrBKuCigxzWntTvdQMsEhv4Z3wgHAtkr3xW6Qypump?handle=676050794bc1b1657a56b", "View")</f>
        <v/>
      </c>
    </row>
    <row r="299">
      <c r="A299" s="19" t="inlineStr">
        <is>
          <t>X</t>
        </is>
      </c>
      <c r="B299" s="20" t="n">
        <v>39521714</v>
      </c>
      <c r="C299" s="20" t="n">
        <v>39521714</v>
      </c>
      <c r="D299" s="20" t="inlineStr">
        <is>
          <t>0.007520</t>
        </is>
      </c>
      <c r="E299" s="20" t="inlineStr">
        <is>
          <t>5.097 SOL</t>
        </is>
      </c>
      <c r="F299" s="20" t="inlineStr">
        <is>
          <t>7.019 SOL</t>
        </is>
      </c>
      <c r="G299" s="22" t="inlineStr">
        <is>
          <t>1.915 SOL</t>
        </is>
      </c>
      <c r="H299" s="22" t="inlineStr">
        <is>
          <t>37.51%</t>
        </is>
      </c>
      <c r="I299" s="20" t="inlineStr">
        <is>
          <t>N/A</t>
        </is>
      </c>
      <c r="J299" s="20" t="n">
        <v>1</v>
      </c>
      <c r="K299" s="20" t="n">
        <v>1</v>
      </c>
      <c r="L299" s="20" t="inlineStr">
        <is>
          <t>13.08.2024 00:33:48</t>
        </is>
      </c>
      <c r="M299" s="18" t="inlineStr">
        <is>
          <t>42 sec</t>
        </is>
      </c>
      <c r="N299" s="20" t="inlineStr">
        <is>
          <t xml:space="preserve">        N/A           N/A           N/A</t>
        </is>
      </c>
      <c r="O299" s="20" t="inlineStr">
        <is>
          <t>CyWf5Lr1HWKa2HB55Tgixp2UFkoPwz9M6wwwb5zAjbHC</t>
        </is>
      </c>
      <c r="P299" s="20">
        <f>HYPERLINK("https://photon-sol.tinyastro.io/en/lp/CyWf5Lr1HWKa2HB55Tgixp2UFkoPwz9M6wwwb5zAjbHC?handle=676050794bc1b1657a56b", "View")</f>
        <v/>
      </c>
    </row>
    <row r="300">
      <c r="A300" s="15" t="inlineStr">
        <is>
          <t>MCGA</t>
        </is>
      </c>
      <c r="B300" s="16" t="n">
        <v>24803697</v>
      </c>
      <c r="C300" s="16" t="n">
        <v>24803697</v>
      </c>
      <c r="D300" s="16" t="inlineStr">
        <is>
          <t>0.022590</t>
        </is>
      </c>
      <c r="E300" s="16" t="inlineStr">
        <is>
          <t>90.000 SOL</t>
        </is>
      </c>
      <c r="F300" s="16" t="inlineStr">
        <is>
          <t>54.597 SOL</t>
        </is>
      </c>
      <c r="G300" s="21" t="inlineStr">
        <is>
          <t>-35.425 SOL</t>
        </is>
      </c>
      <c r="H300" s="21" t="inlineStr">
        <is>
          <t>-39.35%</t>
        </is>
      </c>
      <c r="I300" s="16" t="inlineStr">
        <is>
          <t>N/A</t>
        </is>
      </c>
      <c r="J300" s="16" t="n">
        <v>5</v>
      </c>
      <c r="K300" s="16" t="n">
        <v>5</v>
      </c>
      <c r="L300" s="16" t="inlineStr">
        <is>
          <t>13.08.2024 00:29:47</t>
        </is>
      </c>
      <c r="M300" s="16" t="inlineStr">
        <is>
          <t>21 min</t>
        </is>
      </c>
      <c r="N300" s="16" t="inlineStr">
        <is>
          <t xml:space="preserve">        920K           314K             7K</t>
        </is>
      </c>
      <c r="O300" s="16" t="inlineStr">
        <is>
          <t>7HfBC2Jq6dXoVs6gKCGHh4GA6EUrUDU6p8BoKhxQpump</t>
        </is>
      </c>
      <c r="P300" s="16">
        <f>HYPERLINK("https://dexscreener.com/solana/7HfBC2Jq6dXoVs6gKCGHh4GA6EUrUDU6p8BoKhxQpump", "View")</f>
        <v/>
      </c>
    </row>
    <row r="301">
      <c r="A301" s="19" t="inlineStr">
        <is>
          <t>DEMDOS</t>
        </is>
      </c>
      <c r="B301" s="20" t="n">
        <v>6394093</v>
      </c>
      <c r="C301" s="20" t="n">
        <v>6394093</v>
      </c>
      <c r="D301" s="20" t="inlineStr">
        <is>
          <t>0.000020</t>
        </is>
      </c>
      <c r="E301" s="20" t="inlineStr">
        <is>
          <t>5.000 SOL</t>
        </is>
      </c>
      <c r="F301" s="20" t="inlineStr">
        <is>
          <t>3.512 SOL</t>
        </is>
      </c>
      <c r="G301" s="21" t="inlineStr">
        <is>
          <t>-1.489 SOL</t>
        </is>
      </c>
      <c r="H301" s="21" t="inlineStr">
        <is>
          <t>-29.77%</t>
        </is>
      </c>
      <c r="I301" s="20" t="inlineStr">
        <is>
          <t>N/A</t>
        </is>
      </c>
      <c r="J301" s="20" t="n">
        <v>1</v>
      </c>
      <c r="K301" s="20" t="n">
        <v>1</v>
      </c>
      <c r="L301" s="20" t="inlineStr">
        <is>
          <t>13.08.2024 00:28:30</t>
        </is>
      </c>
      <c r="M301" s="18" t="inlineStr">
        <is>
          <t>35 sec</t>
        </is>
      </c>
      <c r="N301" s="20" t="inlineStr">
        <is>
          <t xml:space="preserve">        137K            97K             3K</t>
        </is>
      </c>
      <c r="O301" s="20" t="inlineStr">
        <is>
          <t>8tb8n5SiKJKiUB9vy5sn1AkHY83WLBs9BZr8tueApump</t>
        </is>
      </c>
      <c r="P301" s="20">
        <f>HYPERLINK("https://dexscreener.com/solana/8tb8n5SiKJKiUB9vy5sn1AkHY83WLBs9BZr8tueApump", "View")</f>
        <v/>
      </c>
    </row>
    <row r="302">
      <c r="A302" s="15" t="inlineStr">
        <is>
          <t>PWIF</t>
        </is>
      </c>
      <c r="B302" s="16" t="n">
        <v>27008319</v>
      </c>
      <c r="C302" s="16" t="n">
        <v>27008319</v>
      </c>
      <c r="D302" s="16" t="inlineStr">
        <is>
          <t>0.007530</t>
        </is>
      </c>
      <c r="E302" s="16" t="inlineStr">
        <is>
          <t>3.067 SOL</t>
        </is>
      </c>
      <c r="F302" s="16" t="inlineStr">
        <is>
          <t>2.744 SOL</t>
        </is>
      </c>
      <c r="G302" s="21" t="inlineStr">
        <is>
          <t>-0.331 SOL</t>
        </is>
      </c>
      <c r="H302" s="21" t="inlineStr">
        <is>
          <t>-10.75%</t>
        </is>
      </c>
      <c r="I302" s="16" t="inlineStr">
        <is>
          <t>N/A</t>
        </is>
      </c>
      <c r="J302" s="16" t="n">
        <v>2</v>
      </c>
      <c r="K302" s="16" t="n">
        <v>1</v>
      </c>
      <c r="L302" s="16" t="inlineStr">
        <is>
          <t>13.08.2024 00:04:34</t>
        </is>
      </c>
      <c r="M302" s="16" t="inlineStr">
        <is>
          <t>1 min</t>
        </is>
      </c>
      <c r="N302" s="16" t="inlineStr">
        <is>
          <t xml:space="preserve">        N/A           N/A           N/A</t>
        </is>
      </c>
      <c r="O302" s="16" t="inlineStr">
        <is>
          <t>4gqTf3P4GZkVHoYxKVbNABJkCxFCvMnEemR48yKjpump</t>
        </is>
      </c>
      <c r="P302" s="16">
        <f>HYPERLINK("https://photon-sol.tinyastro.io/en/lp/4gqTf3P4GZkVHoYxKVbNABJkCxFCvMnEemR48yKjpump?handle=676050794bc1b1657a56b", "View")</f>
        <v/>
      </c>
    </row>
    <row r="303">
      <c r="A303" s="19" t="inlineStr">
        <is>
          <t>ELON2024</t>
        </is>
      </c>
      <c r="B303" s="20" t="n">
        <v>32344540</v>
      </c>
      <c r="C303" s="20" t="n">
        <v>32344540</v>
      </c>
      <c r="D303" s="20" t="inlineStr">
        <is>
          <t>0.000030</t>
        </is>
      </c>
      <c r="E303" s="20" t="inlineStr">
        <is>
          <t>5.097 SOL</t>
        </is>
      </c>
      <c r="F303" s="20" t="inlineStr">
        <is>
          <t>5.695 SOL</t>
        </is>
      </c>
      <c r="G303" s="22" t="inlineStr">
        <is>
          <t>0.598 SOL</t>
        </is>
      </c>
      <c r="H303" s="22" t="inlineStr">
        <is>
          <t>11.73%</t>
        </is>
      </c>
      <c r="I303" s="20" t="inlineStr">
        <is>
          <t>N/A</t>
        </is>
      </c>
      <c r="J303" s="20" t="n">
        <v>1</v>
      </c>
      <c r="K303" s="20" t="n">
        <v>2</v>
      </c>
      <c r="L303" s="20" t="inlineStr">
        <is>
          <t>12.08.2024 23:55:47</t>
        </is>
      </c>
      <c r="M303" s="20" t="inlineStr">
        <is>
          <t>13 min</t>
        </is>
      </c>
      <c r="N303" s="20" t="inlineStr">
        <is>
          <t xml:space="preserve">         25K            27K             7K</t>
        </is>
      </c>
      <c r="O303" s="20" t="inlineStr">
        <is>
          <t>5r6Ny1tCBEUFdU3ehUqBAsGCp7U8LBrsMKhgJGqRyBaZ</t>
        </is>
      </c>
      <c r="P303" s="20">
        <f>HYPERLINK("https://photon-sol.tinyastro.io/en/lp/5r6Ny1tCBEUFdU3ehUqBAsGCp7U8LBrsMKhgJGqRyBaZ?handle=676050794bc1b1657a56b", "View")</f>
        <v/>
      </c>
    </row>
    <row r="304">
      <c r="A304" s="15" t="inlineStr">
        <is>
          <t>TCTO</t>
        </is>
      </c>
      <c r="B304" s="16" t="n">
        <v>210731285</v>
      </c>
      <c r="C304" s="16" t="n">
        <v>210731285</v>
      </c>
      <c r="D304" s="16" t="inlineStr">
        <is>
          <t>0.000040</t>
        </is>
      </c>
      <c r="E304" s="16" t="inlineStr">
        <is>
          <t>8.154 SOL</t>
        </is>
      </c>
      <c r="F304" s="16" t="inlineStr">
        <is>
          <t>18.965 SOL</t>
        </is>
      </c>
      <c r="G304" s="23" t="inlineStr">
        <is>
          <t>10.811 SOL</t>
        </is>
      </c>
      <c r="H304" s="23" t="inlineStr">
        <is>
          <t>132.58%</t>
        </is>
      </c>
      <c r="I304" s="16" t="inlineStr">
        <is>
          <t>N/A</t>
        </is>
      </c>
      <c r="J304" s="16" t="n">
        <v>2</v>
      </c>
      <c r="K304" s="16" t="n">
        <v>2</v>
      </c>
      <c r="L304" s="16" t="inlineStr">
        <is>
          <t>12.08.2024 23:09:21</t>
        </is>
      </c>
      <c r="M304" s="16" t="inlineStr">
        <is>
          <t>18 min</t>
        </is>
      </c>
      <c r="N304" s="16" t="inlineStr">
        <is>
          <t xml:space="preserve">        N/A           N/A           N/A</t>
        </is>
      </c>
      <c r="O304" s="16" t="inlineStr">
        <is>
          <t>9ygky3uKdv4UWR6xfqryiadyfJgWshzkt3Rb65ufB63A</t>
        </is>
      </c>
      <c r="P304" s="16">
        <f>HYPERLINK("https://photon-sol.tinyastro.io/en/lp/9ygky3uKdv4UWR6xfqryiadyfJgWshzkt3Rb65ufB63A?handle=676050794bc1b1657a56b", "View")</f>
        <v/>
      </c>
    </row>
    <row r="305">
      <c r="A305" s="19" t="inlineStr">
        <is>
          <t>RNE</t>
        </is>
      </c>
      <c r="B305" s="20" t="n">
        <v>39543137</v>
      </c>
      <c r="C305" s="20" t="n">
        <v>39543137</v>
      </c>
      <c r="D305" s="20" t="inlineStr">
        <is>
          <t>0.000020</t>
        </is>
      </c>
      <c r="E305" s="20" t="inlineStr">
        <is>
          <t>10.537 SOL</t>
        </is>
      </c>
      <c r="F305" s="20" t="inlineStr">
        <is>
          <t>3.511 SOL</t>
        </is>
      </c>
      <c r="G305" s="24" t="inlineStr">
        <is>
          <t>-7.025 SOL</t>
        </is>
      </c>
      <c r="H305" s="24" t="inlineStr">
        <is>
          <t>-66.68%</t>
        </is>
      </c>
      <c r="I305" s="20" t="inlineStr">
        <is>
          <t>N/A</t>
        </is>
      </c>
      <c r="J305" s="20" t="n">
        <v>1</v>
      </c>
      <c r="K305" s="20" t="n">
        <v>1</v>
      </c>
      <c r="L305" s="20" t="inlineStr">
        <is>
          <t>12.08.2024 22:36:43</t>
        </is>
      </c>
      <c r="M305" s="20" t="inlineStr">
        <is>
          <t>10 min</t>
        </is>
      </c>
      <c r="N305" s="20" t="inlineStr">
        <is>
          <t xml:space="preserve">         47K            16K             3K</t>
        </is>
      </c>
      <c r="O305" s="20" t="inlineStr">
        <is>
          <t>6BwpGbCosvk4mEYbjphy2xLkbGWkPZEhhb8VeSLvpump</t>
        </is>
      </c>
      <c r="P305" s="20">
        <f>HYPERLINK("https://photon-sol.tinyastro.io/en/lp/6BwpGbCosvk4mEYbjphy2xLkbGWkPZEhhb8VeSLvpump?handle=676050794bc1b1657a56b", "View")</f>
        <v/>
      </c>
    </row>
    <row r="306">
      <c r="A306" s="15" t="inlineStr">
        <is>
          <t>hi</t>
        </is>
      </c>
      <c r="B306" s="16" t="n">
        <v>6971134</v>
      </c>
      <c r="C306" s="16" t="n">
        <v>6971134</v>
      </c>
      <c r="D306" s="16" t="inlineStr">
        <is>
          <t>0.000030</t>
        </is>
      </c>
      <c r="E306" s="16" t="inlineStr">
        <is>
          <t>9.000 SOL</t>
        </is>
      </c>
      <c r="F306" s="16" t="inlineStr">
        <is>
          <t>9.846 SOL</t>
        </is>
      </c>
      <c r="G306" s="22" t="inlineStr">
        <is>
          <t>0.846 SOL</t>
        </is>
      </c>
      <c r="H306" s="22" t="inlineStr">
        <is>
          <t>9.39%</t>
        </is>
      </c>
      <c r="I306" s="16" t="inlineStr">
        <is>
          <t>N/A</t>
        </is>
      </c>
      <c r="J306" s="16" t="n">
        <v>2</v>
      </c>
      <c r="K306" s="16" t="n">
        <v>1</v>
      </c>
      <c r="L306" s="16" t="inlineStr">
        <is>
          <t>12.08.2024 19:16:46</t>
        </is>
      </c>
      <c r="M306" s="16" t="inlineStr">
        <is>
          <t>3 min</t>
        </is>
      </c>
      <c r="N306" s="16" t="inlineStr">
        <is>
          <t xml:space="preserve">        168K           217K             6K</t>
        </is>
      </c>
      <c r="O306" s="16" t="inlineStr">
        <is>
          <t>F9B3Yu3MLhDyJHXXFe6QMDq6Fvxqqf3JJT7cYcRRpump</t>
        </is>
      </c>
      <c r="P306" s="16">
        <f>HYPERLINK("https://dexscreener.com/solana/F9B3Yu3MLhDyJHXXFe6QMDq6Fvxqqf3JJT7cYcRRpump", "View")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HYPERLINK("https://gmgn.ai/sol/address/6X1jSkx7uDssCkm2PfXAWpvqT7s8ydt4663HF6YNLVZN", "GMGN")</f>
        <v/>
      </c>
    </row>
    <row r="2">
      <c r="A2" s="3" t="inlineStr">
        <is>
          <t>6X1jSkx7uDssCkm2PfXAWpvqT7s8ydt4663HF6YNLVZN</t>
        </is>
      </c>
      <c r="B2" s="3" t="inlineStr">
        <is>
          <t>8.33 SOL</t>
        </is>
      </c>
      <c r="C2" s="3" t="inlineStr">
        <is>
          <t>63%</t>
        </is>
      </c>
      <c r="D2" s="3" t="inlineStr">
        <is>
          <t>134%</t>
        </is>
      </c>
      <c r="E2" s="3" t="inlineStr">
        <is>
          <t>7.91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2</v>
      </c>
      <c r="N2" s="3">
        <f>HYPERLINK("https://solscan.io/account/6X1jSkx7uDssCkm2PfXAWpvqT7s8ydt4663HF6YNLVZN", "Solscan")</f>
        <v/>
      </c>
    </row>
    <row r="3">
      <c r="A3" s="6" t="inlineStr">
        <is>
          <t>Median ROI</t>
        </is>
      </c>
      <c r="B3" s="4" t="inlineStr">
        <is>
          <t>39.78%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HYPERLINK("https://birdeye.so/profile/6X1jSkx7uDssCkm2PfXAWpvqT7s8ydt4663HF6YNLVZN", "Birdeye")</f>
        <v/>
      </c>
    </row>
    <row r="4">
      <c r="A4" s="6" t="inlineStr">
        <is>
          <t>Rockets percent</t>
        </is>
      </c>
      <c r="B4" s="3" t="inlineStr">
        <is>
          <t>25%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1</v>
      </c>
      <c r="D10" s="6" t="n">
        <v>1</v>
      </c>
      <c r="E10" s="6" t="n">
        <v>2</v>
      </c>
      <c r="F10" s="6" t="n">
        <v>2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12.5%</t>
        </is>
      </c>
      <c r="C11" s="6" t="inlineStr">
        <is>
          <t>12.5%</t>
        </is>
      </c>
      <c r="D11" s="6" t="inlineStr">
        <is>
          <t>12.5%</t>
        </is>
      </c>
      <c r="E11" s="6" t="inlineStr">
        <is>
          <t>25.0%</t>
        </is>
      </c>
      <c r="F11" s="6" t="inlineStr">
        <is>
          <t>25.0%</t>
        </is>
      </c>
      <c r="G11" s="6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6.7 SOL</t>
        </is>
      </c>
      <c r="C12" s="6" t="inlineStr">
        <is>
          <t>0.8 SOL</t>
        </is>
      </c>
      <c r="D12" s="6" t="inlineStr">
        <is>
          <t>0.7 SOL</t>
        </is>
      </c>
      <c r="E12" s="6" t="inlineStr">
        <is>
          <t>0.5 SOL</t>
        </is>
      </c>
      <c r="F12" s="6" t="inlineStr">
        <is>
          <t>-0.7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11.5K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Glory</t>
        </is>
      </c>
      <c r="B20" s="16" t="n">
        <v>8984506</v>
      </c>
      <c r="C20" s="16" t="n">
        <v>8984506</v>
      </c>
      <c r="D20" s="16" t="inlineStr">
        <is>
          <t>0.020010</t>
        </is>
      </c>
      <c r="E20" s="16" t="inlineStr">
        <is>
          <t>0.546 SOL</t>
        </is>
      </c>
      <c r="F20" s="16" t="inlineStr">
        <is>
          <t>0.738 SOL</t>
        </is>
      </c>
      <c r="G20" s="22" t="inlineStr">
        <is>
          <t>0.172 SOL</t>
        </is>
      </c>
      <c r="H20" s="22" t="inlineStr">
        <is>
          <t>30.27%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17:34:53</t>
        </is>
      </c>
      <c r="M20" s="16" t="inlineStr">
        <is>
          <t>3 min</t>
        </is>
      </c>
      <c r="N20" s="16" t="inlineStr">
        <is>
          <t xml:space="preserve">         11K            11K             6K</t>
        </is>
      </c>
      <c r="O20" s="16" t="inlineStr">
        <is>
          <t>DZqXyNkK52FpPHGN73EmvvLoSZNXskpNvtL1GMjLpump</t>
        </is>
      </c>
      <c r="P20" s="16">
        <f>HYPERLINK("https://photon-sol.tinyastro.io/en/lp/DZqXyNkK52FpPHGN73EmvvLoSZNXskpNvtL1GMjLpump?handle=676050794bc1b1657a56b", "View")</f>
        <v/>
      </c>
    </row>
    <row r="21">
      <c r="A21" s="19" t="inlineStr">
        <is>
          <t>Liberty</t>
        </is>
      </c>
      <c r="B21" s="20" t="n">
        <v>8959841</v>
      </c>
      <c r="C21" s="20" t="n">
        <v>8959841</v>
      </c>
      <c r="D21" s="20" t="inlineStr">
        <is>
          <t>0.190090</t>
        </is>
      </c>
      <c r="E21" s="20" t="inlineStr">
        <is>
          <t>0.467 SOL</t>
        </is>
      </c>
      <c r="F21" s="20" t="inlineStr">
        <is>
          <t>1.475 SOL</t>
        </is>
      </c>
      <c r="G21" s="23" t="inlineStr">
        <is>
          <t>0.818 SOL</t>
        </is>
      </c>
      <c r="H21" s="23" t="inlineStr">
        <is>
          <t>124.46%</t>
        </is>
      </c>
      <c r="I21" s="20" t="inlineStr">
        <is>
          <t>N/A</t>
        </is>
      </c>
      <c r="J21" s="20" t="n">
        <v>1</v>
      </c>
      <c r="K21" s="20" t="n">
        <v>18</v>
      </c>
      <c r="L21" s="20" t="inlineStr">
        <is>
          <t>30.10.2024 13:20:51</t>
        </is>
      </c>
      <c r="M21" s="20" t="inlineStr">
        <is>
          <t>4 min</t>
        </is>
      </c>
      <c r="N21" s="20" t="inlineStr">
        <is>
          <t xml:space="preserve">          9K             9K             5K</t>
        </is>
      </c>
      <c r="O21" s="20" t="inlineStr">
        <is>
          <t>CqBmg5ZUoaPg5Yx5uAKYzpyRcXme2UpVmZ8U5iotpump</t>
        </is>
      </c>
      <c r="P21" s="20">
        <f>HYPERLINK("https://photon-sol.tinyastro.io/en/lp/CqBmg5ZUoaPg5Yx5uAKYzpyRcXme2UpVmZ8U5iotpump?handle=676050794bc1b1657a56b", "View")</f>
        <v/>
      </c>
    </row>
    <row r="22">
      <c r="A22" s="15" t="inlineStr">
        <is>
          <t>Torin</t>
        </is>
      </c>
      <c r="B22" s="16" t="n">
        <v>8831328</v>
      </c>
      <c r="C22" s="16" t="n">
        <v>8831328</v>
      </c>
      <c r="D22" s="16" t="inlineStr">
        <is>
          <t>0.610300</t>
        </is>
      </c>
      <c r="E22" s="16" t="inlineStr">
        <is>
          <t>0.491 SOL</t>
        </is>
      </c>
      <c r="F22" s="16" t="inlineStr">
        <is>
          <t>7.812 SOL</t>
        </is>
      </c>
      <c r="G22" s="23" t="inlineStr">
        <is>
          <t>6.711 SOL</t>
        </is>
      </c>
      <c r="H22" s="23" t="inlineStr">
        <is>
          <t>609.43%</t>
        </is>
      </c>
      <c r="I22" s="16" t="inlineStr">
        <is>
          <t>N/A</t>
        </is>
      </c>
      <c r="J22" s="16" t="n">
        <v>1</v>
      </c>
      <c r="K22" s="16" t="n">
        <v>60</v>
      </c>
      <c r="L22" s="16" t="inlineStr">
        <is>
          <t>30.10.2024 06:17:46</t>
        </is>
      </c>
      <c r="M22" s="16" t="inlineStr">
        <is>
          <t>7 min</t>
        </is>
      </c>
      <c r="N22" s="16" t="inlineStr">
        <is>
          <t xml:space="preserve">         11K           100K             7K</t>
        </is>
      </c>
      <c r="O22" s="16" t="inlineStr">
        <is>
          <t>ALKTKLRTyF3P83KMCAvGEtY4CsoMzvh1k38uixCgpump</t>
        </is>
      </c>
      <c r="P22" s="16">
        <f>HYPERLINK("https://photon-sol.tinyastro.io/en/lp/ALKTKLRTyF3P83KMCAvGEtY4CsoMzvh1k38uixCgpump?handle=676050794bc1b1657a56b", "View")</f>
        <v/>
      </c>
    </row>
    <row r="23">
      <c r="A23" s="19" t="inlineStr">
        <is>
          <t>Butters</t>
        </is>
      </c>
      <c r="B23" s="20" t="n">
        <v>7929767</v>
      </c>
      <c r="C23" s="20" t="n">
        <v>7929767</v>
      </c>
      <c r="D23" s="20" t="inlineStr">
        <is>
          <t>0.020010</t>
        </is>
      </c>
      <c r="E23" s="20" t="inlineStr">
        <is>
          <t>0.549 SOL</t>
        </is>
      </c>
      <c r="F23" s="20" t="inlineStr">
        <is>
          <t>0.850 SOL</t>
        </is>
      </c>
      <c r="G23" s="22" t="inlineStr">
        <is>
          <t>0.281 SOL</t>
        </is>
      </c>
      <c r="H23" s="22" t="inlineStr">
        <is>
          <t>49.28%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29.10.2024 18:24:57</t>
        </is>
      </c>
      <c r="M23" s="20" t="inlineStr">
        <is>
          <t>7 min</t>
        </is>
      </c>
      <c r="N23" s="20" t="inlineStr">
        <is>
          <t xml:space="preserve">         12K            19K             4K</t>
        </is>
      </c>
      <c r="O23" s="20" t="inlineStr">
        <is>
          <t>BFc3G2JaqZA3eCJzWiSMhGZp7aXwonXETtr2Nudppump</t>
        </is>
      </c>
      <c r="P23" s="20">
        <f>HYPERLINK("https://photon-sol.tinyastro.io/en/lp/BFc3G2JaqZA3eCJzWiSMhGZp7aXwonXETtr2Nudppump?handle=676050794bc1b1657a56b", "View")</f>
        <v/>
      </c>
    </row>
    <row r="24">
      <c r="A24" s="15" t="inlineStr">
        <is>
          <t>Nina</t>
        </is>
      </c>
      <c r="B24" s="16" t="n">
        <v>11778199</v>
      </c>
      <c r="C24" s="16" t="n">
        <v>11778199</v>
      </c>
      <c r="D24" s="16" t="inlineStr">
        <is>
          <t>0.020010</t>
        </is>
      </c>
      <c r="E24" s="16" t="inlineStr">
        <is>
          <t>0.993 SOL</t>
        </is>
      </c>
      <c r="F24" s="16" t="inlineStr">
        <is>
          <t>0.616 SOL</t>
        </is>
      </c>
      <c r="G24" s="21" t="inlineStr">
        <is>
          <t>-0.397 SOL</t>
        </is>
      </c>
      <c r="H24" s="21" t="inlineStr">
        <is>
          <t>-39.16%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15:47:07</t>
        </is>
      </c>
      <c r="M24" s="16" t="inlineStr">
        <is>
          <t>4 min</t>
        </is>
      </c>
      <c r="N24" s="16" t="inlineStr">
        <is>
          <t xml:space="preserve">         14K             9K             5K</t>
        </is>
      </c>
      <c r="O24" s="16" t="inlineStr">
        <is>
          <t>CDkwBE7pPovZLJC2KxM7jvWXkyygR1Y1u2R7f6hmpump</t>
        </is>
      </c>
      <c r="P24" s="16">
        <f>HYPERLINK("https://photon-sol.tinyastro.io/en/lp/CDkwBE7pPovZLJC2KxM7jvWXkyygR1Y1u2R7f6hmpump?handle=676050794bc1b1657a56b", "View")</f>
        <v/>
      </c>
    </row>
    <row r="25">
      <c r="A25" s="19" t="inlineStr">
        <is>
          <t>MOLANG</t>
        </is>
      </c>
      <c r="B25" s="20" t="n">
        <v>1793028</v>
      </c>
      <c r="C25" s="20" t="n">
        <v>1793028</v>
      </c>
      <c r="D25" s="20" t="inlineStr">
        <is>
          <t>0.220020</t>
        </is>
      </c>
      <c r="E25" s="20" t="inlineStr">
        <is>
          <t>0.546 SOL</t>
        </is>
      </c>
      <c r="F25" s="20" t="inlineStr">
        <is>
          <t>0.476 SOL</t>
        </is>
      </c>
      <c r="G25" s="21" t="inlineStr">
        <is>
          <t>-0.290 SOL</t>
        </is>
      </c>
      <c r="H25" s="21" t="inlineStr">
        <is>
          <t>-37.84%</t>
        </is>
      </c>
      <c r="I25" s="20" t="inlineStr">
        <is>
          <t>N/A</t>
        </is>
      </c>
      <c r="J25" s="20" t="n">
        <v>2</v>
      </c>
      <c r="K25" s="20" t="n">
        <v>2</v>
      </c>
      <c r="L25" s="20" t="inlineStr">
        <is>
          <t>29.10.2024 14:48:15</t>
        </is>
      </c>
      <c r="M25" s="20" t="inlineStr">
        <is>
          <t>10 min</t>
        </is>
      </c>
      <c r="N25" s="20" t="inlineStr">
        <is>
          <t xml:space="preserve">         56K            32K             4K</t>
        </is>
      </c>
      <c r="O25" s="20" t="inlineStr">
        <is>
          <t>BPFXTGBjoARa89gbSvbp7Dy6cQwgGc7efW1jE8nTpump</t>
        </is>
      </c>
      <c r="P25" s="20">
        <f>HYPERLINK("https://photon-sol.tinyastro.io/en/lp/BPFXTGBjoARa89gbSvbp7Dy6cQwgGc7efW1jE8nTpump?handle=676050794bc1b1657a56b", "View")</f>
        <v/>
      </c>
    </row>
    <row r="26">
      <c r="A26" s="15" t="inlineStr">
        <is>
          <t>Trina</t>
        </is>
      </c>
      <c r="B26" s="16" t="n">
        <v>11384893</v>
      </c>
      <c r="C26" s="16" t="n">
        <v>11384893</v>
      </c>
      <c r="D26" s="16" t="inlineStr">
        <is>
          <t>0.410160</t>
        </is>
      </c>
      <c r="E26" s="16" t="inlineStr">
        <is>
          <t>0.580 SOL</t>
        </is>
      </c>
      <c r="F26" s="16" t="inlineStr">
        <is>
          <t>1.728 SOL</t>
        </is>
      </c>
      <c r="G26" s="23" t="inlineStr">
        <is>
          <t>0.737 SOL</t>
        </is>
      </c>
      <c r="H26" s="23" t="inlineStr">
        <is>
          <t>74.44%</t>
        </is>
      </c>
      <c r="I26" s="16" t="inlineStr">
        <is>
          <t>N/A</t>
        </is>
      </c>
      <c r="J26" s="16" t="n">
        <v>1</v>
      </c>
      <c r="K26" s="16" t="n">
        <v>31</v>
      </c>
      <c r="L26" s="16" t="inlineStr">
        <is>
          <t>29.10.2024 13:33:43</t>
        </is>
      </c>
      <c r="M26" s="16" t="inlineStr">
        <is>
          <t>10 min</t>
        </is>
      </c>
      <c r="N26" s="16" t="inlineStr">
        <is>
          <t xml:space="preserve">          9K             9K             4K</t>
        </is>
      </c>
      <c r="O26" s="16" t="inlineStr">
        <is>
          <t>DirQ7FDi1C5SZCy8ai1GTSvnm9o8MDf9s4C4cExzpump</t>
        </is>
      </c>
      <c r="P26" s="16">
        <f>HYPERLINK("https://photon-sol.tinyastro.io/en/lp/DirQ7FDi1C5SZCy8ai1GTSvnm9o8MDf9s4C4cExzpump?handle=676050794bc1b1657a56b", "View")</f>
        <v/>
      </c>
    </row>
    <row r="27">
      <c r="A27" s="19" t="inlineStr">
        <is>
          <t>Trina</t>
        </is>
      </c>
      <c r="B27" s="20" t="n">
        <v>585788</v>
      </c>
      <c r="C27" s="20" t="n">
        <v>585788</v>
      </c>
      <c r="D27" s="20" t="inlineStr">
        <is>
          <t>0.110010</t>
        </is>
      </c>
      <c r="E27" s="20" t="inlineStr">
        <is>
          <t>0.131 SOL</t>
        </is>
      </c>
      <c r="F27" s="20" t="inlineStr">
        <is>
          <t>0.119 SOL</t>
        </is>
      </c>
      <c r="G27" s="24" t="inlineStr">
        <is>
          <t>-0.123 SOL</t>
        </is>
      </c>
      <c r="H27" s="24" t="inlineStr">
        <is>
          <t>-50.82%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29.10.2024 13:22:12</t>
        </is>
      </c>
      <c r="M27" s="20" t="inlineStr">
        <is>
          <t>8 min</t>
        </is>
      </c>
      <c r="N27" s="20" t="inlineStr">
        <is>
          <t xml:space="preserve">         39K            35K             5K</t>
        </is>
      </c>
      <c r="O27" s="20" t="inlineStr">
        <is>
          <t>CsT44i2W2MWp23WQ2EqjorxZVVzuN4niw1cj1Qr5pump</t>
        </is>
      </c>
      <c r="P27" s="20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6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HYPERLINK("https://gmgn.ai/sol/address/2DvW7X3VKSYtbjjL6eSWbvhAXGRg31Y5hWhderg4BUJJ", "GMGN")</f>
        <v/>
      </c>
    </row>
    <row r="2">
      <c r="A2" s="3" t="inlineStr">
        <is>
          <t>2DvW7X3VKSYtbjjL6eSWbvhAXGRg31Y5hWhderg4BUJJ</t>
        </is>
      </c>
      <c r="B2" s="3" t="inlineStr">
        <is>
          <t>4.50 SOL</t>
        </is>
      </c>
      <c r="C2" s="3" t="inlineStr">
        <is>
          <t>62%</t>
        </is>
      </c>
      <c r="D2" s="3" t="inlineStr">
        <is>
          <t>77%</t>
        </is>
      </c>
      <c r="E2" s="3" t="inlineStr">
        <is>
          <t>60.30 SOL</t>
        </is>
      </c>
      <c r="F2" s="3" t="inlineStr">
        <is>
          <t>18 (38%)</t>
        </is>
      </c>
      <c r="G2" s="3" t="inlineStr">
        <is>
          <t>0 (0%)</t>
        </is>
      </c>
      <c r="H2" s="3" t="n">
        <v>47</v>
      </c>
      <c r="I2" s="3" t="n">
        <v>0</v>
      </c>
      <c r="J2" s="3" t="inlineStr">
        <is>
          <t>16 days</t>
        </is>
      </c>
      <c r="K2" s="3" t="inlineStr">
        <is>
          <t>2 min</t>
        </is>
      </c>
      <c r="L2" s="3" t="n">
        <v>46</v>
      </c>
      <c r="M2" s="3" t="n">
        <v>16</v>
      </c>
      <c r="N2" s="3">
        <f>HYPERLINK("https://solscan.io/account/2DvW7X3VKSYtbjjL6eSWbvhAXGRg31Y5hWhderg4BUJJ", "Solscan")</f>
        <v/>
      </c>
    </row>
    <row r="3">
      <c r="A3" s="6" t="inlineStr">
        <is>
          <t>Median ROI</t>
        </is>
      </c>
      <c r="B3" s="4" t="inlineStr">
        <is>
          <t>8.89%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HYPERLINK("https://birdeye.so/profile/2DvW7X3VKSYtbjjL6eSWbvhAXGRg31Y5hWhderg4BUJJ", "Birdeye")</f>
        <v/>
      </c>
    </row>
    <row r="4">
      <c r="A4" s="6" t="inlineStr">
        <is>
          <t>Rockets percent</t>
        </is>
      </c>
      <c r="B4" s="3" t="inlineStr">
        <is>
          <t>9%</t>
        </is>
      </c>
      <c r="C4" s="3" t="inlineStr"/>
      <c r="D4" s="3" t="inlineStr">
        <is>
          <t>0%</t>
        </is>
      </c>
      <c r="E4" s="3" t="inlineStr">
        <is>
          <t>0.04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16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1</v>
      </c>
      <c r="D10" s="6" t="n">
        <v>5</v>
      </c>
      <c r="E10" s="6" t="n">
        <v>20</v>
      </c>
      <c r="F10" s="6" t="n">
        <v>13</v>
      </c>
      <c r="G10" s="6" t="n">
        <v>5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6.4%</t>
        </is>
      </c>
      <c r="C11" s="6" t="inlineStr">
        <is>
          <t>2.1%</t>
        </is>
      </c>
      <c r="D11" s="6" t="inlineStr">
        <is>
          <t>10.6%</t>
        </is>
      </c>
      <c r="E11" s="6" t="inlineStr">
        <is>
          <t>42.6%</t>
        </is>
      </c>
      <c r="F11" s="6" t="inlineStr">
        <is>
          <t>27.7%</t>
        </is>
      </c>
      <c r="G11" s="6" t="inlineStr">
        <is>
          <t>10.6%</t>
        </is>
      </c>
      <c r="H11" s="3" t="n"/>
      <c r="I11" s="3" t="inlineStr">
        <is>
          <t>5k-30k</t>
        </is>
      </c>
      <c r="J11" s="3" t="inlineStr">
        <is>
          <t>31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62.8 SOL</t>
        </is>
      </c>
      <c r="C12" s="6" t="inlineStr">
        <is>
          <t>1.9 SOL</t>
        </is>
      </c>
      <c r="D12" s="6" t="inlineStr">
        <is>
          <t>3.4 SOL</t>
        </is>
      </c>
      <c r="E12" s="6" t="inlineStr">
        <is>
          <t>4.2 SOL</t>
        </is>
      </c>
      <c r="F12" s="6" t="inlineStr">
        <is>
          <t>-3.2 SOL</t>
        </is>
      </c>
      <c r="G12" s="6" t="inlineStr">
        <is>
          <t>-8.7 SOL</t>
        </is>
      </c>
      <c r="H12" s="3" t="n"/>
      <c r="I12" s="3" t="inlineStr">
        <is>
          <t>30k-100k</t>
        </is>
      </c>
      <c r="J12" s="3" t="inlineStr">
        <is>
          <t>6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7.0K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ROVER</t>
        </is>
      </c>
      <c r="B20" s="16" t="n">
        <v>64515820</v>
      </c>
      <c r="C20" s="16" t="n">
        <v>64515820</v>
      </c>
      <c r="D20" s="16" t="inlineStr">
        <is>
          <t>0.000060</t>
        </is>
      </c>
      <c r="E20" s="16" t="inlineStr">
        <is>
          <t>2.049 SOL</t>
        </is>
      </c>
      <c r="F20" s="16" t="inlineStr">
        <is>
          <t>12.577 SOL</t>
        </is>
      </c>
      <c r="G20" s="23" t="inlineStr">
        <is>
          <t>10.528 SOL</t>
        </is>
      </c>
      <c r="H20" s="23" t="inlineStr">
        <is>
          <t>513.89%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20:41:41</t>
        </is>
      </c>
      <c r="M20" s="16" t="inlineStr">
        <is>
          <t>9 min</t>
        </is>
      </c>
      <c r="N20" s="16" t="inlineStr">
        <is>
          <t xml:space="preserve">          5K            33K             5K</t>
        </is>
      </c>
      <c r="O20" s="16" t="inlineStr">
        <is>
          <t>H6m2qtYrbyrrHu7ouph5o5GJMeBGnwVxZcSm28cXpump</t>
        </is>
      </c>
      <c r="P20" s="16">
        <f>HYPERLINK("https://photon-sol.tinyastro.io/en/lp/H6m2qtYrbyrrHu7ouph5o5GJMeBGnwVxZcSm28cXpump?handle=676050794bc1b1657a56b", "View")</f>
        <v/>
      </c>
    </row>
    <row r="21">
      <c r="A21" s="19" t="inlineStr">
        <is>
          <t>KYLO</t>
        </is>
      </c>
      <c r="B21" s="20" t="n">
        <v>113386405</v>
      </c>
      <c r="C21" s="20" t="n">
        <v>113341051</v>
      </c>
      <c r="D21" s="20" t="inlineStr">
        <is>
          <t>0.020040</t>
        </is>
      </c>
      <c r="E21" s="20" t="inlineStr">
        <is>
          <t>3.788 SOL</t>
        </is>
      </c>
      <c r="F21" s="20" t="inlineStr">
        <is>
          <t>40.248 SOL</t>
        </is>
      </c>
      <c r="G21" s="23" t="inlineStr">
        <is>
          <t>36.441 SOL</t>
        </is>
      </c>
      <c r="H21" s="23" t="inlineStr">
        <is>
          <t>957.02%</t>
        </is>
      </c>
      <c r="I21" s="20" t="inlineStr">
        <is>
          <t>N/A</t>
        </is>
      </c>
      <c r="J21" s="20" t="n">
        <v>1</v>
      </c>
      <c r="K21" s="20" t="n">
        <v>2</v>
      </c>
      <c r="L21" s="20" t="inlineStr">
        <is>
          <t>30.10.2024 20:10:30</t>
        </is>
      </c>
      <c r="M21" s="20" t="inlineStr">
        <is>
          <t>1 hours</t>
        </is>
      </c>
      <c r="N21" s="20" t="inlineStr">
        <is>
          <t xml:space="preserve">          5K            63K             5K</t>
        </is>
      </c>
      <c r="O21" s="20" t="inlineStr">
        <is>
          <t>J4zfoLoeSw9R56wcijwr39B5DMYYVR3EYkPJoyygpump</t>
        </is>
      </c>
      <c r="P21" s="20">
        <f>HYPERLINK("https://photon-sol.tinyastro.io/en/lp/J4zfoLoeSw9R56wcijwr39B5DMYYVR3EYkPJoyygpump?handle=676050794bc1b1657a56b", "View")</f>
        <v/>
      </c>
    </row>
    <row r="22">
      <c r="A22" s="15" t="inlineStr">
        <is>
          <t>JEET</t>
        </is>
      </c>
      <c r="B22" s="16" t="n">
        <v>20100788</v>
      </c>
      <c r="C22" s="16" t="n">
        <v>20100788</v>
      </c>
      <c r="D22" s="16" t="inlineStr">
        <is>
          <t>0.000060</t>
        </is>
      </c>
      <c r="E22" s="16" t="inlineStr">
        <is>
          <t>0.612 SOL</t>
        </is>
      </c>
      <c r="F22" s="16" t="inlineStr">
        <is>
          <t>0.943 SOL</t>
        </is>
      </c>
      <c r="G22" s="23" t="inlineStr">
        <is>
          <t>0.331 SOL</t>
        </is>
      </c>
      <c r="H22" s="23" t="inlineStr">
        <is>
          <t>54.10%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29.10.2024 15:44:22</t>
        </is>
      </c>
      <c r="M22" s="16" t="inlineStr">
        <is>
          <t>18 hours</t>
        </is>
      </c>
      <c r="N22" s="16" t="inlineStr">
        <is>
          <t xml:space="preserve">          5K             5K             5K</t>
        </is>
      </c>
      <c r="O22" s="16" t="inlineStr">
        <is>
          <t>ASw99Fu6rxQ2Uif9q9BEYmdjA7SWH9HD5yUE1x9Lddmq</t>
        </is>
      </c>
      <c r="P22" s="16">
        <f>HYPERLINK("https://photon-sol.tinyastro.io/en/lp/ASw99Fu6rxQ2Uif9q9BEYmdjA7SWH9HD5yUE1x9Lddmq?handle=676050794bc1b1657a56b", "View")</f>
        <v/>
      </c>
    </row>
    <row r="23">
      <c r="A23" s="19" t="inlineStr">
        <is>
          <t>GORF</t>
        </is>
      </c>
      <c r="B23" s="20" t="n">
        <v>6940947</v>
      </c>
      <c r="C23" s="20" t="n">
        <v>6802128</v>
      </c>
      <c r="D23" s="20" t="inlineStr">
        <is>
          <t>0.020010</t>
        </is>
      </c>
      <c r="E23" s="20" t="inlineStr">
        <is>
          <t>1.881 SOL</t>
        </is>
      </c>
      <c r="F23" s="20" t="inlineStr">
        <is>
          <t>0.699 SOL</t>
        </is>
      </c>
      <c r="G23" s="24" t="inlineStr">
        <is>
          <t>-1.202 SOL</t>
        </is>
      </c>
      <c r="H23" s="24" t="inlineStr">
        <is>
          <t>-63.21%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29.10.2024 15:39:20</t>
        </is>
      </c>
      <c r="M23" s="20" t="inlineStr">
        <is>
          <t>14 min</t>
        </is>
      </c>
      <c r="N23" s="20" t="inlineStr">
        <is>
          <t xml:space="preserve">         47K            18K             4K</t>
        </is>
      </c>
      <c r="O23" s="20" t="inlineStr">
        <is>
          <t>5JyTUrL9ZBvyA1dwUSw9XLZwkDLFjFHfm1ghVd9Vpump</t>
        </is>
      </c>
      <c r="P23" s="20">
        <f>HYPERLINK("https://dexscreener.com/solana/5JyTUrL9ZBvyA1dwUSw9XLZwkDLFjFHfm1ghVd9Vpump", "View")</f>
        <v/>
      </c>
    </row>
    <row r="24">
      <c r="A24" s="15" t="inlineStr">
        <is>
          <t>respect</t>
        </is>
      </c>
      <c r="B24" s="16" t="n">
        <v>8772240</v>
      </c>
      <c r="C24" s="16" t="n">
        <v>8596795</v>
      </c>
      <c r="D24" s="16" t="inlineStr">
        <is>
          <t>0.020010</t>
        </is>
      </c>
      <c r="E24" s="16" t="inlineStr">
        <is>
          <t>1.998 SOL</t>
        </is>
      </c>
      <c r="F24" s="16" t="inlineStr">
        <is>
          <t>1.556 SOL</t>
        </is>
      </c>
      <c r="G24" s="21" t="inlineStr">
        <is>
          <t>-0.462 SOL</t>
        </is>
      </c>
      <c r="H24" s="21" t="inlineStr">
        <is>
          <t>-22.89%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10:01:55</t>
        </is>
      </c>
      <c r="M24" s="16" t="inlineStr">
        <is>
          <t>7 min</t>
        </is>
      </c>
      <c r="N24" s="16" t="inlineStr">
        <is>
          <t xml:space="preserve">         40K            32K             6K</t>
        </is>
      </c>
      <c r="O24" s="16" t="inlineStr">
        <is>
          <t>dR8mnFJUtbrDJfKFsKFrnGFrrnubUavsnFPQsjwpump</t>
        </is>
      </c>
      <c r="P24" s="16">
        <f>HYPERLINK("https://photon-sol.tinyastro.io/en/lp/dR8mnFJUtbrDJfKFsKFrnGFrrnubUavsnFPQsjwpump?handle=676050794bc1b1657a56b", "View")</f>
        <v/>
      </c>
    </row>
    <row r="25">
      <c r="A25" t="inlineStr">
        <is>
          <t>QAT</t>
        </is>
      </c>
      <c r="B25" t="n">
        <v>22604533</v>
      </c>
      <c r="C25" t="n">
        <v>22604533</v>
      </c>
      <c r="D25" t="inlineStr">
        <is>
          <t>0.000040</t>
        </is>
      </c>
      <c r="E25" t="inlineStr">
        <is>
          <t>1.294 SOL</t>
        </is>
      </c>
      <c r="F25" t="inlineStr">
        <is>
          <t>1.136 SOL</t>
        </is>
      </c>
      <c r="G25" t="inlineStr">
        <is>
          <t>-0.158 SOL</t>
        </is>
      </c>
      <c r="H25" t="inlineStr">
        <is>
          <t>-12.18%</t>
        </is>
      </c>
      <c r="I25" t="inlineStr">
        <is>
          <t>N/A</t>
        </is>
      </c>
      <c r="J25" t="n">
        <v>1</v>
      </c>
      <c r="K25" t="n">
        <v>1</v>
      </c>
      <c r="L25" t="inlineStr">
        <is>
          <t>27.10.2024 19:19:06</t>
        </is>
      </c>
      <c r="M25" t="inlineStr">
        <is>
          <t>59 sec</t>
        </is>
      </c>
      <c r="N25" t="inlineStr">
        <is>
          <t xml:space="preserve">         11K             9K             5K</t>
        </is>
      </c>
      <c r="O25" t="inlineStr">
        <is>
          <t>CkMAf7rpkmGUiG1YtudsisuqCoqPzAyMXbKdawvNpump</t>
        </is>
      </c>
      <c r="P25">
        <f>HYPERLINK("https://photon-sol.tinyastro.io/en/lp/CkMAf7rpkmGUiG1YtudsisuqCoqPzAyMXbKdawvNpump?handle=676050794bc1b1657a56b", "View")</f>
        <v/>
      </c>
    </row>
    <row r="26">
      <c r="A26" s="15" t="n"/>
      <c r="B26" s="16" t="n"/>
      <c r="C26" s="16" t="n"/>
      <c r="D26" s="16" t="n"/>
      <c r="E26" s="16" t="n"/>
      <c r="F26" s="16" t="n"/>
      <c r="G26" s="21" t="n"/>
      <c r="H26" s="21" t="n"/>
      <c r="I26" s="16" t="n"/>
      <c r="J26" s="16" t="n"/>
      <c r="K26" s="16" t="n"/>
      <c r="L26" s="16" t="n"/>
      <c r="M26" s="18" t="n"/>
      <c r="N26" s="16" t="n"/>
      <c r="O26" s="16" t="n"/>
      <c r="P26" s="16" t="n"/>
    </row>
    <row r="27">
      <c r="A27" s="19" t="inlineStr">
        <is>
          <t>NEW</t>
        </is>
      </c>
      <c r="B27" s="20" t="n">
        <v>31622190</v>
      </c>
      <c r="C27" s="20" t="n">
        <v>31622190</v>
      </c>
      <c r="D27" s="20" t="inlineStr">
        <is>
          <t>0.000040</t>
        </is>
      </c>
      <c r="E27" s="20" t="inlineStr">
        <is>
          <t>1.470 SOL</t>
        </is>
      </c>
      <c r="F27" s="20" t="inlineStr">
        <is>
          <t>1.230 SOL</t>
        </is>
      </c>
      <c r="G27" s="21" t="inlineStr">
        <is>
          <t>-0.241 SOL</t>
        </is>
      </c>
      <c r="H27" s="21" t="inlineStr">
        <is>
          <t>-16.36%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27.10.2024 19:14:54</t>
        </is>
      </c>
      <c r="M27" s="20" t="inlineStr">
        <is>
          <t>1 min</t>
        </is>
      </c>
      <c r="N27" s="20" t="inlineStr">
        <is>
          <t xml:space="preserve">          9K             7K             5K</t>
        </is>
      </c>
      <c r="O27" s="20" t="inlineStr">
        <is>
          <t>BRPV9fhBdQ1irqdMxU461EG13xXFHnTxTdNXw4STpump</t>
        </is>
      </c>
      <c r="P27" s="20">
        <f>HYPERLINK("https://photon-sol.tinyastro.io/en/lp/BRPV9fhBdQ1irqdMxU461EG13xXFHnTxTdNXw4STpump?handle=676050794bc1b1657a56b", "View")</f>
        <v/>
      </c>
    </row>
    <row r="28">
      <c r="A28" s="15" t="inlineStr">
        <is>
          <t>NEW</t>
        </is>
      </c>
      <c r="B28" s="16" t="n">
        <v>18863747</v>
      </c>
      <c r="C28" s="16" t="n">
        <v>18863747</v>
      </c>
      <c r="D28" s="16" t="inlineStr">
        <is>
          <t>0.000040</t>
        </is>
      </c>
      <c r="E28" s="16" t="inlineStr">
        <is>
          <t>1.149 SOL</t>
        </is>
      </c>
      <c r="F28" s="16" t="inlineStr">
        <is>
          <t>1.275 SOL</t>
        </is>
      </c>
      <c r="G28" s="22" t="inlineStr">
        <is>
          <t>0.127 SOL</t>
        </is>
      </c>
      <c r="H28" s="22" t="inlineStr">
        <is>
          <t>11.02%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27.10.2024 19:12:16</t>
        </is>
      </c>
      <c r="M28" s="18" t="inlineStr">
        <is>
          <t>50 sec</t>
        </is>
      </c>
      <c r="N28" s="16" t="inlineStr">
        <is>
          <t xml:space="preserve">         11K            12K             5K</t>
        </is>
      </c>
      <c r="O28" s="16" t="inlineStr">
        <is>
          <t>8n7Eri1L26EpVq7mG3zC4DVWbjHKSz98ACj6vewwpump</t>
        </is>
      </c>
      <c r="P28" s="16">
        <f>HYPERLINK("https://photon-sol.tinyastro.io/en/lp/8n7Eri1L26EpVq7mG3zC4DVWbjHKSz98ACj6vewwpump?handle=676050794bc1b1657a56b", "View")</f>
        <v/>
      </c>
    </row>
    <row r="29">
      <c r="A29" s="19" t="inlineStr">
        <is>
          <t>COBRATATE</t>
        </is>
      </c>
      <c r="B29" s="20" t="n">
        <v>15011162</v>
      </c>
      <c r="C29" s="20" t="n">
        <v>15011162</v>
      </c>
      <c r="D29" s="20" t="inlineStr">
        <is>
          <t>0.000040</t>
        </is>
      </c>
      <c r="E29" s="20" t="inlineStr">
        <is>
          <t>0.820 SOL</t>
        </is>
      </c>
      <c r="F29" s="20" t="inlineStr">
        <is>
          <t>0.746 SOL</t>
        </is>
      </c>
      <c r="G29" s="21" t="inlineStr">
        <is>
          <t>-0.074 SOL</t>
        </is>
      </c>
      <c r="H29" s="21" t="inlineStr">
        <is>
          <t>-9.05%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27.10.2024 19:09:14</t>
        </is>
      </c>
      <c r="M29" s="18" t="inlineStr">
        <is>
          <t>56 sec</t>
        </is>
      </c>
      <c r="N29" s="20" t="inlineStr">
        <is>
          <t xml:space="preserve">          9K             9K             5K</t>
        </is>
      </c>
      <c r="O29" s="20" t="inlineStr">
        <is>
          <t>HePWfKWrsRZEbk94pg72jTqXkXQgMy7jh2ekE5GLpump</t>
        </is>
      </c>
      <c r="P29" s="20">
        <f>HYPERLINK("https://photon-sol.tinyastro.io/en/lp/HePWfKWrsRZEbk94pg72jTqXkXQgMy7jh2ekE5GLpump?handle=676050794bc1b1657a56b", "View")</f>
        <v/>
      </c>
    </row>
    <row r="30">
      <c r="A30" s="15" t="inlineStr">
        <is>
          <t>COBRATATE</t>
        </is>
      </c>
      <c r="B30" s="16" t="n">
        <v>32237881</v>
      </c>
      <c r="C30" s="16" t="n">
        <v>32237881</v>
      </c>
      <c r="D30" s="16" t="inlineStr">
        <is>
          <t>0.000040</t>
        </is>
      </c>
      <c r="E30" s="16" t="inlineStr">
        <is>
          <t>1.811 SOL</t>
        </is>
      </c>
      <c r="F30" s="16" t="inlineStr">
        <is>
          <t>3.685 SOL</t>
        </is>
      </c>
      <c r="G30" s="23" t="inlineStr">
        <is>
          <t>1.874 SOL</t>
        </is>
      </c>
      <c r="H30" s="23" t="inlineStr">
        <is>
          <t>103.44%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27.10.2024 19:07:12</t>
        </is>
      </c>
      <c r="M30" s="18" t="inlineStr">
        <is>
          <t>35 sec</t>
        </is>
      </c>
      <c r="N30" s="16" t="inlineStr">
        <is>
          <t xml:space="preserve">         11K            19K             5K</t>
        </is>
      </c>
      <c r="O30" s="16" t="inlineStr">
        <is>
          <t>9i9xEtJTPbFk1SgdFV9A9XrPMBz54SmiFmYeeLmbpump</t>
        </is>
      </c>
      <c r="P30" s="16">
        <f>HYPERLINK("https://photon-sol.tinyastro.io/en/lp/9i9xEtJTPbFk1SgdFV9A9XrPMBz54SmiFmYeeLmbpump?handle=676050794bc1b1657a56b", "View")</f>
        <v/>
      </c>
    </row>
    <row r="31">
      <c r="A31" s="19" t="inlineStr">
        <is>
          <t>COBRATATE</t>
        </is>
      </c>
      <c r="B31" s="20" t="n">
        <v>31375741</v>
      </c>
      <c r="C31" s="20" t="n">
        <v>31375741</v>
      </c>
      <c r="D31" s="20" t="inlineStr">
        <is>
          <t>0.000040</t>
        </is>
      </c>
      <c r="E31" s="20" t="inlineStr">
        <is>
          <t>1.931 SOL</t>
        </is>
      </c>
      <c r="F31" s="20" t="inlineStr">
        <is>
          <t>2.340 SOL</t>
        </is>
      </c>
      <c r="G31" s="22" t="inlineStr">
        <is>
          <t>0.410 SOL</t>
        </is>
      </c>
      <c r="H31" s="22" t="inlineStr">
        <is>
          <t>21.22%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27.10.2024 19:02:54</t>
        </is>
      </c>
      <c r="M31" s="18" t="inlineStr">
        <is>
          <t>29 sec</t>
        </is>
      </c>
      <c r="N31" s="20" t="inlineStr">
        <is>
          <t xml:space="preserve">         11K            12K             5K</t>
        </is>
      </c>
      <c r="O31" s="20" t="inlineStr">
        <is>
          <t>HUyYqyDagy9zsB4ckjQQwJFLvvUaw5ebSHJHNDBmpump</t>
        </is>
      </c>
      <c r="P31" s="20">
        <f>HYPERLINK("https://photon-sol.tinyastro.io/en/lp/HUyYqyDagy9zsB4ckjQQwJFLvvUaw5ebSHJHNDBmpump?handle=676050794bc1b1657a56b", "View")</f>
        <v/>
      </c>
    </row>
    <row r="32">
      <c r="A32" s="15" t="inlineStr">
        <is>
          <t>GOAT</t>
        </is>
      </c>
      <c r="B32" s="16" t="n">
        <v>8642153</v>
      </c>
      <c r="C32" s="16" t="n">
        <v>8642153</v>
      </c>
      <c r="D32" s="16" t="inlineStr">
        <is>
          <t>0.000070</t>
        </is>
      </c>
      <c r="E32" s="16" t="inlineStr">
        <is>
          <t>1.978 SOL</t>
        </is>
      </c>
      <c r="F32" s="16" t="inlineStr">
        <is>
          <t>0.407 SOL</t>
        </is>
      </c>
      <c r="G32" s="24" t="inlineStr">
        <is>
          <t>-1.571 SOL</t>
        </is>
      </c>
      <c r="H32" s="24" t="inlineStr">
        <is>
          <t>-79.44%</t>
        </is>
      </c>
      <c r="I32" s="16" t="inlineStr">
        <is>
          <t>N/A</t>
        </is>
      </c>
      <c r="J32" s="16" t="n">
        <v>1</v>
      </c>
      <c r="K32" s="16" t="n">
        <v>2</v>
      </c>
      <c r="L32" s="16" t="inlineStr">
        <is>
          <t>25.10.2024 22:14:17</t>
        </is>
      </c>
      <c r="M32" s="16" t="inlineStr">
        <is>
          <t>10 min</t>
        </is>
      </c>
      <c r="N32" s="16" t="inlineStr">
        <is>
          <t xml:space="preserve">         40K             7K             5K</t>
        </is>
      </c>
      <c r="O32" s="16" t="inlineStr">
        <is>
          <t>BCUoaeE4GMZDuJKipXif8QCNfXjSbXcva78EQMC9pump</t>
        </is>
      </c>
      <c r="P32" s="16">
        <f>HYPERLINK("https://photon-sol.tinyastro.io/en/lp/BCUoaeE4GMZDuJKipXif8QCNfXjSbXcva78EQMC9pump?handle=676050794bc1b1657a56b", "View")</f>
        <v/>
      </c>
    </row>
    <row r="33">
      <c r="A33" s="19" t="inlineStr">
        <is>
          <t>wifai</t>
        </is>
      </c>
      <c r="B33" s="20" t="n">
        <v>50093483</v>
      </c>
      <c r="C33" s="20" t="n">
        <v>50093483</v>
      </c>
      <c r="D33" s="20" t="inlineStr">
        <is>
          <t>0.000040</t>
        </is>
      </c>
      <c r="E33" s="20" t="inlineStr">
        <is>
          <t>2.023 SOL</t>
        </is>
      </c>
      <c r="F33" s="20" t="inlineStr">
        <is>
          <t>2.848 SOL</t>
        </is>
      </c>
      <c r="G33" s="22" t="inlineStr">
        <is>
          <t>0.825 SOL</t>
        </is>
      </c>
      <c r="H33" s="22" t="inlineStr">
        <is>
          <t>40.81%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25.10.2024 14:49:02</t>
        </is>
      </c>
      <c r="M33" s="20" t="inlineStr">
        <is>
          <t>5 min</t>
        </is>
      </c>
      <c r="N33" s="20" t="inlineStr">
        <is>
          <t xml:space="preserve">          7K            11K             5K</t>
        </is>
      </c>
      <c r="O33" s="20" t="inlineStr">
        <is>
          <t>4iAEFRNdEufK7nNZWEBG7uGNGDrxJnhPMRjXQuQ1pump</t>
        </is>
      </c>
      <c r="P33" s="20">
        <f>HYPERLINK("https://photon-sol.tinyastro.io/en/lp/4iAEFRNdEufK7nNZWEBG7uGNGDrxJnhPMRjXQuQ1pump?handle=676050794bc1b1657a56b", "View")</f>
        <v/>
      </c>
    </row>
    <row r="34">
      <c r="A34" s="15" t="inlineStr">
        <is>
          <t>goblin</t>
        </is>
      </c>
      <c r="B34" s="16" t="n">
        <v>31963786</v>
      </c>
      <c r="C34" s="16" t="n">
        <v>31963786</v>
      </c>
      <c r="D34" s="16" t="inlineStr">
        <is>
          <t>0.000040</t>
        </is>
      </c>
      <c r="E34" s="16" t="inlineStr">
        <is>
          <t>2.052 SOL</t>
        </is>
      </c>
      <c r="F34" s="16" t="inlineStr">
        <is>
          <t>2.227 SOL</t>
        </is>
      </c>
      <c r="G34" s="22" t="inlineStr">
        <is>
          <t>0.175 SOL</t>
        </is>
      </c>
      <c r="H34" s="22" t="inlineStr">
        <is>
          <t>8.55%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25.10.2024 14:34:46</t>
        </is>
      </c>
      <c r="M34" s="16" t="inlineStr">
        <is>
          <t>3 min</t>
        </is>
      </c>
      <c r="N34" s="16" t="inlineStr">
        <is>
          <t xml:space="preserve">         11K            12K             5K</t>
        </is>
      </c>
      <c r="O34" s="16" t="inlineStr">
        <is>
          <t>EskgJ5nWCTGhP5XwwdRdva9CnhALUVnv6yigsnq7pump</t>
        </is>
      </c>
      <c r="P34" s="16">
        <f>HYPERLINK("https://photon-sol.tinyastro.io/en/lp/EskgJ5nWCTGhP5XwwdRdva9CnhALUVnv6yigsnq7pump?handle=676050794bc1b1657a56b", "View")</f>
        <v/>
      </c>
    </row>
    <row r="35">
      <c r="A35" s="19" t="inlineStr">
        <is>
          <t>SHIBOO</t>
        </is>
      </c>
      <c r="B35" s="20" t="n">
        <v>41781348</v>
      </c>
      <c r="C35" s="20" t="n">
        <v>41781348</v>
      </c>
      <c r="D35" s="20" t="inlineStr">
        <is>
          <t>0.000070</t>
        </is>
      </c>
      <c r="E35" s="20" t="inlineStr">
        <is>
          <t>1.742 SOL</t>
        </is>
      </c>
      <c r="F35" s="20" t="inlineStr">
        <is>
          <t>2.753 SOL</t>
        </is>
      </c>
      <c r="G35" s="23" t="inlineStr">
        <is>
          <t>1.011 SOL</t>
        </is>
      </c>
      <c r="H35" s="23" t="inlineStr">
        <is>
          <t>58.04%</t>
        </is>
      </c>
      <c r="I35" s="20" t="inlineStr">
        <is>
          <t>N/A</t>
        </is>
      </c>
      <c r="J35" s="20" t="n">
        <v>1</v>
      </c>
      <c r="K35" s="20" t="n">
        <v>2</v>
      </c>
      <c r="L35" s="20" t="inlineStr">
        <is>
          <t>25.10.2024 14:23:30</t>
        </is>
      </c>
      <c r="M35" s="20" t="inlineStr">
        <is>
          <t>3 min</t>
        </is>
      </c>
      <c r="N35" s="20" t="inlineStr">
        <is>
          <t xml:space="preserve">          7K            11K             5K</t>
        </is>
      </c>
      <c r="O35" s="20" t="inlineStr">
        <is>
          <t>De1CkNbrMaCEQGNrNV3PdMe8aW71AFoE3B6Da7snpump</t>
        </is>
      </c>
      <c r="P35" s="20">
        <f>HYPERLINK("https://photon-sol.tinyastro.io/en/lp/De1CkNbrMaCEQGNrNV3PdMe8aW71AFoE3B6Da7snpump?handle=676050794bc1b1657a56b", "View")</f>
        <v/>
      </c>
    </row>
    <row r="36">
      <c r="A36" s="15" t="inlineStr">
        <is>
          <t>SHIBOO</t>
        </is>
      </c>
      <c r="B36" s="16" t="n">
        <v>28883720</v>
      </c>
      <c r="C36" s="16" t="n">
        <v>28883720</v>
      </c>
      <c r="D36" s="16" t="inlineStr">
        <is>
          <t>0.000040</t>
        </is>
      </c>
      <c r="E36" s="16" t="inlineStr">
        <is>
          <t>2.208 SOL</t>
        </is>
      </c>
      <c r="F36" s="16" t="inlineStr">
        <is>
          <t>2.708 SOL</t>
        </is>
      </c>
      <c r="G36" s="22" t="inlineStr">
        <is>
          <t>0.500 SOL</t>
        </is>
      </c>
      <c r="H36" s="22" t="inlineStr">
        <is>
          <t>22.64%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25.10.2024 14:19:09</t>
        </is>
      </c>
      <c r="M36" s="18" t="inlineStr">
        <is>
          <t>5 sec</t>
        </is>
      </c>
      <c r="N36" s="16" t="inlineStr">
        <is>
          <t xml:space="preserve">         14K            16K             5K</t>
        </is>
      </c>
      <c r="O36" s="16" t="inlineStr">
        <is>
          <t>2dVaKXyVYkw9frt2zKzkKaRxad7WQaJqaWZg5yjqpump</t>
        </is>
      </c>
      <c r="P36" s="16">
        <f>HYPERLINK("https://photon-sol.tinyastro.io/en/lp/2dVaKXyVYkw9frt2zKzkKaRxad7WQaJqaWZg5yjqpump?handle=676050794bc1b1657a56b", "View")</f>
        <v/>
      </c>
    </row>
    <row r="37">
      <c r="A37" s="19" t="inlineStr">
        <is>
          <t>orange</t>
        </is>
      </c>
      <c r="B37" s="20" t="n">
        <v>14802619</v>
      </c>
      <c r="C37" s="20" t="n">
        <v>14802619</v>
      </c>
      <c r="D37" s="20" t="inlineStr">
        <is>
          <t>0.000060</t>
        </is>
      </c>
      <c r="E37" s="20" t="inlineStr">
        <is>
          <t>0.449 SOL</t>
        </is>
      </c>
      <c r="F37" s="20" t="inlineStr">
        <is>
          <t>0.611 SOL</t>
        </is>
      </c>
      <c r="G37" s="22" t="inlineStr">
        <is>
          <t>0.162 SOL</t>
        </is>
      </c>
      <c r="H37" s="22" t="inlineStr">
        <is>
          <t>35.99%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25.10.2024 14:10:54</t>
        </is>
      </c>
      <c r="M37" s="20" t="inlineStr">
        <is>
          <t>1 min</t>
        </is>
      </c>
      <c r="N37" s="20" t="inlineStr">
        <is>
          <t xml:space="preserve">          5K             7K             5K</t>
        </is>
      </c>
      <c r="O37" s="20" t="inlineStr">
        <is>
          <t>214sS3aa5HDCqHfF3nqtwpRsvQWTWPuEBoSvfzpDpump</t>
        </is>
      </c>
      <c r="P37" s="20">
        <f>HYPERLINK("https://photon-sol.tinyastro.io/en/lp/214sS3aa5HDCqHfF3nqtwpRsvQWTWPuEBoSvfzpDpump?handle=676050794bc1b1657a56b", "View")</f>
        <v/>
      </c>
    </row>
    <row r="38">
      <c r="A38" s="15" t="inlineStr">
        <is>
          <t>COBRA</t>
        </is>
      </c>
      <c r="B38" s="16" t="n">
        <v>38401443</v>
      </c>
      <c r="C38" s="16" t="n">
        <v>38401443</v>
      </c>
      <c r="D38" s="16" t="inlineStr">
        <is>
          <t>0.000060</t>
        </is>
      </c>
      <c r="E38" s="16" t="inlineStr">
        <is>
          <t>1.189 SOL</t>
        </is>
      </c>
      <c r="F38" s="16" t="inlineStr">
        <is>
          <t>1.905 SOL</t>
        </is>
      </c>
      <c r="G38" s="23" t="inlineStr">
        <is>
          <t>0.716 SOL</t>
        </is>
      </c>
      <c r="H38" s="23" t="inlineStr">
        <is>
          <t>60.23%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25.10.2024 10:26:24</t>
        </is>
      </c>
      <c r="M38" s="16" t="inlineStr">
        <is>
          <t>8 min</t>
        </is>
      </c>
      <c r="N38" s="16" t="inlineStr">
        <is>
          <t xml:space="preserve">          5K             9K             5K</t>
        </is>
      </c>
      <c r="O38" s="16" t="inlineStr">
        <is>
          <t>8rYd3XPk17Hpw2vkTCGmKPcUm9SP9JvHgZe1yGeWpump</t>
        </is>
      </c>
      <c r="P38" s="16">
        <f>HYPERLINK("https://photon-sol.tinyastro.io/en/lp/8rYd3XPk17Hpw2vkTCGmKPcUm9SP9JvHgZe1yGeWpump?handle=676050794bc1b1657a56b", "View")</f>
        <v/>
      </c>
    </row>
    <row r="39">
      <c r="A39" s="19" t="inlineStr">
        <is>
          <t>COBRA</t>
        </is>
      </c>
      <c r="B39" s="20" t="n">
        <v>31138127</v>
      </c>
      <c r="C39" s="20" t="n">
        <v>31138127</v>
      </c>
      <c r="D39" s="20" t="inlineStr">
        <is>
          <t>0.000060</t>
        </is>
      </c>
      <c r="E39" s="20" t="inlineStr">
        <is>
          <t>0.957 SOL</t>
        </is>
      </c>
      <c r="F39" s="20" t="inlineStr">
        <is>
          <t>1.747 SOL</t>
        </is>
      </c>
      <c r="G39" s="23" t="inlineStr">
        <is>
          <t>0.790 SOL</t>
        </is>
      </c>
      <c r="H39" s="23" t="inlineStr">
        <is>
          <t>82.48%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25.10.2024 10:15:17</t>
        </is>
      </c>
      <c r="M39" s="18" t="inlineStr">
        <is>
          <t>25 sec</t>
        </is>
      </c>
      <c r="N39" s="20" t="inlineStr">
        <is>
          <t xml:space="preserve">          5K            11K             5K</t>
        </is>
      </c>
      <c r="O39" s="20" t="inlineStr">
        <is>
          <t>AeFXMLcU9WGCcw9f3uPWevGRm2aAQwJ25pX7NeY8pump</t>
        </is>
      </c>
      <c r="P39" s="20">
        <f>HYPERLINK("https://photon-sol.tinyastro.io/en/lp/AeFXMLcU9WGCcw9f3uPWevGRm2aAQwJ25pX7NeY8pump?handle=676050794bc1b1657a56b", "View")</f>
        <v/>
      </c>
    </row>
    <row r="40">
      <c r="A40" s="15" t="inlineStr">
        <is>
          <t>COBRA</t>
        </is>
      </c>
      <c r="B40" s="16" t="n">
        <v>12516273</v>
      </c>
      <c r="C40" s="16" t="n">
        <v>12516273</v>
      </c>
      <c r="D40" s="16" t="inlineStr">
        <is>
          <t>0.000040</t>
        </is>
      </c>
      <c r="E40" s="16" t="inlineStr">
        <is>
          <t>0.675 SOL</t>
        </is>
      </c>
      <c r="F40" s="16" t="inlineStr">
        <is>
          <t>0.735 SOL</t>
        </is>
      </c>
      <c r="G40" s="22" t="inlineStr">
        <is>
          <t>0.061 SOL</t>
        </is>
      </c>
      <c r="H40" s="22" t="inlineStr">
        <is>
          <t>8.99%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25.10.2024 10:13:35</t>
        </is>
      </c>
      <c r="M40" s="18" t="inlineStr">
        <is>
          <t>8 sec</t>
        </is>
      </c>
      <c r="N40" s="16" t="inlineStr">
        <is>
          <t xml:space="preserve">          9K            11K             5K</t>
        </is>
      </c>
      <c r="O40" s="16" t="inlineStr">
        <is>
          <t>HoJZf9mznefS8UHosELcb46G8ddnmcQK2XQmAo15pump</t>
        </is>
      </c>
      <c r="P40" s="16">
        <f>HYPERLINK("https://photon-sol.tinyastro.io/en/lp/HoJZf9mznefS8UHosELcb46G8ddnmcQK2XQmAo15pump?handle=676050794bc1b1657a56b", "View")</f>
        <v/>
      </c>
    </row>
    <row r="41">
      <c r="A41" s="19" t="inlineStr">
        <is>
          <t>COBRA</t>
        </is>
      </c>
      <c r="B41" s="20" t="n">
        <v>39545879</v>
      </c>
      <c r="C41" s="20" t="n">
        <v>38988022</v>
      </c>
      <c r="D41" s="20" t="inlineStr">
        <is>
          <t>0.040020</t>
        </is>
      </c>
      <c r="E41" s="20" t="inlineStr">
        <is>
          <t>3.611 SOL</t>
        </is>
      </c>
      <c r="F41" s="20" t="inlineStr">
        <is>
          <t>4.141 SOL</t>
        </is>
      </c>
      <c r="G41" s="22" t="inlineStr">
        <is>
          <t>0.490 SOL</t>
        </is>
      </c>
      <c r="H41" s="22" t="inlineStr">
        <is>
          <t>13.42%</t>
        </is>
      </c>
      <c r="I41" s="20" t="inlineStr">
        <is>
          <t>N/A</t>
        </is>
      </c>
      <c r="J41" s="20" t="n">
        <v>2</v>
      </c>
      <c r="K41" s="20" t="n">
        <v>3</v>
      </c>
      <c r="L41" s="20" t="inlineStr">
        <is>
          <t>25.10.2024 10:01:30</t>
        </is>
      </c>
      <c r="M41" s="20" t="inlineStr">
        <is>
          <t>44 min</t>
        </is>
      </c>
      <c r="N41" s="20" t="inlineStr">
        <is>
          <t xml:space="preserve">          9K            18K             5K</t>
        </is>
      </c>
      <c r="O41" s="20" t="inlineStr">
        <is>
          <t>J3ZEGk3jwKWcyjGFc51yvkWDQwJ1jXsAUnA5MLL5pump</t>
        </is>
      </c>
      <c r="P41" s="20">
        <f>HYPERLINK("https://photon-sol.tinyastro.io/en/lp/J3ZEGk3jwKWcyjGFc51yvkWDQwJ1jXsAUnA5MLL5pump?handle=676050794bc1b1657a56b", "View")</f>
        <v/>
      </c>
    </row>
    <row r="42">
      <c r="A42" s="15" t="inlineStr">
        <is>
          <t>﷽</t>
        </is>
      </c>
      <c r="B42" s="16" t="n">
        <v>9776701</v>
      </c>
      <c r="C42" s="16" t="n">
        <v>9776701</v>
      </c>
      <c r="D42" s="16" t="inlineStr">
        <is>
          <t>0.000040</t>
        </is>
      </c>
      <c r="E42" s="16" t="inlineStr">
        <is>
          <t>0.437 SOL</t>
        </is>
      </c>
      <c r="F42" s="16" t="inlineStr">
        <is>
          <t>0.405 SOL</t>
        </is>
      </c>
      <c r="G42" s="21" t="inlineStr">
        <is>
          <t>-0.032 SOL</t>
        </is>
      </c>
      <c r="H42" s="21" t="inlineStr">
        <is>
          <t>-7.26%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24.10.2024 20:59:11</t>
        </is>
      </c>
      <c r="M42" s="18" t="inlineStr">
        <is>
          <t>8 sec</t>
        </is>
      </c>
      <c r="N42" s="16" t="inlineStr">
        <is>
          <t xml:space="preserve">          7K             7K             5K</t>
        </is>
      </c>
      <c r="O42" s="16" t="inlineStr">
        <is>
          <t>8SVmsbef66fcJu7GiCiZXyTAudC6Wvi1LtN7Yot7pump</t>
        </is>
      </c>
      <c r="P42" s="16">
        <f>HYPERLINK("https://photon-sol.tinyastro.io/en/lp/8SVmsbef66fcJu7GiCiZXyTAudC6Wvi1LtN7Yot7pump?handle=676050794bc1b1657a56b", "View")</f>
        <v/>
      </c>
    </row>
    <row r="43">
      <c r="A43" s="19" t="inlineStr">
        <is>
          <t>﷽</t>
        </is>
      </c>
      <c r="B43" s="20" t="n">
        <v>27877562</v>
      </c>
      <c r="C43" s="20" t="n">
        <v>27877562</v>
      </c>
      <c r="D43" s="20" t="inlineStr">
        <is>
          <t>0.000040</t>
        </is>
      </c>
      <c r="E43" s="20" t="inlineStr">
        <is>
          <t>1.062 SOL</t>
        </is>
      </c>
      <c r="F43" s="20" t="inlineStr">
        <is>
          <t>1.159 SOL</t>
        </is>
      </c>
      <c r="G43" s="22" t="inlineStr">
        <is>
          <t>0.097 SOL</t>
        </is>
      </c>
      <c r="H43" s="22" t="inlineStr">
        <is>
          <t>9.16%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24.10.2024 20:57:53</t>
        </is>
      </c>
      <c r="M43" s="18" t="inlineStr">
        <is>
          <t>9 sec</t>
        </is>
      </c>
      <c r="N43" s="20" t="inlineStr">
        <is>
          <t xml:space="preserve">          7K             7K             5K</t>
        </is>
      </c>
      <c r="O43" s="20" t="inlineStr">
        <is>
          <t>47A2JjNzaCLCYmR3HtPistJxpGMXbSVvDczzsU1fpump</t>
        </is>
      </c>
      <c r="P43" s="20">
        <f>HYPERLINK("https://photon-sol.tinyastro.io/en/lp/47A2JjNzaCLCYmR3HtPistJxpGMXbSVvDczzsU1fpump?handle=676050794bc1b1657a56b", "View")</f>
        <v/>
      </c>
    </row>
    <row r="44">
      <c r="A44" s="15" t="inlineStr">
        <is>
          <t>﷽</t>
        </is>
      </c>
      <c r="B44" s="16" t="n">
        <v>19970650</v>
      </c>
      <c r="C44" s="16" t="n">
        <v>19970650</v>
      </c>
      <c r="D44" s="16" t="inlineStr">
        <is>
          <t>0.000040</t>
        </is>
      </c>
      <c r="E44" s="16" t="inlineStr">
        <is>
          <t>0.840 SOL</t>
        </is>
      </c>
      <c r="F44" s="16" t="inlineStr">
        <is>
          <t>0.896 SOL</t>
        </is>
      </c>
      <c r="G44" s="22" t="inlineStr">
        <is>
          <t>0.056 SOL</t>
        </is>
      </c>
      <c r="H44" s="22" t="inlineStr">
        <is>
          <t>6.69%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24.10.2024 20:56:39</t>
        </is>
      </c>
      <c r="M44" s="18" t="inlineStr">
        <is>
          <t>9 sec</t>
        </is>
      </c>
      <c r="N44" s="16" t="inlineStr">
        <is>
          <t xml:space="preserve">          7K             7K             5K</t>
        </is>
      </c>
      <c r="O44" s="16" t="inlineStr">
        <is>
          <t>2ErGwKVU5Kh1LQpmZRM8GQtqGoU2w23g3Ae2VTuepump</t>
        </is>
      </c>
      <c r="P44" s="16">
        <f>HYPERLINK("https://photon-sol.tinyastro.io/en/lp/2ErGwKVU5Kh1LQpmZRM8GQtqGoU2w23g3Ae2VTuepump?handle=676050794bc1b1657a56b", "View")</f>
        <v/>
      </c>
    </row>
    <row r="45">
      <c r="A45" s="19" t="inlineStr">
        <is>
          <t>﷽</t>
        </is>
      </c>
      <c r="B45" s="20" t="n">
        <v>18758685</v>
      </c>
      <c r="C45" s="20" t="n">
        <v>18758685</v>
      </c>
      <c r="D45" s="20" t="inlineStr">
        <is>
          <t>0.000040</t>
        </is>
      </c>
      <c r="E45" s="20" t="inlineStr">
        <is>
          <t>0.822 SOL</t>
        </is>
      </c>
      <c r="F45" s="20" t="inlineStr">
        <is>
          <t>0.808 SOL</t>
        </is>
      </c>
      <c r="G45" s="21" t="inlineStr">
        <is>
          <t>-0.014 SOL</t>
        </is>
      </c>
      <c r="H45" s="21" t="inlineStr">
        <is>
          <t>-1.66%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24.10.2024 20:52:49</t>
        </is>
      </c>
      <c r="M45" s="20" t="inlineStr">
        <is>
          <t>10 min</t>
        </is>
      </c>
      <c r="N45" s="20" t="inlineStr">
        <is>
          <t xml:space="preserve">          7K             7K             5K</t>
        </is>
      </c>
      <c r="O45" s="20" t="inlineStr">
        <is>
          <t>g7NZ3vweyymgoc72TVG21tmp1jxLUsYhaFoo5ajpump</t>
        </is>
      </c>
      <c r="P45" s="20">
        <f>HYPERLINK("https://photon-sol.tinyastro.io/en/lp/g7NZ3vweyymgoc72TVG21tmp1jxLUsYhaFoo5ajpump?handle=676050794bc1b1657a56b", "View")</f>
        <v/>
      </c>
    </row>
    <row r="46">
      <c r="A46" s="15" t="inlineStr">
        <is>
          <t>NEW</t>
        </is>
      </c>
      <c r="B46" s="16" t="n">
        <v>18148475</v>
      </c>
      <c r="C46" s="16" t="n">
        <v>18148475</v>
      </c>
      <c r="D46" s="16" t="inlineStr">
        <is>
          <t>0.000050</t>
        </is>
      </c>
      <c r="E46" s="16" t="inlineStr">
        <is>
          <t>0.552 SOL</t>
        </is>
      </c>
      <c r="F46" s="16" t="inlineStr">
        <is>
          <t>0.665 SOL</t>
        </is>
      </c>
      <c r="G46" s="22" t="inlineStr">
        <is>
          <t>0.114 SOL</t>
        </is>
      </c>
      <c r="H46" s="22" t="inlineStr">
        <is>
          <t>20.58%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24.10.2024 17:31:21</t>
        </is>
      </c>
      <c r="M46" s="18" t="inlineStr">
        <is>
          <t>7 sec</t>
        </is>
      </c>
      <c r="N46" s="16" t="inlineStr">
        <is>
          <t xml:space="preserve">          5K             7K             5K</t>
        </is>
      </c>
      <c r="O46" s="16" t="inlineStr">
        <is>
          <t>2BM4xrsuvm1QmL83sx9ZYepLd8aVqLBD6nxNrQEupump</t>
        </is>
      </c>
      <c r="P46" s="16">
        <f>HYPERLINK("https://photon-sol.tinyastro.io/en/lp/2BM4xrsuvm1QmL83sx9ZYepLd8aVqLBD6nxNrQEupump?handle=676050794bc1b1657a56b", "View")</f>
        <v/>
      </c>
    </row>
    <row r="47">
      <c r="A47" s="19" t="inlineStr">
        <is>
          <t>NEW</t>
        </is>
      </c>
      <c r="B47" s="20" t="n">
        <v>23744654</v>
      </c>
      <c r="C47" s="20" t="n">
        <v>23744654</v>
      </c>
      <c r="D47" s="20" t="inlineStr">
        <is>
          <t>0.000050</t>
        </is>
      </c>
      <c r="E47" s="20" t="inlineStr">
        <is>
          <t>0.725 SOL</t>
        </is>
      </c>
      <c r="F47" s="20" t="inlineStr">
        <is>
          <t>0.878 SOL</t>
        </is>
      </c>
      <c r="G47" s="22" t="inlineStr">
        <is>
          <t>0.153 SOL</t>
        </is>
      </c>
      <c r="H47" s="22" t="inlineStr">
        <is>
          <t>21.11%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24.10.2024 17:30:30</t>
        </is>
      </c>
      <c r="M47" s="18" t="inlineStr">
        <is>
          <t>2 sec</t>
        </is>
      </c>
      <c r="N47" s="20" t="inlineStr">
        <is>
          <t xml:space="preserve">          5K             7K             5K</t>
        </is>
      </c>
      <c r="O47" s="20" t="inlineStr">
        <is>
          <t>7eKsqcvLQc2k57PSjKpowm1sDvChVZyDDMcyxBG2pump</t>
        </is>
      </c>
      <c r="P47" s="20">
        <f>HYPERLINK("https://photon-sol.tinyastro.io/en/lp/7eKsqcvLQc2k57PSjKpowm1sDvChVZyDDMcyxBG2pump?handle=676050794bc1b1657a56b", "View")</f>
        <v/>
      </c>
    </row>
    <row r="48">
      <c r="A48" s="15" t="inlineStr">
        <is>
          <t>NEW</t>
        </is>
      </c>
      <c r="B48" s="16" t="n">
        <v>19005157</v>
      </c>
      <c r="C48" s="16" t="n">
        <v>19005157</v>
      </c>
      <c r="D48" s="16" t="inlineStr">
        <is>
          <t>0.000050</t>
        </is>
      </c>
      <c r="E48" s="16" t="inlineStr">
        <is>
          <t>0.578 SOL</t>
        </is>
      </c>
      <c r="F48" s="16" t="inlineStr">
        <is>
          <t>0.632 SOL</t>
        </is>
      </c>
      <c r="G48" s="22" t="inlineStr">
        <is>
          <t>0.054 SOL</t>
        </is>
      </c>
      <c r="H48" s="22" t="inlineStr">
        <is>
          <t>9.37%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24.10.2024 17:30:12</t>
        </is>
      </c>
      <c r="M48" s="18" t="inlineStr">
        <is>
          <t>49 sec</t>
        </is>
      </c>
      <c r="N48" s="16" t="inlineStr">
        <is>
          <t xml:space="preserve">          5K             5K             5K</t>
        </is>
      </c>
      <c r="O48" s="16" t="inlineStr">
        <is>
          <t>3JGKTsoeVcrm2QV8dVbErXfpXbQ9kCrhgP4JfaJHpump</t>
        </is>
      </c>
      <c r="P48" s="16">
        <f>HYPERLINK("https://photon-sol.tinyastro.io/en/lp/3JGKTsoeVcrm2QV8dVbErXfpXbQ9kCrhgP4JfaJHpump?handle=676050794bc1b1657a56b", "View")</f>
        <v/>
      </c>
    </row>
    <row r="49">
      <c r="A49" s="19" t="inlineStr">
        <is>
          <t>NEW</t>
        </is>
      </c>
      <c r="B49" s="20" t="n">
        <v>22087920</v>
      </c>
      <c r="C49" s="20" t="n">
        <v>22087920</v>
      </c>
      <c r="D49" s="20" t="inlineStr">
        <is>
          <t>0.000030</t>
        </is>
      </c>
      <c r="E49" s="20" t="inlineStr">
        <is>
          <t>0.880 SOL</t>
        </is>
      </c>
      <c r="F49" s="20" t="inlineStr">
        <is>
          <t>0.932 SOL</t>
        </is>
      </c>
      <c r="G49" s="22" t="inlineStr">
        <is>
          <t>0.051 SOL</t>
        </is>
      </c>
      <c r="H49" s="22" t="inlineStr">
        <is>
          <t>5.80%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24.10.2024 17:27:54</t>
        </is>
      </c>
      <c r="M49" s="18" t="inlineStr">
        <is>
          <t>34 sec</t>
        </is>
      </c>
      <c r="N49" s="20" t="inlineStr">
        <is>
          <t xml:space="preserve">          7K             7K             5K</t>
        </is>
      </c>
      <c r="O49" s="20" t="inlineStr">
        <is>
          <t>8XiXxY4171LEjiugC1YYvBs5c6fttSfo23Xkc9e3pump</t>
        </is>
      </c>
      <c r="P49" s="20">
        <f>HYPERLINK("https://photon-sol.tinyastro.io/en/lp/8XiXxY4171LEjiugC1YYvBs5c6fttSfo23Xkc9e3pump?handle=676050794bc1b1657a56b", "View")</f>
        <v/>
      </c>
    </row>
    <row r="50">
      <c r="A50" s="15" t="inlineStr">
        <is>
          <t>geek</t>
        </is>
      </c>
      <c r="B50" s="16" t="n">
        <v>16698964</v>
      </c>
      <c r="C50" s="16" t="n">
        <v>16698964</v>
      </c>
      <c r="D50" s="16" t="inlineStr">
        <is>
          <t>0.000030</t>
        </is>
      </c>
      <c r="E50" s="16" t="inlineStr">
        <is>
          <t>0.707 SOL</t>
        </is>
      </c>
      <c r="F50" s="16" t="inlineStr">
        <is>
          <t>0.775 SOL</t>
        </is>
      </c>
      <c r="G50" s="22" t="inlineStr">
        <is>
          <t>0.068 SOL</t>
        </is>
      </c>
      <c r="H50" s="22" t="inlineStr">
        <is>
          <t>9.67%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24.10.2024 17:23:37</t>
        </is>
      </c>
      <c r="M50" s="18" t="inlineStr">
        <is>
          <t>2 sec</t>
        </is>
      </c>
      <c r="N50" s="16" t="inlineStr">
        <is>
          <t xml:space="preserve">          7K             9K             5K</t>
        </is>
      </c>
      <c r="O50" s="16" t="inlineStr">
        <is>
          <t>2zQ5PVGqMez6fkPZadFsoZjDRdK4BJcVYAqyGYCnpump</t>
        </is>
      </c>
      <c r="P50" s="16">
        <f>HYPERLINK("https://photon-sol.tinyastro.io/en/lp/2zQ5PVGqMez6fkPZadFsoZjDRdK4BJcVYAqyGYCnpump?handle=676050794bc1b1657a56b", "View")</f>
        <v/>
      </c>
    </row>
    <row r="51">
      <c r="A51" s="19" t="inlineStr">
        <is>
          <t>geek</t>
        </is>
      </c>
      <c r="B51" s="20" t="n">
        <v>24848473</v>
      </c>
      <c r="C51" s="20" t="n">
        <v>24848473</v>
      </c>
      <c r="D51" s="20" t="inlineStr">
        <is>
          <t>0.000030</t>
        </is>
      </c>
      <c r="E51" s="20" t="inlineStr">
        <is>
          <t>1.017 SOL</t>
        </is>
      </c>
      <c r="F51" s="20" t="inlineStr">
        <is>
          <t>0.953 SOL</t>
        </is>
      </c>
      <c r="G51" s="21" t="inlineStr">
        <is>
          <t>-0.064 SOL</t>
        </is>
      </c>
      <c r="H51" s="21" t="inlineStr">
        <is>
          <t>-6.30%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24.10.2024 17:22:54</t>
        </is>
      </c>
      <c r="M51" s="20" t="inlineStr">
        <is>
          <t>1 min</t>
        </is>
      </c>
      <c r="N51" s="20" t="inlineStr">
        <is>
          <t xml:space="preserve">          7K             7K             5K</t>
        </is>
      </c>
      <c r="O51" s="20" t="inlineStr">
        <is>
          <t>EbhCStfo4bM1QzDZD1uXiZAueT9VXBJTXWh749xCpump</t>
        </is>
      </c>
      <c r="P51" s="20">
        <f>HYPERLINK("https://photon-sol.tinyastro.io/en/lp/EbhCStfo4bM1QzDZD1uXiZAueT9VXBJTXWh749xCpump?handle=676050794bc1b1657a56b", "View")</f>
        <v/>
      </c>
    </row>
    <row r="52">
      <c r="A52" s="15" t="inlineStr">
        <is>
          <t>red</t>
        </is>
      </c>
      <c r="B52" s="16" t="n">
        <v>26589013</v>
      </c>
      <c r="C52" s="16" t="n">
        <v>26589013</v>
      </c>
      <c r="D52" s="16" t="inlineStr">
        <is>
          <t>0.000030</t>
        </is>
      </c>
      <c r="E52" s="16" t="inlineStr">
        <is>
          <t>1.049 SOL</t>
        </is>
      </c>
      <c r="F52" s="16" t="inlineStr">
        <is>
          <t>1.143 SOL</t>
        </is>
      </c>
      <c r="G52" s="22" t="inlineStr">
        <is>
          <t>0.093 SOL</t>
        </is>
      </c>
      <c r="H52" s="22" t="inlineStr">
        <is>
          <t>8.89%</t>
        </is>
      </c>
      <c r="I52" s="16" t="inlineStr">
        <is>
          <t>N/A</t>
        </is>
      </c>
      <c r="J52" s="16" t="n">
        <v>1</v>
      </c>
      <c r="K52" s="16" t="n">
        <v>1</v>
      </c>
      <c r="L52" s="16" t="inlineStr">
        <is>
          <t>24.10.2024 17:11:13</t>
        </is>
      </c>
      <c r="M52" s="16" t="inlineStr">
        <is>
          <t>4 min</t>
        </is>
      </c>
      <c r="N52" s="16" t="inlineStr">
        <is>
          <t xml:space="preserve">          7K             7K             5K</t>
        </is>
      </c>
      <c r="O52" s="16" t="inlineStr">
        <is>
          <t>2shpASKAQPsd4rXkM5kucb2JofNUyKou7UMM4j4upump</t>
        </is>
      </c>
      <c r="P52" s="16">
        <f>HYPERLINK("https://photon-sol.tinyastro.io/en/lp/2shpASKAQPsd4rXkM5kucb2JofNUyKou7UMM4j4upump?handle=676050794bc1b1657a56b", "View")</f>
        <v/>
      </c>
    </row>
    <row r="53">
      <c r="A53" s="19" t="inlineStr">
        <is>
          <t>red</t>
        </is>
      </c>
      <c r="B53" s="20" t="n">
        <v>31287384</v>
      </c>
      <c r="C53" s="20" t="n">
        <v>31287384</v>
      </c>
      <c r="D53" s="20" t="inlineStr">
        <is>
          <t>0.000050</t>
        </is>
      </c>
      <c r="E53" s="20" t="inlineStr">
        <is>
          <t>0.962 SOL</t>
        </is>
      </c>
      <c r="F53" s="20" t="inlineStr">
        <is>
          <t>1.119 SOL</t>
        </is>
      </c>
      <c r="G53" s="22" t="inlineStr">
        <is>
          <t>0.157 SOL</t>
        </is>
      </c>
      <c r="H53" s="22" t="inlineStr">
        <is>
          <t>16.27%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24.10.2024 17:05:53</t>
        </is>
      </c>
      <c r="M53" s="20" t="inlineStr">
        <is>
          <t>1 min</t>
        </is>
      </c>
      <c r="N53" s="20" t="inlineStr">
        <is>
          <t xml:space="preserve">          5K             7K             5K</t>
        </is>
      </c>
      <c r="O53" s="20" t="inlineStr">
        <is>
          <t>8wtV337sVPqHksnbTKyB4VYmZEaHb19QEwVq2CF4pump</t>
        </is>
      </c>
      <c r="P53" s="20">
        <f>HYPERLINK("https://photon-sol.tinyastro.io/en/lp/8wtV337sVPqHksnbTKyB4VYmZEaHb19QEwVq2CF4pump?handle=676050794bc1b1657a56b", "View")</f>
        <v/>
      </c>
    </row>
    <row r="54">
      <c r="A54" s="15" t="inlineStr">
        <is>
          <t>QAT</t>
        </is>
      </c>
      <c r="B54" s="16" t="n">
        <v>19964005</v>
      </c>
      <c r="C54" s="16" t="n">
        <v>19564725</v>
      </c>
      <c r="D54" s="16" t="inlineStr">
        <is>
          <t>0.001010</t>
        </is>
      </c>
      <c r="E54" s="16" t="inlineStr">
        <is>
          <t>1.098 SOL</t>
        </is>
      </c>
      <c r="F54" s="16" t="inlineStr">
        <is>
          <t>16.915 SOL</t>
        </is>
      </c>
      <c r="G54" s="23" t="inlineStr">
        <is>
          <t>15.816 SOL</t>
        </is>
      </c>
      <c r="H54" s="23" t="inlineStr">
        <is>
          <t>1439.51%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23.10.2024 08:14:09</t>
        </is>
      </c>
      <c r="M54" s="16" t="inlineStr">
        <is>
          <t>25 min</t>
        </is>
      </c>
      <c r="N54" s="16" t="inlineStr">
        <is>
          <t xml:space="preserve">          9K           151K             8K</t>
        </is>
      </c>
      <c r="O54" s="16" t="inlineStr">
        <is>
          <t>D29DeYpFHBH9d95WusxPnbUoAdkfcNBz1fjh2ogBpump</t>
        </is>
      </c>
      <c r="P54" s="16">
        <f>HYPERLINK("https://photon-sol.tinyastro.io/en/lp/D29DeYpFHBH9d95WusxPnbUoAdkfcNBz1fjh2ogBpump?handle=676050794bc1b1657a56b", "View")</f>
        <v/>
      </c>
    </row>
    <row r="55">
      <c r="A55" s="19" t="inlineStr">
        <is>
          <t>adam</t>
        </is>
      </c>
      <c r="B55" s="20" t="n">
        <v>11460101</v>
      </c>
      <c r="C55" s="20" t="n">
        <v>11460101</v>
      </c>
      <c r="D55" s="20" t="inlineStr">
        <is>
          <t>0.000530</t>
        </is>
      </c>
      <c r="E55" s="20" t="inlineStr">
        <is>
          <t>5.595 SOL</t>
        </is>
      </c>
      <c r="F55" s="20" t="inlineStr">
        <is>
          <t>5.841 SOL</t>
        </is>
      </c>
      <c r="G55" s="22" t="inlineStr">
        <is>
          <t>0.246 SOL</t>
        </is>
      </c>
      <c r="H55" s="22" t="inlineStr">
        <is>
          <t>4.39%</t>
        </is>
      </c>
      <c r="I55" s="20" t="inlineStr">
        <is>
          <t>N/A</t>
        </is>
      </c>
      <c r="J55" s="20" t="n">
        <v>2</v>
      </c>
      <c r="K55" s="20" t="n">
        <v>2</v>
      </c>
      <c r="L55" s="20" t="inlineStr">
        <is>
          <t>14.10.2024 19:00:00</t>
        </is>
      </c>
      <c r="M55" s="20" t="inlineStr">
        <is>
          <t>19 min</t>
        </is>
      </c>
      <c r="N55" s="20" t="inlineStr">
        <is>
          <t xml:space="preserve">         51K            86K             4K</t>
        </is>
      </c>
      <c r="O55" s="20" t="inlineStr">
        <is>
          <t>7UbhiKNCa68kKqYoUSDbR5DJWHCzvihgSNUxzw3upump</t>
        </is>
      </c>
      <c r="P55" s="20">
        <f>HYPERLINK("https://photon-sol.tinyastro.io/en/lp/7UbhiKNCa68kKqYoUSDbR5DJWHCzvihgSNUxzw3upump?handle=676050794bc1b1657a56b", "View")</f>
        <v/>
      </c>
    </row>
    <row r="56">
      <c r="A56" s="15" t="inlineStr">
        <is>
          <t>CATRDIO</t>
        </is>
      </c>
      <c r="B56" s="16" t="n">
        <v>24517958</v>
      </c>
      <c r="C56" s="16" t="n">
        <v>24517957</v>
      </c>
      <c r="D56" s="16" t="inlineStr">
        <is>
          <t>0.000420</t>
        </is>
      </c>
      <c r="E56" s="16" t="inlineStr">
        <is>
          <t>2.025 SOL</t>
        </is>
      </c>
      <c r="F56" s="16" t="inlineStr">
        <is>
          <t>1.670 SOL</t>
        </is>
      </c>
      <c r="G56" s="21" t="inlineStr">
        <is>
          <t>-0.356 SOL</t>
        </is>
      </c>
      <c r="H56" s="21" t="inlineStr">
        <is>
          <t>-17.56%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14.10.2024 18:57:18</t>
        </is>
      </c>
      <c r="M56" s="16" t="inlineStr">
        <is>
          <t>26 min</t>
        </is>
      </c>
      <c r="N56" s="16" t="inlineStr">
        <is>
          <t xml:space="preserve">        N/A           N/A           N/A</t>
        </is>
      </c>
      <c r="O56" s="16" t="inlineStr">
        <is>
          <t>A6Wmznuwm2LAeRfKAZergCmr7AMW2iRU5M5tCQjLpump</t>
        </is>
      </c>
      <c r="P56" s="16">
        <f>HYPERLINK("https://photon-sol.tinyastro.io/en/lp/A6Wmznuwm2LAeRfKAZergCmr7AMW2iRU5M5tCQjLpump?handle=676050794bc1b1657a56b", "View")</f>
        <v/>
      </c>
    </row>
    <row r="57">
      <c r="A57" s="19" t="inlineStr">
        <is>
          <t>MITARDIO</t>
        </is>
      </c>
      <c r="B57" s="20" t="n">
        <v>21106390</v>
      </c>
      <c r="C57" s="20" t="n">
        <v>21106389</v>
      </c>
      <c r="D57" s="20" t="inlineStr">
        <is>
          <t>0.000420</t>
        </is>
      </c>
      <c r="E57" s="20" t="inlineStr">
        <is>
          <t>2.068 SOL</t>
        </is>
      </c>
      <c r="F57" s="20" t="inlineStr">
        <is>
          <t>1.850 SOL</t>
        </is>
      </c>
      <c r="G57" s="21" t="inlineStr">
        <is>
          <t>-0.218 SOL</t>
        </is>
      </c>
      <c r="H57" s="21" t="inlineStr">
        <is>
          <t>-10.56%</t>
        </is>
      </c>
      <c r="I57" s="20" t="inlineStr">
        <is>
          <t>N/A</t>
        </is>
      </c>
      <c r="J57" s="20" t="n">
        <v>1</v>
      </c>
      <c r="K57" s="20" t="n">
        <v>1</v>
      </c>
      <c r="L57" s="20" t="inlineStr">
        <is>
          <t>14.10.2024 18:56:48</t>
        </is>
      </c>
      <c r="M57" s="20" t="inlineStr">
        <is>
          <t>4 min</t>
        </is>
      </c>
      <c r="N57" s="20" t="inlineStr">
        <is>
          <t xml:space="preserve">        N/A           N/A           N/A</t>
        </is>
      </c>
      <c r="O57" s="20" t="inlineStr">
        <is>
          <t>3hhSMmZN4ScFDENi2PBiawyvSKR1sTyHhLH3NudQpump</t>
        </is>
      </c>
      <c r="P57" s="20">
        <f>HYPERLINK("https://photon-sol.tinyastro.io/en/lp/3hhSMmZN4ScFDENi2PBiawyvSKR1sTyHhLH3NudQpump?handle=676050794bc1b1657a56b", "View")</f>
        <v/>
      </c>
    </row>
    <row r="58">
      <c r="A58" s="15" t="inlineStr">
        <is>
          <t>Hash</t>
        </is>
      </c>
      <c r="B58" s="16" t="n">
        <v>16224092</v>
      </c>
      <c r="C58" s="16" t="n">
        <v>16224091</v>
      </c>
      <c r="D58" s="16" t="inlineStr">
        <is>
          <t>0.000420</t>
        </is>
      </c>
      <c r="E58" s="16" t="inlineStr">
        <is>
          <t>1.756 SOL</t>
        </is>
      </c>
      <c r="F58" s="16" t="inlineStr">
        <is>
          <t>1.283 SOL</t>
        </is>
      </c>
      <c r="G58" s="21" t="inlineStr">
        <is>
          <t>-0.474 SOL</t>
        </is>
      </c>
      <c r="H58" s="21" t="inlineStr">
        <is>
          <t>-26.98%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14.10.2024 18:52:00</t>
        </is>
      </c>
      <c r="M58" s="18" t="inlineStr">
        <is>
          <t>40 sec</t>
        </is>
      </c>
      <c r="N58" s="16" t="inlineStr">
        <is>
          <t xml:space="preserve">        N/A           N/A           N/A</t>
        </is>
      </c>
      <c r="O58" s="16" t="inlineStr">
        <is>
          <t>FPHj8CbsH6JHtr6ctrayQmUZb5yeu3RAXZUhhLqspump</t>
        </is>
      </c>
      <c r="P58" s="16">
        <f>HYPERLINK("https://photon-sol.tinyastro.io/en/lp/FPHj8CbsH6JHtr6ctrayQmUZb5yeu3RAXZUhhLqspump?handle=676050794bc1b1657a56b", "View")</f>
        <v/>
      </c>
    </row>
    <row r="59">
      <c r="A59" s="19" t="inlineStr">
        <is>
          <t>SIMBA</t>
        </is>
      </c>
      <c r="B59" s="20" t="n">
        <v>5944444</v>
      </c>
      <c r="C59" s="20" t="n">
        <v>5944444</v>
      </c>
      <c r="D59" s="20" t="inlineStr">
        <is>
          <t>0.000320</t>
        </is>
      </c>
      <c r="E59" s="20" t="inlineStr">
        <is>
          <t>2.059 SOL</t>
        </is>
      </c>
      <c r="F59" s="20" t="inlineStr">
        <is>
          <t>2.416 SOL</t>
        </is>
      </c>
      <c r="G59" s="22" t="inlineStr">
        <is>
          <t>0.357 SOL</t>
        </is>
      </c>
      <c r="H59" s="22" t="inlineStr">
        <is>
          <t>17.36%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14.10.2024 18:47:35</t>
        </is>
      </c>
      <c r="M59" s="20" t="inlineStr">
        <is>
          <t>15 min</t>
        </is>
      </c>
      <c r="N59" s="20" t="inlineStr">
        <is>
          <t xml:space="preserve">         61K            72K             8K</t>
        </is>
      </c>
      <c r="O59" s="20" t="inlineStr">
        <is>
          <t>B84ywUMpZriHWbJmptCvinBwXjAWtkZurM62WRyyrsZc</t>
        </is>
      </c>
      <c r="P59" s="20">
        <f>HYPERLINK("https://photon-sol.tinyastro.io/en/lp/B84ywUMpZriHWbJmptCvinBwXjAWtkZurM62WRyyrsZc?handle=676050794bc1b1657a56b", "View")</f>
        <v/>
      </c>
    </row>
    <row r="60">
      <c r="A60" s="15" t="inlineStr">
        <is>
          <t>MEOWCAT</t>
        </is>
      </c>
      <c r="B60" s="16" t="n">
        <v>8491191</v>
      </c>
      <c r="C60" s="16" t="n">
        <v>8491190</v>
      </c>
      <c r="D60" s="16" t="inlineStr">
        <is>
          <t>0.000420</t>
        </is>
      </c>
      <c r="E60" s="16" t="inlineStr">
        <is>
          <t>2.097 SOL</t>
        </is>
      </c>
      <c r="F60" s="16" t="inlineStr">
        <is>
          <t>1.459 SOL</t>
        </is>
      </c>
      <c r="G60" s="21" t="inlineStr">
        <is>
          <t>-0.638 SOL</t>
        </is>
      </c>
      <c r="H60" s="21" t="inlineStr">
        <is>
          <t>-30.42%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14.10.2024 18:40:38</t>
        </is>
      </c>
      <c r="M60" s="16" t="inlineStr">
        <is>
          <t>2 min</t>
        </is>
      </c>
      <c r="N60" s="16" t="inlineStr">
        <is>
          <t xml:space="preserve">        N/A           N/A           N/A</t>
        </is>
      </c>
      <c r="O60" s="16" t="inlineStr">
        <is>
          <t>67GhaTyuGTURLTZfLmYv5hbrtpXNQcMMrcynrhRYpump</t>
        </is>
      </c>
      <c r="P60" s="16">
        <f>HYPERLINK("https://photon-sol.tinyastro.io/en/lp/67GhaTyuGTURLTZfLmYv5hbrtpXNQcMMrcynrhRYpump?handle=676050794bc1b1657a56b", "View")</f>
        <v/>
      </c>
    </row>
    <row r="61">
      <c r="A61" s="19" t="inlineStr">
        <is>
          <t>GROK</t>
        </is>
      </c>
      <c r="B61" s="20" t="n">
        <v>4714356</v>
      </c>
      <c r="C61" s="20" t="n">
        <v>4714355</v>
      </c>
      <c r="D61" s="20" t="inlineStr">
        <is>
          <t>0.000420</t>
        </is>
      </c>
      <c r="E61" s="20" t="inlineStr">
        <is>
          <t>1.015 SOL</t>
        </is>
      </c>
      <c r="F61" s="20" t="inlineStr">
        <is>
          <t>0.129 SOL</t>
        </is>
      </c>
      <c r="G61" s="24" t="inlineStr">
        <is>
          <t>-0.887 SOL</t>
        </is>
      </c>
      <c r="H61" s="24" t="inlineStr">
        <is>
          <t>-87.32%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14.10.2024 18:29:00</t>
        </is>
      </c>
      <c r="M61" s="18" t="inlineStr">
        <is>
          <t>28 sec</t>
        </is>
      </c>
      <c r="N61" s="20" t="inlineStr">
        <is>
          <t xml:space="preserve">        N/A           N/A           N/A</t>
        </is>
      </c>
      <c r="O61" s="20" t="inlineStr">
        <is>
          <t>5Vovb58QronAHHyK5SRQsGBRd1vptkjvnbdAzEx2pump</t>
        </is>
      </c>
      <c r="P61" s="20">
        <f>HYPERLINK("https://photon-sol.tinyastro.io/en/lp/5Vovb58QronAHHyK5SRQsGBRd1vptkjvnbdAzEx2pump?handle=676050794bc1b1657a56b", "View")</f>
        <v/>
      </c>
    </row>
    <row r="62">
      <c r="A62" s="15" t="inlineStr">
        <is>
          <t>OPM</t>
        </is>
      </c>
      <c r="B62" s="16" t="n">
        <v>8865960</v>
      </c>
      <c r="C62" s="16" t="n">
        <v>8865960</v>
      </c>
      <c r="D62" s="16" t="inlineStr">
        <is>
          <t>0.000420</t>
        </is>
      </c>
      <c r="E62" s="16" t="inlineStr">
        <is>
          <t>2.382 SOL</t>
        </is>
      </c>
      <c r="F62" s="16" t="inlineStr">
        <is>
          <t>2.018 SOL</t>
        </is>
      </c>
      <c r="G62" s="21" t="inlineStr">
        <is>
          <t>-0.364 SOL</t>
        </is>
      </c>
      <c r="H62" s="21" t="inlineStr">
        <is>
          <t>-15.29%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14.10.2024 18:28:51</t>
        </is>
      </c>
      <c r="M62" s="16" t="inlineStr">
        <is>
          <t>2 min</t>
        </is>
      </c>
      <c r="N62" s="16" t="inlineStr">
        <is>
          <t xml:space="preserve">         47K            40K             4K</t>
        </is>
      </c>
      <c r="O62" s="16" t="inlineStr">
        <is>
          <t>GeipaNgKg5Via44YP7XRb9dB9AznUMozJECGE7usBiP8</t>
        </is>
      </c>
      <c r="P62" s="16">
        <f>HYPERLINK("https://photon-sol.tinyastro.io/en/lp/GeipaNgKg5Via44YP7XRb9dB9AznUMozJECGE7usBiP8?handle=676050794bc1b1657a56b", "View")</f>
        <v/>
      </c>
    </row>
    <row r="63">
      <c r="A63" s="19" t="inlineStr">
        <is>
          <t>HAROLD</t>
        </is>
      </c>
      <c r="B63" s="20" t="n">
        <v>8374782</v>
      </c>
      <c r="C63" s="20" t="n">
        <v>8374781</v>
      </c>
      <c r="D63" s="20" t="inlineStr">
        <is>
          <t>0.000420</t>
        </is>
      </c>
      <c r="E63" s="20" t="inlineStr">
        <is>
          <t>1.754 SOL</t>
        </is>
      </c>
      <c r="F63" s="20" t="inlineStr">
        <is>
          <t>0.817 SOL</t>
        </is>
      </c>
      <c r="G63" s="24" t="inlineStr">
        <is>
          <t>-0.937 SOL</t>
        </is>
      </c>
      <c r="H63" s="24" t="inlineStr">
        <is>
          <t>-53.41%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14.10.2024 18:27:11</t>
        </is>
      </c>
      <c r="M63" s="20" t="inlineStr">
        <is>
          <t>2 min</t>
        </is>
      </c>
      <c r="N63" s="20" t="inlineStr">
        <is>
          <t xml:space="preserve">        N/A           N/A           N/A</t>
        </is>
      </c>
      <c r="O63" s="20" t="inlineStr">
        <is>
          <t>9nYZg7Ah6GWkthXJRYgY5Bz1R4UZSJcmushag4yapump</t>
        </is>
      </c>
      <c r="P63" s="20">
        <f>HYPERLINK("https://photon-sol.tinyastro.io/en/lp/9nYZg7Ah6GWkthXJRYgY5Bz1R4UZSJcmushag4yapump?handle=676050794bc1b1657a56b", "View")</f>
        <v/>
      </c>
    </row>
    <row r="64">
      <c r="A64" s="15" t="inlineStr">
        <is>
          <t>meme magic</t>
        </is>
      </c>
      <c r="B64" s="16" t="n">
        <v>41437575</v>
      </c>
      <c r="C64" s="16" t="n">
        <v>41437574</v>
      </c>
      <c r="D64" s="16" t="inlineStr">
        <is>
          <t>0.000630</t>
        </is>
      </c>
      <c r="E64" s="16" t="inlineStr">
        <is>
          <t>7.014 SOL</t>
        </is>
      </c>
      <c r="F64" s="16" t="inlineStr">
        <is>
          <t>2.863 SOL</t>
        </is>
      </c>
      <c r="G64" s="24" t="inlineStr">
        <is>
          <t>-4.152 SOL</t>
        </is>
      </c>
      <c r="H64" s="24" t="inlineStr">
        <is>
          <t>-59.19%</t>
        </is>
      </c>
      <c r="I64" s="16" t="inlineStr">
        <is>
          <t>N/A</t>
        </is>
      </c>
      <c r="J64" s="16" t="n">
        <v>2</v>
      </c>
      <c r="K64" s="16" t="n">
        <v>1</v>
      </c>
      <c r="L64" s="16" t="inlineStr">
        <is>
          <t>14.10.2024 18:18:21</t>
        </is>
      </c>
      <c r="M64" s="16" t="inlineStr">
        <is>
          <t>1 min</t>
        </is>
      </c>
      <c r="N64" s="16" t="inlineStr">
        <is>
          <t xml:space="preserve">        N/A           N/A           N/A</t>
        </is>
      </c>
      <c r="O64" s="16" t="inlineStr">
        <is>
          <t>EJD4HzQCpgY4szfMFNkEcmq2DqQhYyv9Q5vG7zfXpump</t>
        </is>
      </c>
      <c r="P64" s="16">
        <f>HYPERLINK("https://photon-sol.tinyastro.io/en/lp/EJD4HzQCpgY4szfMFNkEcmq2DqQhYyv9Q5vG7zfXpump?handle=676050794bc1b1657a56b", "View")</f>
        <v/>
      </c>
    </row>
    <row r="65">
      <c r="A65" s="19" t="inlineStr">
        <is>
          <t>ferrari</t>
        </is>
      </c>
      <c r="B65" s="20" t="n">
        <v>32094015</v>
      </c>
      <c r="C65" s="20" t="n">
        <v>31452135</v>
      </c>
      <c r="D65" s="20" t="inlineStr">
        <is>
          <t>0.001010</t>
        </is>
      </c>
      <c r="E65" s="20" t="inlineStr">
        <is>
          <t>1.200 SOL</t>
        </is>
      </c>
      <c r="F65" s="20" t="inlineStr">
        <is>
          <t>1.084 SOL</t>
        </is>
      </c>
      <c r="G65" s="21" t="inlineStr">
        <is>
          <t>-0.117 SOL</t>
        </is>
      </c>
      <c r="H65" s="21" t="inlineStr">
        <is>
          <t>-9.76%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14.10.2024 18:11:38</t>
        </is>
      </c>
      <c r="M65" s="20" t="inlineStr">
        <is>
          <t>17 min</t>
        </is>
      </c>
      <c r="N65" s="20" t="inlineStr">
        <is>
          <t xml:space="preserve">        N/A           N/A           N/A</t>
        </is>
      </c>
      <c r="O65" s="20" t="inlineStr">
        <is>
          <t>8V776pAj4jpwMipz4h6qoCRX15dbg9rXuM2f9ZCEpump</t>
        </is>
      </c>
      <c r="P65" s="20">
        <f>HYPERLINK("https://photon-sol.tinyastro.io/en/lp/8V776pAj4jpwMipz4h6qoCRX15dbg9rXuM2f9ZCEpump?handle=676050794bc1b1657a56b", "View")</f>
        <v/>
      </c>
    </row>
    <row r="66">
      <c r="A66" s="15" t="inlineStr">
        <is>
          <t>coin</t>
        </is>
      </c>
      <c r="B66" s="16" t="n">
        <v>31830947</v>
      </c>
      <c r="C66" s="16" t="n">
        <v>31194328</v>
      </c>
      <c r="D66" s="16" t="inlineStr">
        <is>
          <t>0.001010</t>
        </is>
      </c>
      <c r="E66" s="16" t="inlineStr">
        <is>
          <t>1.019 SOL</t>
        </is>
      </c>
      <c r="F66" s="16" t="inlineStr">
        <is>
          <t>1.532 SOL</t>
        </is>
      </c>
      <c r="G66" s="23" t="inlineStr">
        <is>
          <t>0.512 SOL</t>
        </is>
      </c>
      <c r="H66" s="23" t="inlineStr">
        <is>
          <t>50.20%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14.10.2024 17:32:16</t>
        </is>
      </c>
      <c r="M66" s="16" t="inlineStr">
        <is>
          <t>38 min</t>
        </is>
      </c>
      <c r="N66" s="16" t="inlineStr">
        <is>
          <t xml:space="preserve">        N/A           N/A           N/A</t>
        </is>
      </c>
      <c r="O66" s="16" t="inlineStr">
        <is>
          <t>5RtYQRCBeQiRdLDujEUvb5tnUyT1Do51ryAXXwacpump</t>
        </is>
      </c>
      <c r="P66" s="16">
        <f>HYPERLINK("https://photon-sol.tinyastro.io/en/lp/5RtYQRCBeQiRdLDujEUvb5tnUyT1Do51ryAXXwacpump?handle=676050794bc1b1657a56b", "View")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HYPERLINK("https://gmgn.ai/sol/address/GLDsGoz3tM5vrVuKPuHCXLKxFGxeGX7qV2dr4kztWYCe", "GMGN")</f>
        <v/>
      </c>
    </row>
    <row r="2">
      <c r="A2" s="3" t="inlineStr">
        <is>
          <t>GLDsGoz3tM5vrVuKPuHCXLKxFGxeGX7qV2dr4kztWYCe</t>
        </is>
      </c>
      <c r="B2" s="3" t="inlineStr">
        <is>
          <t>26.48 SOL</t>
        </is>
      </c>
      <c r="C2" s="3" t="inlineStr">
        <is>
          <t>54%</t>
        </is>
      </c>
      <c r="D2" s="3" t="inlineStr">
        <is>
          <t>104%</t>
        </is>
      </c>
      <c r="E2" s="3" t="inlineStr">
        <is>
          <t>372.18 SOL</t>
        </is>
      </c>
      <c r="F2" s="3" t="inlineStr">
        <is>
          <t>7 (11%)</t>
        </is>
      </c>
      <c r="G2" s="3" t="inlineStr">
        <is>
          <t>0 (0%)</t>
        </is>
      </c>
      <c r="H2" s="3" t="n">
        <v>61</v>
      </c>
      <c r="I2" s="3" t="n">
        <v>0</v>
      </c>
      <c r="J2" s="3" t="inlineStr">
        <is>
          <t>88 days</t>
        </is>
      </c>
      <c r="K2" s="3" t="inlineStr">
        <is>
          <t>14 min</t>
        </is>
      </c>
      <c r="L2" s="3" t="n">
        <v>18</v>
      </c>
      <c r="M2" s="3" t="n">
        <v>54</v>
      </c>
      <c r="N2" s="3">
        <f>HYPERLINK("https://solscan.io/account/GLDsGoz3tM5vrVuKPuHCXLKxFGxeGX7qV2dr4kztWYCe", "Solscan")</f>
        <v/>
      </c>
    </row>
    <row r="3">
      <c r="A3" s="6" t="inlineStr">
        <is>
          <t>Median ROI</t>
        </is>
      </c>
      <c r="B3" s="4" t="inlineStr">
        <is>
          <t>2.50%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HYPERLINK("https://birdeye.so/profile/GLDsGoz3tM5vrVuKPuHCXLKxFGxeGX7qV2dr4kztWYCe", "Birdeye")</f>
        <v/>
      </c>
    </row>
    <row r="4">
      <c r="A4" s="6" t="inlineStr">
        <is>
          <t>Rockets percent</t>
        </is>
      </c>
      <c r="B4" s="3" t="inlineStr">
        <is>
          <t>16%</t>
        </is>
      </c>
      <c r="C4" s="3" t="inlineStr"/>
      <c r="D4" s="3" t="inlineStr">
        <is>
          <t>0%</t>
        </is>
      </c>
      <c r="E4" s="3" t="inlineStr">
        <is>
          <t>0.14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111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1.6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7</v>
      </c>
      <c r="D10" s="6" t="n">
        <v>5</v>
      </c>
      <c r="E10" s="6" t="n">
        <v>18</v>
      </c>
      <c r="F10" s="6" t="n">
        <v>22</v>
      </c>
      <c r="G10" s="6" t="n">
        <v>6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4.9%</t>
        </is>
      </c>
      <c r="C11" s="6" t="inlineStr">
        <is>
          <t>11.5%</t>
        </is>
      </c>
      <c r="D11" s="6" t="inlineStr">
        <is>
          <t>8.2%</t>
        </is>
      </c>
      <c r="E11" s="6" t="inlineStr">
        <is>
          <t>29.5%</t>
        </is>
      </c>
      <c r="F11" s="6" t="inlineStr">
        <is>
          <t>36.1%</t>
        </is>
      </c>
      <c r="G11" s="6" t="inlineStr">
        <is>
          <t>9.8%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284.8 SOL</t>
        </is>
      </c>
      <c r="C12" s="6" t="inlineStr">
        <is>
          <t>106.6 SOL</t>
        </is>
      </c>
      <c r="D12" s="6" t="inlineStr">
        <is>
          <t>13.8 SOL</t>
        </is>
      </c>
      <c r="E12" s="6" t="inlineStr">
        <is>
          <t>18.8 SOL</t>
        </is>
      </c>
      <c r="F12" s="6" t="inlineStr">
        <is>
          <t>-14.6 SOL</t>
        </is>
      </c>
      <c r="G12" s="6" t="inlineStr">
        <is>
          <t>-37.3 SOL</t>
        </is>
      </c>
      <c r="H12" s="3" t="n"/>
      <c r="I12" s="3" t="inlineStr">
        <is>
          <t>30k-100k</t>
        </is>
      </c>
      <c r="J12" s="3" t="inlineStr">
        <is>
          <t>11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22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7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115.0K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PRESIDENT</t>
        </is>
      </c>
      <c r="B20" s="16" t="n">
        <v>4622404</v>
      </c>
      <c r="C20" s="16" t="n">
        <v>4622404</v>
      </c>
      <c r="D20" s="16" t="inlineStr">
        <is>
          <t>0.014020</t>
        </is>
      </c>
      <c r="E20" s="16" t="inlineStr">
        <is>
          <t>3.000 SOL</t>
        </is>
      </c>
      <c r="F20" s="16" t="inlineStr">
        <is>
          <t>1.682 SOL</t>
        </is>
      </c>
      <c r="G20" s="21" t="inlineStr">
        <is>
          <t>-1.332 SOL</t>
        </is>
      </c>
      <c r="H20" s="21" t="inlineStr">
        <is>
          <t>-44.18%</t>
        </is>
      </c>
      <c r="I20" s="16" t="inlineStr">
        <is>
          <t>N/A</t>
        </is>
      </c>
      <c r="J20" s="16" t="n">
        <v>1</v>
      </c>
      <c r="K20" s="16" t="n">
        <v>3</v>
      </c>
      <c r="L20" s="16" t="inlineStr">
        <is>
          <t>30.10.2024 16:49:23</t>
        </is>
      </c>
      <c r="M20" s="16" t="inlineStr">
        <is>
          <t>16 hours</t>
        </is>
      </c>
      <c r="N20" s="16" t="inlineStr">
        <is>
          <t xml:space="preserve">        114K           132K            34K</t>
        </is>
      </c>
      <c r="O20" s="16" t="inlineStr">
        <is>
          <t>Hru5FVFRLhnjjDKf8jjCb6rSdPdGDP46uAVD3575pump</t>
        </is>
      </c>
      <c r="P20" s="16">
        <f>HYPERLINK("https://dexscreener.com/solana/Hru5FVFRLhnjjDKf8jjCb6rSdPdGDP46uAVD3575pump", "View")</f>
        <v/>
      </c>
    </row>
    <row r="21">
      <c r="A21" s="19" t="inlineStr">
        <is>
          <t>SHEEPX</t>
        </is>
      </c>
      <c r="B21" s="20" t="n">
        <v>8048371</v>
      </c>
      <c r="C21" s="20" t="n">
        <v>8048371</v>
      </c>
      <c r="D21" s="20" t="inlineStr">
        <is>
          <t>0.017010</t>
        </is>
      </c>
      <c r="E21" s="20" t="inlineStr">
        <is>
          <t>5.000 SOL</t>
        </is>
      </c>
      <c r="F21" s="20" t="inlineStr">
        <is>
          <t>4.307 SOL</t>
        </is>
      </c>
      <c r="G21" s="21" t="inlineStr">
        <is>
          <t>-0.710 SOL</t>
        </is>
      </c>
      <c r="H21" s="21" t="inlineStr">
        <is>
          <t>-14.14%</t>
        </is>
      </c>
      <c r="I21" s="20" t="inlineStr">
        <is>
          <t>N/A</t>
        </is>
      </c>
      <c r="J21" s="20" t="n">
        <v>1</v>
      </c>
      <c r="K21" s="20" t="n">
        <v>2</v>
      </c>
      <c r="L21" s="20" t="inlineStr">
        <is>
          <t>30.10.2024 07:37:43</t>
        </is>
      </c>
      <c r="M21" s="20" t="inlineStr">
        <is>
          <t>1 days</t>
        </is>
      </c>
      <c r="N21" s="20" t="inlineStr">
        <is>
          <t xml:space="preserve">         87K           101K           141K</t>
        </is>
      </c>
      <c r="O21" s="20" t="inlineStr">
        <is>
          <t>3fD9yseVKovAhGwjpkopZeQKxKzgd7Fe1ReJ6S49J3LW</t>
        </is>
      </c>
      <c r="P21" s="20">
        <f>HYPERLINK("https://dexscreener.com/solana/3fD9yseVKovAhGwjpkopZeQKxKzgd7Fe1ReJ6S49J3LW", "View")</f>
        <v/>
      </c>
    </row>
    <row r="22">
      <c r="A22" s="15" t="inlineStr">
        <is>
          <t>deepfates</t>
        </is>
      </c>
      <c r="B22" s="16" t="n">
        <v>33924827</v>
      </c>
      <c r="C22" s="16" t="n">
        <v>33924827</v>
      </c>
      <c r="D22" s="16" t="inlineStr">
        <is>
          <t>0.010010</t>
        </is>
      </c>
      <c r="E22" s="16" t="inlineStr">
        <is>
          <t>2.000 SOL</t>
        </is>
      </c>
      <c r="F22" s="16" t="inlineStr">
        <is>
          <t>2.851 SOL</t>
        </is>
      </c>
      <c r="G22" s="22" t="inlineStr">
        <is>
          <t>0.841 SOL</t>
        </is>
      </c>
      <c r="H22" s="22" t="inlineStr">
        <is>
          <t>41.82%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28.10.2024 19:46:26</t>
        </is>
      </c>
      <c r="M22" s="16" t="inlineStr">
        <is>
          <t>14 days</t>
        </is>
      </c>
      <c r="N22" s="16" t="inlineStr">
        <is>
          <t xml:space="preserve">         11K            11K             8K</t>
        </is>
      </c>
      <c r="O22" s="16" t="inlineStr">
        <is>
          <t>46Fy12jQeqci7m7jy4CYuGbVhY1rea6mfxkD4gkMpump</t>
        </is>
      </c>
      <c r="P22" s="16">
        <f>HYPERLINK("https://dexscreener.com/solana/46Fy12jQeqci7m7jy4CYuGbVhY1rea6mfxkD4gkMpump", "View")</f>
        <v/>
      </c>
    </row>
    <row r="23">
      <c r="A23" s="19" t="inlineStr">
        <is>
          <t>Anubis</t>
        </is>
      </c>
      <c r="B23" s="20" t="n">
        <v>42646182</v>
      </c>
      <c r="C23" s="20" t="n">
        <v>42646182</v>
      </c>
      <c r="D23" s="20" t="inlineStr">
        <is>
          <t>0.030020</t>
        </is>
      </c>
      <c r="E23" s="20" t="inlineStr">
        <is>
          <t>2.453 SOL</t>
        </is>
      </c>
      <c r="F23" s="20" t="inlineStr">
        <is>
          <t>6.524 SOL</t>
        </is>
      </c>
      <c r="G23" s="23" t="inlineStr">
        <is>
          <t>4.041 SOL</t>
        </is>
      </c>
      <c r="H23" s="23" t="inlineStr">
        <is>
          <t>162.75%</t>
        </is>
      </c>
      <c r="I23" s="20" t="inlineStr">
        <is>
          <t>N/A</t>
        </is>
      </c>
      <c r="J23" s="20" t="n">
        <v>1</v>
      </c>
      <c r="K23" s="20" t="n">
        <v>2</v>
      </c>
      <c r="L23" s="20" t="inlineStr">
        <is>
          <t>28.10.2024 17:01:40</t>
        </is>
      </c>
      <c r="M23" s="20" t="inlineStr">
        <is>
          <t>32 min</t>
        </is>
      </c>
      <c r="N23" s="20" t="inlineStr">
        <is>
          <t xml:space="preserve">         11K            19K             4K</t>
        </is>
      </c>
      <c r="O23" s="20" t="inlineStr">
        <is>
          <t>7k7ZFwkFd4TMxLiodCvnXgL9CTBjrjeh2wFH3Mwhpump</t>
        </is>
      </c>
      <c r="P23" s="20">
        <f>HYPERLINK("https://photon-sol.tinyastro.io/en/lp/7k7ZFwkFd4TMxLiodCvnXgL9CTBjrjeh2wFH3Mwhpump?handle=676050794bc1b1657a56b", "View")</f>
        <v/>
      </c>
    </row>
    <row r="24">
      <c r="A24" s="15" t="inlineStr">
        <is>
          <t>ONBO47RD</t>
        </is>
      </c>
      <c r="B24" s="16" t="n">
        <v>225649636</v>
      </c>
      <c r="C24" s="16" t="n">
        <v>225649636</v>
      </c>
      <c r="D24" s="16" t="inlineStr">
        <is>
          <t>0.023030</t>
        </is>
      </c>
      <c r="E24" s="16" t="inlineStr">
        <is>
          <t>17.000 SOL</t>
        </is>
      </c>
      <c r="F24" s="16" t="inlineStr">
        <is>
          <t>7.857 SOL</t>
        </is>
      </c>
      <c r="G24" s="24" t="inlineStr">
        <is>
          <t>-9.166 SOL</t>
        </is>
      </c>
      <c r="H24" s="24" t="inlineStr">
        <is>
          <t>-53.85%</t>
        </is>
      </c>
      <c r="I24" s="16" t="inlineStr">
        <is>
          <t>N/A</t>
        </is>
      </c>
      <c r="J24" s="16" t="n">
        <v>5</v>
      </c>
      <c r="K24" s="16" t="n">
        <v>2</v>
      </c>
      <c r="L24" s="16" t="inlineStr">
        <is>
          <t>26.10.2024 01:35:55</t>
        </is>
      </c>
      <c r="M24" s="16" t="inlineStr">
        <is>
          <t>2 months</t>
        </is>
      </c>
      <c r="N24" s="16" t="inlineStr">
        <is>
          <t xml:space="preserve">          5K            14K             4K</t>
        </is>
      </c>
      <c r="O24" s="16" t="inlineStr">
        <is>
          <t>2PDx6fvmCzatUNBFaqnoKJw5gaRzpo9Aritf71dHpump</t>
        </is>
      </c>
      <c r="P24" s="16">
        <f>HYPERLINK("https://dexscreener.com/solana/2PDx6fvmCzatUNBFaqnoKJw5gaRzpo9Aritf71dHpump", "View")</f>
        <v/>
      </c>
    </row>
    <row r="25">
      <c r="A25" s="19" t="inlineStr">
        <is>
          <t>T47</t>
        </is>
      </c>
      <c r="B25" s="20" t="n">
        <v>8118578</v>
      </c>
      <c r="C25" s="20" t="n">
        <v>8118578</v>
      </c>
      <c r="D25" s="20" t="inlineStr">
        <is>
          <t>0.120060</t>
        </is>
      </c>
      <c r="E25" s="20" t="inlineStr">
        <is>
          <t>3.000 SOL</t>
        </is>
      </c>
      <c r="F25" s="20" t="inlineStr">
        <is>
          <t>211.513 SOL</t>
        </is>
      </c>
      <c r="G25" s="23" t="inlineStr">
        <is>
          <t>208.393 SOL</t>
        </is>
      </c>
      <c r="H25" s="23" t="inlineStr">
        <is>
          <t>6679.12%</t>
        </is>
      </c>
      <c r="I25" s="20" t="inlineStr">
        <is>
          <t>N/A</t>
        </is>
      </c>
      <c r="J25" s="20" t="n">
        <v>1</v>
      </c>
      <c r="K25" s="20" t="n">
        <v>11</v>
      </c>
      <c r="L25" s="20" t="inlineStr">
        <is>
          <t>25.10.2024 21:30:08</t>
        </is>
      </c>
      <c r="M25" s="20" t="inlineStr">
        <is>
          <t>23 min</t>
        </is>
      </c>
      <c r="N25" s="20" t="inlineStr">
        <is>
          <t xml:space="preserve">         65K             5M            50K</t>
        </is>
      </c>
      <c r="O25" s="20" t="inlineStr">
        <is>
          <t>9RLS414pwe1RvCQDFNMU31jtPAnLUVULPqzSM1ipump</t>
        </is>
      </c>
      <c r="P25" s="20">
        <f>HYPERLINK("https://dexscreener.com/solana/9RLS414pwe1RvCQDFNMU31jtPAnLUVULPqzSM1ipump", "View")</f>
        <v/>
      </c>
    </row>
    <row r="26">
      <c r="A26" s="15" t="inlineStr">
        <is>
          <t>PODCAST</t>
        </is>
      </c>
      <c r="B26" s="16" t="n">
        <v>5938284</v>
      </c>
      <c r="C26" s="16" t="n">
        <v>5938284</v>
      </c>
      <c r="D26" s="16" t="inlineStr">
        <is>
          <t>0.025010</t>
        </is>
      </c>
      <c r="E26" s="16" t="inlineStr">
        <is>
          <t>5.000 SOL</t>
        </is>
      </c>
      <c r="F26" s="16" t="inlineStr">
        <is>
          <t>3.734 SOL</t>
        </is>
      </c>
      <c r="G26" s="21" t="inlineStr">
        <is>
          <t>-1.291 SOL</t>
        </is>
      </c>
      <c r="H26" s="21" t="inlineStr">
        <is>
          <t>-25.70%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24.10.2024 19:06:37</t>
        </is>
      </c>
      <c r="M26" s="18" t="inlineStr">
        <is>
          <t>20 sec</t>
        </is>
      </c>
      <c r="N26" s="16" t="inlineStr">
        <is>
          <t xml:space="preserve">        147K           111K             4K</t>
        </is>
      </c>
      <c r="O26" s="16" t="inlineStr">
        <is>
          <t>dCZzqZtwQEekcDyfDE6LWtF4BcAna1JoigPmBuupump</t>
        </is>
      </c>
      <c r="P26" s="16">
        <f>HYPERLINK("https://dexscreener.com/solana/dCZzqZtwQEekcDyfDE6LWtF4BcAna1JoigPmBuupump", "View")</f>
        <v/>
      </c>
    </row>
    <row r="27">
      <c r="A27" s="19" t="inlineStr">
        <is>
          <t>SAM</t>
        </is>
      </c>
      <c r="B27" s="20" t="n">
        <v>13255523</v>
      </c>
      <c r="C27" s="20" t="n">
        <v>8409556</v>
      </c>
      <c r="D27" s="20" t="inlineStr">
        <is>
          <t>0.024040</t>
        </is>
      </c>
      <c r="E27" s="20" t="inlineStr">
        <is>
          <t>5.000 SOL</t>
        </is>
      </c>
      <c r="F27" s="20" t="inlineStr">
        <is>
          <t>1.656 SOL</t>
        </is>
      </c>
      <c r="G27" s="24" t="inlineStr">
        <is>
          <t>-3.368 SOL</t>
        </is>
      </c>
      <c r="H27" s="24" t="inlineStr">
        <is>
          <t>-67.04%</t>
        </is>
      </c>
      <c r="I27" s="20" t="inlineStr">
        <is>
          <t>N/A</t>
        </is>
      </c>
      <c r="J27" s="20" t="n">
        <v>4</v>
      </c>
      <c r="K27" s="20" t="n">
        <v>4</v>
      </c>
      <c r="L27" s="20" t="inlineStr">
        <is>
          <t>24.10.2024 18:48:23</t>
        </is>
      </c>
      <c r="M27" s="20" t="inlineStr">
        <is>
          <t>6 days</t>
        </is>
      </c>
      <c r="N27" s="20" t="inlineStr">
        <is>
          <t xml:space="preserve">         54K           102K             5K</t>
        </is>
      </c>
      <c r="O27" s="20" t="inlineStr">
        <is>
          <t>A9fLFNoev8jbob6Toy8K5hpG9Ls3xZ8rtHTAEikKpump</t>
        </is>
      </c>
      <c r="P27" s="20">
        <f>HYPERLINK("https://dexscreener.com/solana/A9fLFNoev8jbob6Toy8K5hpG9Ls3xZ8rtHTAEikKpump", "View")</f>
        <v/>
      </c>
    </row>
    <row r="28">
      <c r="A28" s="15" t="inlineStr">
        <is>
          <t>GITHUB</t>
        </is>
      </c>
      <c r="B28" s="16" t="n">
        <v>3634113</v>
      </c>
      <c r="C28" s="16" t="n">
        <v>3634113</v>
      </c>
      <c r="D28" s="16" t="inlineStr">
        <is>
          <t>0.024030</t>
        </is>
      </c>
      <c r="E28" s="16" t="inlineStr">
        <is>
          <t>4.000 SOL</t>
        </is>
      </c>
      <c r="F28" s="16" t="inlineStr">
        <is>
          <t>2.941 SOL</t>
        </is>
      </c>
      <c r="G28" s="21" t="inlineStr">
        <is>
          <t>-1.083 SOL</t>
        </is>
      </c>
      <c r="H28" s="21" t="inlineStr">
        <is>
          <t>-26.92%</t>
        </is>
      </c>
      <c r="I28" s="16" t="inlineStr">
        <is>
          <t>N/A</t>
        </is>
      </c>
      <c r="J28" s="16" t="n">
        <v>3</v>
      </c>
      <c r="K28" s="16" t="n">
        <v>4</v>
      </c>
      <c r="L28" s="16" t="inlineStr">
        <is>
          <t>21.10.2024 16:29:20</t>
        </is>
      </c>
      <c r="M28" s="16" t="inlineStr">
        <is>
          <t>3 days</t>
        </is>
      </c>
      <c r="N28" s="16" t="inlineStr">
        <is>
          <t xml:space="preserve">        183K           209K             3K</t>
        </is>
      </c>
      <c r="O28" s="16" t="inlineStr">
        <is>
          <t>ZWzv6k4AdMcTzM23xuV7AWgCHUtfYkjnSReB4kypump</t>
        </is>
      </c>
      <c r="P28" s="16">
        <f>HYPERLINK("https://dexscreener.com/solana/ZWzv6k4AdMcTzM23xuV7AWgCHUtfYkjnSReB4kypump", "View")</f>
        <v/>
      </c>
    </row>
    <row r="29">
      <c r="A29" s="19" t="inlineStr">
        <is>
          <t>pmarca</t>
        </is>
      </c>
      <c r="B29" s="20" t="n">
        <v>25049198</v>
      </c>
      <c r="C29" s="20" t="n">
        <v>25049198</v>
      </c>
      <c r="D29" s="20" t="inlineStr">
        <is>
          <t>0.010010</t>
        </is>
      </c>
      <c r="E29" s="20" t="inlineStr">
        <is>
          <t>3.542 SOL</t>
        </is>
      </c>
      <c r="F29" s="20" t="inlineStr">
        <is>
          <t>2.576 SOL</t>
        </is>
      </c>
      <c r="G29" s="21" t="inlineStr">
        <is>
          <t>-0.976 SOL</t>
        </is>
      </c>
      <c r="H29" s="21" t="inlineStr">
        <is>
          <t>-27.47%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19.10.2024 04:43:38</t>
        </is>
      </c>
      <c r="M29" s="20" t="inlineStr">
        <is>
          <t>1 min</t>
        </is>
      </c>
      <c r="N29" s="20" t="inlineStr">
        <is>
          <t xml:space="preserve">         25K            18K            34K</t>
        </is>
      </c>
      <c r="O29" s="20" t="inlineStr">
        <is>
          <t>ASYYqwd3opdXHmmK3KSDHrtB1gCmZzB8PA8QVbaB39Qx</t>
        </is>
      </c>
      <c r="P29" s="20">
        <f>HYPERLINK("https://photon-sol.tinyastro.io/en/lp/ASYYqwd3opdXHmmK3KSDHrtB1gCmZzB8PA8QVbaB39Qx?handle=676050794bc1b1657a56b", "View")</f>
        <v/>
      </c>
    </row>
    <row r="30">
      <c r="A30" s="15" t="inlineStr">
        <is>
          <t>BOX</t>
        </is>
      </c>
      <c r="B30" s="16" t="n">
        <v>471893261</v>
      </c>
      <c r="C30" s="16" t="n">
        <v>471893261</v>
      </c>
      <c r="D30" s="16" t="inlineStr">
        <is>
          <t>0.015040</t>
        </is>
      </c>
      <c r="E30" s="16" t="inlineStr">
        <is>
          <t>10.000 SOL</t>
        </is>
      </c>
      <c r="F30" s="16" t="inlineStr">
        <is>
          <t>10.550 SOL</t>
        </is>
      </c>
      <c r="G30" s="22" t="inlineStr">
        <is>
          <t>0.535 SOL</t>
        </is>
      </c>
      <c r="H30" s="22" t="inlineStr">
        <is>
          <t>5.34%</t>
        </is>
      </c>
      <c r="I30" s="16" t="inlineStr">
        <is>
          <t>N/A</t>
        </is>
      </c>
      <c r="J30" s="16" t="n">
        <v>4</v>
      </c>
      <c r="K30" s="16" t="n">
        <v>3</v>
      </c>
      <c r="L30" s="16" t="inlineStr">
        <is>
          <t>13.10.2024 23:08:26</t>
        </is>
      </c>
      <c r="M30" s="16" t="inlineStr">
        <is>
          <t>1 months</t>
        </is>
      </c>
      <c r="N30" s="16" t="inlineStr">
        <is>
          <t xml:space="preserve">        N/A           N/A           N/A</t>
        </is>
      </c>
      <c r="O30" s="16" t="inlineStr">
        <is>
          <t>7fmFTJW2hjKgfZVE1m7FXhwkRsBnfagpM8vdkbgbzEJt</t>
        </is>
      </c>
      <c r="P30" s="16">
        <f>HYPERLINK("https://dexscreener.com/solana/7fmFTJW2hjKgfZVE1m7FXhwkRsBnfagpM8vdkbgbzEJt", "View")</f>
        <v/>
      </c>
    </row>
    <row r="31">
      <c r="A31" s="19" t="inlineStr">
        <is>
          <t>GREENBULL</t>
        </is>
      </c>
      <c r="B31" s="20" t="n">
        <v>53126285</v>
      </c>
      <c r="C31" s="20" t="n">
        <v>53126285</v>
      </c>
      <c r="D31" s="20" t="inlineStr">
        <is>
          <t>0.015020</t>
        </is>
      </c>
      <c r="E31" s="20" t="inlineStr">
        <is>
          <t>2.044 SOL</t>
        </is>
      </c>
      <c r="F31" s="20" t="inlineStr">
        <is>
          <t>2.063 SOL</t>
        </is>
      </c>
      <c r="G31" s="22" t="inlineStr">
        <is>
          <t>0.004 SOL</t>
        </is>
      </c>
      <c r="H31" s="22" t="inlineStr">
        <is>
          <t>0.18%</t>
        </is>
      </c>
      <c r="I31" s="20" t="inlineStr">
        <is>
          <t>N/A</t>
        </is>
      </c>
      <c r="J31" s="20" t="n">
        <v>1</v>
      </c>
      <c r="K31" s="20" t="n">
        <v>2</v>
      </c>
      <c r="L31" s="20" t="inlineStr">
        <is>
          <t>11.10.2024 01:08:18</t>
        </is>
      </c>
      <c r="M31" s="20" t="inlineStr">
        <is>
          <t>11 min</t>
        </is>
      </c>
      <c r="N31" s="20" t="inlineStr">
        <is>
          <t xml:space="preserve">        N/A           N/A           N/A</t>
        </is>
      </c>
      <c r="O31" s="20" t="inlineStr">
        <is>
          <t>8N9ujrg4jiojiQCEXSgv1aKdgum6BDQGSZZRrD54pump</t>
        </is>
      </c>
      <c r="P31" s="20">
        <f>HYPERLINK("https://photon-sol.tinyastro.io/en/lp/8N9ujrg4jiojiQCEXSgv1aKdgum6BDQGSZZRrD54pump?handle=676050794bc1b1657a56b", "View")</f>
        <v/>
      </c>
    </row>
    <row r="32">
      <c r="A32" s="15" t="inlineStr">
        <is>
          <t>TRUMP</t>
        </is>
      </c>
      <c r="B32" s="16" t="n">
        <v>1153223</v>
      </c>
      <c r="C32" s="16" t="n">
        <v>1153223</v>
      </c>
      <c r="D32" s="16" t="inlineStr">
        <is>
          <t>0.012020</t>
        </is>
      </c>
      <c r="E32" s="16" t="inlineStr">
        <is>
          <t>5.000 SOL</t>
        </is>
      </c>
      <c r="F32" s="16" t="inlineStr">
        <is>
          <t>25.857 SOL</t>
        </is>
      </c>
      <c r="G32" s="23" t="inlineStr">
        <is>
          <t>20.845 SOL</t>
        </is>
      </c>
      <c r="H32" s="23" t="inlineStr">
        <is>
          <t>415.90%</t>
        </is>
      </c>
      <c r="I32" s="16" t="inlineStr">
        <is>
          <t>N/A</t>
        </is>
      </c>
      <c r="J32" s="16" t="n">
        <v>1</v>
      </c>
      <c r="K32" s="16" t="n">
        <v>3</v>
      </c>
      <c r="L32" s="16" t="inlineStr">
        <is>
          <t>03.10.2024 01:22:29</t>
        </is>
      </c>
      <c r="M32" s="16" t="inlineStr">
        <is>
          <t>8 hours</t>
        </is>
      </c>
      <c r="N32" s="16" t="inlineStr">
        <is>
          <t xml:space="preserve">        762K             4M            23K</t>
        </is>
      </c>
      <c r="O32" s="16" t="inlineStr">
        <is>
          <t>DiEmbqwpT6PNyXY5ArNubbjYvFqKo9DzVfYJcbVUpump</t>
        </is>
      </c>
      <c r="P32" s="16">
        <f>HYPERLINK("https://dexscreener.com/solana/DiEmbqwpT6PNyXY5ArNubbjYvFqKo9DzVfYJcbVUpump", "View")</f>
        <v/>
      </c>
    </row>
    <row r="33">
      <c r="A33" s="19" t="inlineStr">
        <is>
          <t>wendys</t>
        </is>
      </c>
      <c r="B33" s="20" t="n">
        <v>25521573</v>
      </c>
      <c r="C33" s="20" t="n">
        <v>25521573</v>
      </c>
      <c r="D33" s="20" t="inlineStr">
        <is>
          <t>0.011020</t>
        </is>
      </c>
      <c r="E33" s="20" t="inlineStr">
        <is>
          <t>2.203 SOL</t>
        </is>
      </c>
      <c r="F33" s="20" t="inlineStr">
        <is>
          <t>4.095 SOL</t>
        </is>
      </c>
      <c r="G33" s="23" t="inlineStr">
        <is>
          <t>1.881 SOL</t>
        </is>
      </c>
      <c r="H33" s="23" t="inlineStr">
        <is>
          <t>84.95%</t>
        </is>
      </c>
      <c r="I33" s="20" t="inlineStr">
        <is>
          <t>N/A</t>
        </is>
      </c>
      <c r="J33" s="20" t="n">
        <v>1</v>
      </c>
      <c r="K33" s="20" t="n">
        <v>2</v>
      </c>
      <c r="L33" s="20" t="inlineStr">
        <is>
          <t>02.10.2024 23:18:21</t>
        </is>
      </c>
      <c r="M33" s="20" t="inlineStr">
        <is>
          <t>14 min</t>
        </is>
      </c>
      <c r="N33" s="20" t="inlineStr">
        <is>
          <t xml:space="preserve">         15K            14K             3K</t>
        </is>
      </c>
      <c r="O33" s="20" t="inlineStr">
        <is>
          <t>HWPCKbKpwVbbaDKmXGY9wjGuy8jPmmoNghwWmSeppump</t>
        </is>
      </c>
      <c r="P33" s="20">
        <f>HYPERLINK("https://photon-sol.tinyastro.io/en/lp/HWPCKbKpwVbbaDKmXGY9wjGuy8jPmmoNghwWmSeppump?handle=676050794bc1b1657a56b", "View")</f>
        <v/>
      </c>
    </row>
    <row r="34">
      <c r="A34" s="15" t="inlineStr">
        <is>
          <t>MINI</t>
        </is>
      </c>
      <c r="B34" s="16" t="n">
        <v>1597518</v>
      </c>
      <c r="C34" s="16" t="n">
        <v>1597518</v>
      </c>
      <c r="D34" s="16" t="inlineStr">
        <is>
          <t>0.011020</t>
        </is>
      </c>
      <c r="E34" s="16" t="inlineStr">
        <is>
          <t>2.000 SOL</t>
        </is>
      </c>
      <c r="F34" s="16" t="inlineStr">
        <is>
          <t>3.195 SOL</t>
        </is>
      </c>
      <c r="G34" s="23" t="inlineStr">
        <is>
          <t>1.184 SOL</t>
        </is>
      </c>
      <c r="H34" s="23" t="inlineStr">
        <is>
          <t>58.90%</t>
        </is>
      </c>
      <c r="I34" s="16" t="inlineStr">
        <is>
          <t>N/A</t>
        </is>
      </c>
      <c r="J34" s="16" t="n">
        <v>2</v>
      </c>
      <c r="K34" s="16" t="n">
        <v>1</v>
      </c>
      <c r="L34" s="16" t="inlineStr">
        <is>
          <t>02.10.2024 20:59:23</t>
        </is>
      </c>
      <c r="M34" s="16" t="inlineStr">
        <is>
          <t>1 days</t>
        </is>
      </c>
      <c r="N34" s="16" t="inlineStr">
        <is>
          <t xml:space="preserve">        220K           351K            69K</t>
        </is>
      </c>
      <c r="O34" s="16" t="inlineStr">
        <is>
          <t>9nmu7zbf1kKNb52cAohAzyjD3yRdG8Pszw15Umsupump</t>
        </is>
      </c>
      <c r="P34" s="16">
        <f>HYPERLINK("https://dexscreener.com/solana/9nmu7zbf1kKNb52cAohAzyjD3yRdG8Pszw15Umsupump", "View")</f>
        <v/>
      </c>
    </row>
    <row r="35">
      <c r="A35" s="19" t="inlineStr">
        <is>
          <t>BOB</t>
        </is>
      </c>
      <c r="B35" s="20" t="n">
        <v>8873473</v>
      </c>
      <c r="C35" s="20" t="n">
        <v>8873473</v>
      </c>
      <c r="D35" s="20" t="inlineStr">
        <is>
          <t>0.006010</t>
        </is>
      </c>
      <c r="E35" s="20" t="inlineStr">
        <is>
          <t>1.026 SOL</t>
        </is>
      </c>
      <c r="F35" s="20" t="inlineStr">
        <is>
          <t>0.593 SOL</t>
        </is>
      </c>
      <c r="G35" s="21" t="inlineStr">
        <is>
          <t>-0.439 SOL</t>
        </is>
      </c>
      <c r="H35" s="21" t="inlineStr">
        <is>
          <t>-42.52%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02.10.2024 02:46:05</t>
        </is>
      </c>
      <c r="M35" s="20" t="inlineStr">
        <is>
          <t>2 hours</t>
        </is>
      </c>
      <c r="N35" s="20" t="inlineStr">
        <is>
          <t xml:space="preserve">         17K            10K             4K</t>
        </is>
      </c>
      <c r="O35" s="20" t="inlineStr">
        <is>
          <t>2ZrvRPSaenCu8tp972FxpJj4XHUv2DWK8eikhCtCpump</t>
        </is>
      </c>
      <c r="P35" s="20">
        <f>HYPERLINK("https://photon-sol.tinyastro.io/en/lp/2ZrvRPSaenCu8tp972FxpJj4XHUv2DWK8eikhCtCpump?handle=676050794bc1b1657a56b", "View")</f>
        <v/>
      </c>
    </row>
    <row r="36">
      <c r="A36" s="15" t="inlineStr">
        <is>
          <t>MBOTS</t>
        </is>
      </c>
      <c r="B36" s="16" t="n">
        <v>4883870</v>
      </c>
      <c r="C36" s="16" t="n">
        <v>4883870</v>
      </c>
      <c r="D36" s="16" t="inlineStr">
        <is>
          <t>0.010010</t>
        </is>
      </c>
      <c r="E36" s="16" t="inlineStr">
        <is>
          <t>3.000 SOL</t>
        </is>
      </c>
      <c r="F36" s="16" t="inlineStr">
        <is>
          <t>2.611 SOL</t>
        </is>
      </c>
      <c r="G36" s="21" t="inlineStr">
        <is>
          <t>-0.399 SOL</t>
        </is>
      </c>
      <c r="H36" s="21" t="inlineStr">
        <is>
          <t>-13.25%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18.09.2024 18:39:48</t>
        </is>
      </c>
      <c r="M36" s="16" t="inlineStr">
        <is>
          <t>1 hours</t>
        </is>
      </c>
      <c r="N36" s="16" t="inlineStr">
        <is>
          <t xml:space="preserve">        107K            93K             3K</t>
        </is>
      </c>
      <c r="O36" s="16" t="inlineStr">
        <is>
          <t>C4sh4pV5wv59HzrQzkqY6sLfym6S5w1BP5RepanKpump</t>
        </is>
      </c>
      <c r="P36" s="16">
        <f>HYPERLINK("https://dexscreener.com/solana/C4sh4pV5wv59HzrQzkqY6sLfym6S5w1BP5RepanKpump", "View")</f>
        <v/>
      </c>
    </row>
    <row r="37">
      <c r="A37" s="19" t="inlineStr">
        <is>
          <t>TWOOD</t>
        </is>
      </c>
      <c r="B37" s="20" t="n">
        <v>21545687</v>
      </c>
      <c r="C37" s="20" t="n">
        <v>21545687</v>
      </c>
      <c r="D37" s="20" t="inlineStr">
        <is>
          <t>0.030030</t>
        </is>
      </c>
      <c r="E37" s="20" t="inlineStr">
        <is>
          <t>10.000 SOL</t>
        </is>
      </c>
      <c r="F37" s="20" t="inlineStr">
        <is>
          <t>26.156 SOL</t>
        </is>
      </c>
      <c r="G37" s="23" t="inlineStr">
        <is>
          <t>16.126 SOL</t>
        </is>
      </c>
      <c r="H37" s="23" t="inlineStr">
        <is>
          <t>160.77%</t>
        </is>
      </c>
      <c r="I37" s="20" t="inlineStr">
        <is>
          <t>N/A</t>
        </is>
      </c>
      <c r="J37" s="20" t="n">
        <v>2</v>
      </c>
      <c r="K37" s="20" t="n">
        <v>4</v>
      </c>
      <c r="L37" s="20" t="inlineStr">
        <is>
          <t>17.09.2024 23:33:46</t>
        </is>
      </c>
      <c r="M37" s="20" t="inlineStr">
        <is>
          <t>8 min</t>
        </is>
      </c>
      <c r="N37" s="20" t="inlineStr">
        <is>
          <t xml:space="preserve">        105K           200K            26K</t>
        </is>
      </c>
      <c r="O37" s="20" t="inlineStr">
        <is>
          <t>3bqnPCJwaLJ167MsupS6ZAXjyLo36BbzqzZEYDAjpump</t>
        </is>
      </c>
      <c r="P37" s="20">
        <f>HYPERLINK("https://dexscreener.com/solana/3bqnPCJwaLJ167MsupS6ZAXjyLo36BbzqzZEYDAjpump", "View")</f>
        <v/>
      </c>
    </row>
    <row r="38">
      <c r="A38" s="15" t="inlineStr">
        <is>
          <t>DORAE</t>
        </is>
      </c>
      <c r="B38" s="16" t="n">
        <v>3757276</v>
      </c>
      <c r="C38" s="16" t="n">
        <v>3757276</v>
      </c>
      <c r="D38" s="16" t="inlineStr">
        <is>
          <t>0.020020</t>
        </is>
      </c>
      <c r="E38" s="16" t="inlineStr">
        <is>
          <t>10.000 SOL</t>
        </is>
      </c>
      <c r="F38" s="16" t="inlineStr">
        <is>
          <t>12.639 SOL</t>
        </is>
      </c>
      <c r="G38" s="22" t="inlineStr">
        <is>
          <t>2.619 SOL</t>
        </is>
      </c>
      <c r="H38" s="22" t="inlineStr">
        <is>
          <t>26.13%</t>
        </is>
      </c>
      <c r="I38" s="16" t="inlineStr">
        <is>
          <t>N/A</t>
        </is>
      </c>
      <c r="J38" s="16" t="n">
        <v>2</v>
      </c>
      <c r="K38" s="16" t="n">
        <v>2</v>
      </c>
      <c r="L38" s="16" t="inlineStr">
        <is>
          <t>17.09.2024 04:57:32</t>
        </is>
      </c>
      <c r="M38" s="16" t="inlineStr">
        <is>
          <t>36 min</t>
        </is>
      </c>
      <c r="N38" s="16" t="inlineStr">
        <is>
          <t xml:space="preserve">        390K           787K           237K</t>
        </is>
      </c>
      <c r="O38" s="16" t="inlineStr">
        <is>
          <t>F6s6hxSW6yWF4h5YBbW28JHLFEGXKYbEmungaTPtpump</t>
        </is>
      </c>
      <c r="P38" s="16">
        <f>HYPERLINK("https://dexscreener.com/solana/F6s6hxSW6yWF4h5YBbW28JHLFEGXKYbEmungaTPtpump", "View")</f>
        <v/>
      </c>
    </row>
    <row r="39">
      <c r="A39" s="19" t="inlineStr">
        <is>
          <t>STROKE</t>
        </is>
      </c>
      <c r="B39" s="20" t="n">
        <v>774502</v>
      </c>
      <c r="C39" s="20" t="n">
        <v>774502</v>
      </c>
      <c r="D39" s="20" t="inlineStr">
        <is>
          <t>0.010010</t>
        </is>
      </c>
      <c r="E39" s="20" t="inlineStr">
        <is>
          <t>3.000 SOL</t>
        </is>
      </c>
      <c r="F39" s="20" t="inlineStr">
        <is>
          <t>1.704 SOL</t>
        </is>
      </c>
      <c r="G39" s="21" t="inlineStr">
        <is>
          <t>-1.306 SOL</t>
        </is>
      </c>
      <c r="H39" s="21" t="inlineStr">
        <is>
          <t>-43.38%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13.09.2024 02:53:04</t>
        </is>
      </c>
      <c r="M39" s="20" t="inlineStr">
        <is>
          <t>44 min</t>
        </is>
      </c>
      <c r="N39" s="20" t="inlineStr">
        <is>
          <t xml:space="preserve">        147K            84K            16K</t>
        </is>
      </c>
      <c r="O39" s="20" t="inlineStr">
        <is>
          <t>2ouH1NSw4NSibkB61hbkAJGAHFrjQenCQ7UiytYgpump</t>
        </is>
      </c>
      <c r="P39" s="20">
        <f>HYPERLINK("https://dexscreener.com/solana/2ouH1NSw4NSibkB61hbkAJGAHFrjQenCQ7UiytYgpump", "View")</f>
        <v/>
      </c>
    </row>
    <row r="40">
      <c r="A40" s="15" t="inlineStr">
        <is>
          <t>Brain</t>
        </is>
      </c>
      <c r="B40" s="16" t="n">
        <v>125832716</v>
      </c>
      <c r="C40" s="16" t="n">
        <v>125832716</v>
      </c>
      <c r="D40" s="16" t="inlineStr">
        <is>
          <t>0.007010</t>
        </is>
      </c>
      <c r="E40" s="16" t="inlineStr">
        <is>
          <t>4.078 SOL</t>
        </is>
      </c>
      <c r="F40" s="16" t="inlineStr">
        <is>
          <t>3.962 SOL</t>
        </is>
      </c>
      <c r="G40" s="21" t="inlineStr">
        <is>
          <t>-0.123 SOL</t>
        </is>
      </c>
      <c r="H40" s="21" t="inlineStr">
        <is>
          <t>-3.01%</t>
        </is>
      </c>
      <c r="I40" s="16" t="inlineStr">
        <is>
          <t>N/A</t>
        </is>
      </c>
      <c r="J40" s="16" t="n">
        <v>2</v>
      </c>
      <c r="K40" s="16" t="n">
        <v>1</v>
      </c>
      <c r="L40" s="16" t="inlineStr">
        <is>
          <t>26.08.2024 01:04:24</t>
        </is>
      </c>
      <c r="M40" s="18" t="inlineStr">
        <is>
          <t>12 sec</t>
        </is>
      </c>
      <c r="N40" s="16" t="inlineStr">
        <is>
          <t xml:space="preserve">        N/A           N/A           N/A</t>
        </is>
      </c>
      <c r="O40" s="16" t="inlineStr">
        <is>
          <t>AoHue3zreWSYa1sesc5G5ybPUPPuQ8fwar285YqBpfb</t>
        </is>
      </c>
      <c r="P40" s="16">
        <f>HYPERLINK("https://photon-sol.tinyastro.io/en/lp/AoHue3zreWSYa1sesc5G5ybPUPPuQ8fwar285YqBpfb?handle=676050794bc1b1657a56b", "View")</f>
        <v/>
      </c>
    </row>
    <row r="41">
      <c r="A41" s="19" t="inlineStr">
        <is>
          <t>LEGENDSHIT</t>
        </is>
      </c>
      <c r="B41" s="20" t="n">
        <v>6466565</v>
      </c>
      <c r="C41" s="20" t="n">
        <v>6466565</v>
      </c>
      <c r="D41" s="20" t="inlineStr">
        <is>
          <t>0.010010</t>
        </is>
      </c>
      <c r="E41" s="20" t="inlineStr">
        <is>
          <t>3.000 SOL</t>
        </is>
      </c>
      <c r="F41" s="20" t="inlineStr">
        <is>
          <t>4.902 SOL</t>
        </is>
      </c>
      <c r="G41" s="23" t="inlineStr">
        <is>
          <t>1.892 SOL</t>
        </is>
      </c>
      <c r="H41" s="23" t="inlineStr">
        <is>
          <t>62.84%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24.08.2024 02:59:39</t>
        </is>
      </c>
      <c r="M41" s="20" t="inlineStr">
        <is>
          <t>2 hours</t>
        </is>
      </c>
      <c r="N41" s="20" t="inlineStr">
        <is>
          <t xml:space="preserve">         81K           133K             4K</t>
        </is>
      </c>
      <c r="O41" s="20" t="inlineStr">
        <is>
          <t>EegkvKZdDZ26YKV47Lt7P99ETUUmVemse58ii49kpump</t>
        </is>
      </c>
      <c r="P41" s="20">
        <f>HYPERLINK("https://dexscreener.com/solana/EegkvKZdDZ26YKV47Lt7P99ETUUmVemse58ii49kpump", "View")</f>
        <v/>
      </c>
    </row>
    <row r="42">
      <c r="A42" s="15" t="inlineStr">
        <is>
          <t>TEDDY</t>
        </is>
      </c>
      <c r="B42" s="16" t="n">
        <v>37177683</v>
      </c>
      <c r="C42" s="16" t="n">
        <v>37177683</v>
      </c>
      <c r="D42" s="16" t="inlineStr">
        <is>
          <t>0.015020</t>
        </is>
      </c>
      <c r="E42" s="16" t="inlineStr">
        <is>
          <t>2.974 SOL</t>
        </is>
      </c>
      <c r="F42" s="16" t="inlineStr">
        <is>
          <t>3.465 SOL</t>
        </is>
      </c>
      <c r="G42" s="22" t="inlineStr">
        <is>
          <t>0.476 SOL</t>
        </is>
      </c>
      <c r="H42" s="22" t="inlineStr">
        <is>
          <t>15.94%</t>
        </is>
      </c>
      <c r="I42" s="16" t="inlineStr">
        <is>
          <t>N/A</t>
        </is>
      </c>
      <c r="J42" s="16" t="n">
        <v>1</v>
      </c>
      <c r="K42" s="16" t="n">
        <v>2</v>
      </c>
      <c r="L42" s="16" t="inlineStr">
        <is>
          <t>21.08.2024 21:54:53</t>
        </is>
      </c>
      <c r="M42" s="16" t="inlineStr">
        <is>
          <t>19 min</t>
        </is>
      </c>
      <c r="N42" s="16" t="inlineStr">
        <is>
          <t xml:space="preserve">        N/A           N/A           N/A</t>
        </is>
      </c>
      <c r="O42" s="16" t="inlineStr">
        <is>
          <t>62upGSaBmUSoCkZTwKt2DmmQZQHmfcv5H6r3iEEXpump</t>
        </is>
      </c>
      <c r="P42" s="16">
        <f>HYPERLINK("https://photon-sol.tinyastro.io/en/lp/62upGSaBmUSoCkZTwKt2DmmQZQHmfcv5H6r3iEEXpump?handle=676050794bc1b1657a56b", "View")</f>
        <v/>
      </c>
    </row>
    <row r="43">
      <c r="A43" s="19" t="inlineStr">
        <is>
          <t>TEDDY</t>
        </is>
      </c>
      <c r="B43" s="20" t="n">
        <v>56954654</v>
      </c>
      <c r="C43" s="20" t="n">
        <v>56954654</v>
      </c>
      <c r="D43" s="20" t="inlineStr">
        <is>
          <t>0.015020</t>
        </is>
      </c>
      <c r="E43" s="20" t="inlineStr">
        <is>
          <t>3.797 SOL</t>
        </is>
      </c>
      <c r="F43" s="20" t="inlineStr">
        <is>
          <t>2.951 SOL</t>
        </is>
      </c>
      <c r="G43" s="21" t="inlineStr">
        <is>
          <t>-0.861 SOL</t>
        </is>
      </c>
      <c r="H43" s="21" t="inlineStr">
        <is>
          <t>-22.60%</t>
        </is>
      </c>
      <c r="I43" s="20" t="inlineStr">
        <is>
          <t>N/A</t>
        </is>
      </c>
      <c r="J43" s="20" t="n">
        <v>1</v>
      </c>
      <c r="K43" s="20" t="n">
        <v>2</v>
      </c>
      <c r="L43" s="20" t="inlineStr">
        <is>
          <t>21.08.2024 21:22:22</t>
        </is>
      </c>
      <c r="M43" s="20" t="inlineStr">
        <is>
          <t>7 min</t>
        </is>
      </c>
      <c r="N43" s="20" t="inlineStr">
        <is>
          <t xml:space="preserve">        N/A           N/A           N/A</t>
        </is>
      </c>
      <c r="O43" s="20" t="inlineStr">
        <is>
          <t>BzCKFDQPqctdCuWb3dhmGCWdV4nRDENtPLwfRwBQpump</t>
        </is>
      </c>
      <c r="P43" s="20">
        <f>HYPERLINK("https://photon-sol.tinyastro.io/en/lp/BzCKFDQPqctdCuWb3dhmGCWdV4nRDENtPLwfRwBQpump?handle=676050794bc1b1657a56b", "View")</f>
        <v/>
      </c>
    </row>
    <row r="44">
      <c r="A44" s="15" t="inlineStr">
        <is>
          <t>DIGGY</t>
        </is>
      </c>
      <c r="B44" s="16" t="n">
        <v>3621202</v>
      </c>
      <c r="C44" s="16" t="n">
        <v>3621202</v>
      </c>
      <c r="D44" s="16" t="inlineStr">
        <is>
          <t>0.010010</t>
        </is>
      </c>
      <c r="E44" s="16" t="inlineStr">
        <is>
          <t>5.000 SOL</t>
        </is>
      </c>
      <c r="F44" s="16" t="inlineStr">
        <is>
          <t>5.270 SOL</t>
        </is>
      </c>
      <c r="G44" s="22" t="inlineStr">
        <is>
          <t>0.260 SOL</t>
        </is>
      </c>
      <c r="H44" s="22" t="inlineStr">
        <is>
          <t>5.19%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19.08.2024 16:53:33</t>
        </is>
      </c>
      <c r="M44" s="16" t="inlineStr">
        <is>
          <t>1 min</t>
        </is>
      </c>
      <c r="N44" s="16" t="inlineStr">
        <is>
          <t xml:space="preserve">        184K           195K            12K</t>
        </is>
      </c>
      <c r="O44" s="16" t="inlineStr">
        <is>
          <t>7Hq4rpDPLqTrxuey4vpqZ8tCQJZBUAZ1NBpxNiafpump</t>
        </is>
      </c>
      <c r="P44" s="16">
        <f>HYPERLINK("https://dexscreener.com/solana/7Hq4rpDPLqTrxuey4vpqZ8tCQJZBUAZ1NBpxNiafpump", "View")</f>
        <v/>
      </c>
    </row>
    <row r="45">
      <c r="A45" s="19" t="inlineStr">
        <is>
          <t>0/o</t>
        </is>
      </c>
      <c r="B45" s="20" t="n">
        <v>5933660</v>
      </c>
      <c r="C45" s="20" t="n">
        <v>5933660</v>
      </c>
      <c r="D45" s="20" t="inlineStr">
        <is>
          <t>0.010010</t>
        </is>
      </c>
      <c r="E45" s="20" t="inlineStr">
        <is>
          <t>5.000 SOL</t>
        </is>
      </c>
      <c r="F45" s="20" t="inlineStr">
        <is>
          <t>5.316 SOL</t>
        </is>
      </c>
      <c r="G45" s="22" t="inlineStr">
        <is>
          <t>0.306 SOL</t>
        </is>
      </c>
      <c r="H45" s="22" t="inlineStr">
        <is>
          <t>6.10%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19.08.2024 16:47:47</t>
        </is>
      </c>
      <c r="M45" s="20" t="inlineStr">
        <is>
          <t>3 min</t>
        </is>
      </c>
      <c r="N45" s="20" t="inlineStr">
        <is>
          <t xml:space="preserve">        148K           158K             4K</t>
        </is>
      </c>
      <c r="O45" s="20" t="inlineStr">
        <is>
          <t>yDZeqyuVUMbNDmKLzJDWpaa6tgRqKcMwT44fp1Ppump</t>
        </is>
      </c>
      <c r="P45" s="20">
        <f>HYPERLINK("https://dexscreener.com/solana/yDZeqyuVUMbNDmKLzJDWpaa6tgRqKcMwT44fp1Ppump", "View")</f>
        <v/>
      </c>
    </row>
    <row r="46">
      <c r="A46" s="15" t="inlineStr">
        <is>
          <t>BOOTY</t>
        </is>
      </c>
      <c r="B46" s="16" t="n">
        <v>153048285</v>
      </c>
      <c r="C46" s="16" t="n">
        <v>153048285</v>
      </c>
      <c r="D46" s="16" t="inlineStr">
        <is>
          <t>0.010010</t>
        </is>
      </c>
      <c r="E46" s="16" t="inlineStr">
        <is>
          <t>5.098 SOL</t>
        </is>
      </c>
      <c r="F46" s="16" t="inlineStr">
        <is>
          <t>4.987 SOL</t>
        </is>
      </c>
      <c r="G46" s="21" t="inlineStr">
        <is>
          <t>-0.121 SOL</t>
        </is>
      </c>
      <c r="H46" s="21" t="inlineStr">
        <is>
          <t>-2.37%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19.08.2024 03:20:26</t>
        </is>
      </c>
      <c r="M46" s="18" t="inlineStr">
        <is>
          <t>12 sec</t>
        </is>
      </c>
      <c r="N46" s="16" t="inlineStr">
        <is>
          <t xml:space="preserve">        N/A           N/A           N/A</t>
        </is>
      </c>
      <c r="O46" s="16" t="inlineStr">
        <is>
          <t>CcpyZ9DY3JgxB9kiXxFFCosaARPJVcdNwJy4tiRNBM5j</t>
        </is>
      </c>
      <c r="P46" s="16">
        <f>HYPERLINK("https://photon-sol.tinyastro.io/en/lp/CcpyZ9DY3JgxB9kiXxFFCosaARPJVcdNwJy4tiRNBM5j?handle=676050794bc1b1657a56b", "View")</f>
        <v/>
      </c>
    </row>
    <row r="47">
      <c r="A47" s="19" t="inlineStr">
        <is>
          <t>hear</t>
        </is>
      </c>
      <c r="B47" s="20" t="n">
        <v>153048285</v>
      </c>
      <c r="C47" s="20" t="n">
        <v>153048285</v>
      </c>
      <c r="D47" s="20" t="inlineStr">
        <is>
          <t>0.010010</t>
        </is>
      </c>
      <c r="E47" s="20" t="inlineStr">
        <is>
          <t>5.098 SOL</t>
        </is>
      </c>
      <c r="F47" s="20" t="inlineStr">
        <is>
          <t>4.986 SOL</t>
        </is>
      </c>
      <c r="G47" s="21" t="inlineStr">
        <is>
          <t>-0.122 SOL</t>
        </is>
      </c>
      <c r="H47" s="21" t="inlineStr">
        <is>
          <t>-2.39%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19.08.2024 03:14:46</t>
        </is>
      </c>
      <c r="M47" s="18" t="inlineStr">
        <is>
          <t>7 sec</t>
        </is>
      </c>
      <c r="N47" s="20" t="inlineStr">
        <is>
          <t xml:space="preserve">        N/A           N/A           N/A</t>
        </is>
      </c>
      <c r="O47" s="20" t="inlineStr">
        <is>
          <t>6DdJ4Dvj1MQtcKfhnxBfAAEWvBGnGTqW1sCZuanFpump</t>
        </is>
      </c>
      <c r="P47" s="20">
        <f>HYPERLINK("https://photon-sol.tinyastro.io/en/lp/6DdJ4Dvj1MQtcKfhnxBfAAEWvBGnGTqW1sCZuanFpump?handle=676050794bc1b1657a56b", "View")</f>
        <v/>
      </c>
    </row>
    <row r="48">
      <c r="A48" s="15" t="inlineStr">
        <is>
          <t>GROK2</t>
        </is>
      </c>
      <c r="B48" s="16" t="n">
        <v>1306271</v>
      </c>
      <c r="C48" s="16" t="n">
        <v>1306271</v>
      </c>
      <c r="D48" s="16" t="inlineStr">
        <is>
          <t>0.015010</t>
        </is>
      </c>
      <c r="E48" s="16" t="inlineStr">
        <is>
          <t>10.000 SOL</t>
        </is>
      </c>
      <c r="F48" s="16" t="inlineStr">
        <is>
          <t>9.040 SOL</t>
        </is>
      </c>
      <c r="G48" s="21" t="inlineStr">
        <is>
          <t>-0.975 SOL</t>
        </is>
      </c>
      <c r="H48" s="21" t="inlineStr">
        <is>
          <t>-9.73%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17.08.2024 16:20:43</t>
        </is>
      </c>
      <c r="M48" s="16" t="inlineStr">
        <is>
          <t>4 days</t>
        </is>
      </c>
      <c r="N48" s="16" t="inlineStr">
        <is>
          <t xml:space="preserve">          1M             1M             3K</t>
        </is>
      </c>
      <c r="O48" s="16" t="inlineStr">
        <is>
          <t>B9KvAyNJAcHncy6MYZeLfUQ38EyeLThffyUYf3fWpump</t>
        </is>
      </c>
      <c r="P48" s="16">
        <f>HYPERLINK("https://dexscreener.com/solana/B9KvAyNJAcHncy6MYZeLfUQ38EyeLThffyUYf3fWpump", "View")</f>
        <v/>
      </c>
    </row>
    <row r="49">
      <c r="A49" s="19" t="inlineStr">
        <is>
          <t>HEDZ</t>
        </is>
      </c>
      <c r="B49" s="20" t="n">
        <v>153154308</v>
      </c>
      <c r="C49" s="20" t="n">
        <v>153154308</v>
      </c>
      <c r="D49" s="20" t="inlineStr">
        <is>
          <t>0.010010</t>
        </is>
      </c>
      <c r="E49" s="20" t="inlineStr">
        <is>
          <t>5.098 SOL</t>
        </is>
      </c>
      <c r="F49" s="20" t="inlineStr">
        <is>
          <t>4.994 SOL</t>
        </is>
      </c>
      <c r="G49" s="21" t="inlineStr">
        <is>
          <t>-0.114 SOL</t>
        </is>
      </c>
      <c r="H49" s="21" t="inlineStr">
        <is>
          <t>-2.23%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17.08.2024 01:13:00</t>
        </is>
      </c>
      <c r="M49" s="18" t="inlineStr">
        <is>
          <t>22 sec</t>
        </is>
      </c>
      <c r="N49" s="20" t="inlineStr">
        <is>
          <t xml:space="preserve">        N/A           N/A           N/A</t>
        </is>
      </c>
      <c r="O49" s="20" t="inlineStr">
        <is>
          <t>Gn5k2D64f4ENHkVWyYSDW32ovSc6ya9dWzj5D4gsGGYD</t>
        </is>
      </c>
      <c r="P49" s="20">
        <f>HYPERLINK("https://photon-sol.tinyastro.io/en/lp/Gn5k2D64f4ENHkVWyYSDW32ovSc6ya9dWzj5D4gsGGYD?handle=676050794bc1b1657a56b", "View")</f>
        <v/>
      </c>
    </row>
    <row r="50">
      <c r="A50" s="15" t="inlineStr">
        <is>
          <t>SOLDIER</t>
        </is>
      </c>
      <c r="B50" s="16" t="n">
        <v>153127799</v>
      </c>
      <c r="C50" s="16" t="n">
        <v>153127799</v>
      </c>
      <c r="D50" s="16" t="inlineStr">
        <is>
          <t>0.010010</t>
        </is>
      </c>
      <c r="E50" s="16" t="inlineStr">
        <is>
          <t>5.098 SOL</t>
        </is>
      </c>
      <c r="F50" s="16" t="inlineStr">
        <is>
          <t>4.990 SOL</t>
        </is>
      </c>
      <c r="G50" s="21" t="inlineStr">
        <is>
          <t>-0.118 SOL</t>
        </is>
      </c>
      <c r="H50" s="21" t="inlineStr">
        <is>
          <t>-2.30%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17.08.2024 01:11:21</t>
        </is>
      </c>
      <c r="M50" s="18" t="inlineStr">
        <is>
          <t>10 sec</t>
        </is>
      </c>
      <c r="N50" s="16" t="inlineStr">
        <is>
          <t xml:space="preserve">        N/A           N/A           N/A</t>
        </is>
      </c>
      <c r="O50" s="16" t="inlineStr">
        <is>
          <t>rbJqPVxsaypFbTqF9tR1RKVVYBQY5R8mwoaHXEMpump</t>
        </is>
      </c>
      <c r="P50" s="16">
        <f>HYPERLINK("https://photon-sol.tinyastro.io/en/lp/rbJqPVxsaypFbTqF9tR1RKVVYBQY5R8mwoaHXEMpump?handle=676050794bc1b1657a56b", "View")</f>
        <v/>
      </c>
    </row>
    <row r="51">
      <c r="A51" s="19" t="inlineStr">
        <is>
          <t>Klewi</t>
        </is>
      </c>
      <c r="B51" s="20" t="n">
        <v>7605753</v>
      </c>
      <c r="C51" s="20" t="n">
        <v>7605753</v>
      </c>
      <c r="D51" s="20" t="inlineStr">
        <is>
          <t>0.010010</t>
        </is>
      </c>
      <c r="E51" s="20" t="inlineStr">
        <is>
          <t>3.000 SOL</t>
        </is>
      </c>
      <c r="F51" s="20" t="inlineStr">
        <is>
          <t>3.611 SOL</t>
        </is>
      </c>
      <c r="G51" s="22" t="inlineStr">
        <is>
          <t>0.601 SOL</t>
        </is>
      </c>
      <c r="H51" s="22" t="inlineStr">
        <is>
          <t>19.96%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16.08.2024 23:05:22</t>
        </is>
      </c>
      <c r="M51" s="20" t="inlineStr">
        <is>
          <t>2 min</t>
        </is>
      </c>
      <c r="N51" s="20" t="inlineStr">
        <is>
          <t xml:space="preserve">         68K            83K             3K</t>
        </is>
      </c>
      <c r="O51" s="20" t="inlineStr">
        <is>
          <t>GSDRJFZvBxvyPbuT4yjrPZc8yKhSDVLq86jfyhtZpump</t>
        </is>
      </c>
      <c r="P51" s="20">
        <f>HYPERLINK("https://dexscreener.com/solana/GSDRJFZvBxvyPbuT4yjrPZc8yKhSDVLq86jfyhtZpump", "View")</f>
        <v/>
      </c>
    </row>
    <row r="52">
      <c r="A52" s="15" t="inlineStr">
        <is>
          <t>RCAT</t>
        </is>
      </c>
      <c r="B52" s="16" t="n">
        <v>5643159</v>
      </c>
      <c r="C52" s="16" t="n">
        <v>5643159</v>
      </c>
      <c r="D52" s="16" t="inlineStr">
        <is>
          <t>0.045050</t>
        </is>
      </c>
      <c r="E52" s="16" t="inlineStr">
        <is>
          <t>6.000 SOL</t>
        </is>
      </c>
      <c r="F52" s="16" t="inlineStr">
        <is>
          <t>54.611 SOL</t>
        </is>
      </c>
      <c r="G52" s="23" t="inlineStr">
        <is>
          <t>48.566 SOL</t>
        </is>
      </c>
      <c r="H52" s="23" t="inlineStr">
        <is>
          <t>803.40%</t>
        </is>
      </c>
      <c r="I52" s="16" t="inlineStr">
        <is>
          <t>N/A</t>
        </is>
      </c>
      <c r="J52" s="16" t="n">
        <v>2</v>
      </c>
      <c r="K52" s="16" t="n">
        <v>7</v>
      </c>
      <c r="L52" s="16" t="inlineStr">
        <is>
          <t>16.08.2024 03:24:50</t>
        </is>
      </c>
      <c r="M52" s="16" t="inlineStr">
        <is>
          <t>9 hours</t>
        </is>
      </c>
      <c r="N52" s="16" t="inlineStr">
        <is>
          <t xml:space="preserve">        116K             1M            11K</t>
        </is>
      </c>
      <c r="O52" s="16" t="inlineStr">
        <is>
          <t>CNppMUF3ELZcUePUBERy98CFiG4qYe9nqEmwQiG9pump</t>
        </is>
      </c>
      <c r="P52" s="16">
        <f>HYPERLINK("https://dexscreener.com/solana/CNppMUF3ELZcUePUBERy98CFiG4qYe9nqEmwQiG9pump", "View")</f>
        <v/>
      </c>
    </row>
    <row r="53">
      <c r="A53" s="19" t="inlineStr">
        <is>
          <t>BUUNKE</t>
        </is>
      </c>
      <c r="B53" s="20" t="n">
        <v>187577882</v>
      </c>
      <c r="C53" s="20" t="n">
        <v>187577882</v>
      </c>
      <c r="D53" s="20" t="inlineStr">
        <is>
          <t>0.020020</t>
        </is>
      </c>
      <c r="E53" s="20" t="inlineStr">
        <is>
          <t>6.122 SOL</t>
        </is>
      </c>
      <c r="F53" s="20" t="inlineStr">
        <is>
          <t>6.296 SOL</t>
        </is>
      </c>
      <c r="G53" s="22" t="inlineStr">
        <is>
          <t>0.154 SOL</t>
        </is>
      </c>
      <c r="H53" s="22" t="inlineStr">
        <is>
          <t>2.50%</t>
        </is>
      </c>
      <c r="I53" s="20" t="inlineStr">
        <is>
          <t>N/A</t>
        </is>
      </c>
      <c r="J53" s="20" t="n">
        <v>2</v>
      </c>
      <c r="K53" s="20" t="n">
        <v>2</v>
      </c>
      <c r="L53" s="20" t="inlineStr">
        <is>
          <t>16.08.2024 00:11:19</t>
        </is>
      </c>
      <c r="M53" s="20" t="inlineStr">
        <is>
          <t>1 min</t>
        </is>
      </c>
      <c r="N53" s="20" t="inlineStr">
        <is>
          <t xml:space="preserve">        N/A           N/A           N/A</t>
        </is>
      </c>
      <c r="O53" s="20" t="inlineStr">
        <is>
          <t>Cgw9vcGQWRsF4F2NoAyvP2Cbf6qsfMQrudVSXNjypump</t>
        </is>
      </c>
      <c r="P53" s="20">
        <f>HYPERLINK("https://photon-sol.tinyastro.io/en/lp/Cgw9vcGQWRsF4F2NoAyvP2Cbf6qsfMQrudVSXNjypump?handle=676050794bc1b1657a56b", "View")</f>
        <v/>
      </c>
    </row>
    <row r="54">
      <c r="A54" s="15" t="inlineStr">
        <is>
          <t>SORRY</t>
        </is>
      </c>
      <c r="B54" s="16" t="n">
        <v>268673952</v>
      </c>
      <c r="C54" s="16" t="n">
        <v>268673952</v>
      </c>
      <c r="D54" s="16" t="inlineStr">
        <is>
          <t>0.035030</t>
        </is>
      </c>
      <c r="E54" s="16" t="inlineStr">
        <is>
          <t>3.000 SOL</t>
        </is>
      </c>
      <c r="F54" s="16" t="inlineStr">
        <is>
          <t>30.903 SOL</t>
        </is>
      </c>
      <c r="G54" s="23" t="inlineStr">
        <is>
          <t>27.868 SOL</t>
        </is>
      </c>
      <c r="H54" s="23" t="inlineStr">
        <is>
          <t>918.21%</t>
        </is>
      </c>
      <c r="I54" s="16" t="inlineStr">
        <is>
          <t>N/A</t>
        </is>
      </c>
      <c r="J54" s="16" t="n">
        <v>2</v>
      </c>
      <c r="K54" s="16" t="n">
        <v>5</v>
      </c>
      <c r="L54" s="16" t="inlineStr">
        <is>
          <t>15.08.2024 23:54:33</t>
        </is>
      </c>
      <c r="M54" s="16" t="inlineStr">
        <is>
          <t>15 min</t>
        </is>
      </c>
      <c r="N54" s="16" t="inlineStr">
        <is>
          <t xml:space="preserve">        N/A           N/A           N/A</t>
        </is>
      </c>
      <c r="O54" s="16" t="inlineStr">
        <is>
          <t>sorRYSemb3ZcL6zQDTe2ZGiXgwLC64SWBSDeGT7DoLe</t>
        </is>
      </c>
      <c r="P54" s="16">
        <f>HYPERLINK("https://dexscreener.com/solana/sorRYSemb3ZcL6zQDTe2ZGiXgwLC64SWBSDeGT7DoLe", "View")</f>
        <v/>
      </c>
    </row>
    <row r="55">
      <c r="A55" s="19" t="inlineStr">
        <is>
          <t>WIZ</t>
        </is>
      </c>
      <c r="B55" s="20" t="n">
        <v>3150648</v>
      </c>
      <c r="C55" s="20" t="n">
        <v>3150648</v>
      </c>
      <c r="D55" s="20" t="inlineStr">
        <is>
          <t>0.010010</t>
        </is>
      </c>
      <c r="E55" s="20" t="inlineStr">
        <is>
          <t>2.000 SOL</t>
        </is>
      </c>
      <c r="F55" s="20" t="inlineStr">
        <is>
          <t>4.107 SOL</t>
        </is>
      </c>
      <c r="G55" s="23" t="inlineStr">
        <is>
          <t>2.097 SOL</t>
        </is>
      </c>
      <c r="H55" s="23" t="inlineStr">
        <is>
          <t>104.33%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15.08.2024 23:45:29</t>
        </is>
      </c>
      <c r="M55" s="20" t="inlineStr">
        <is>
          <t>1 hours</t>
        </is>
      </c>
      <c r="N55" s="20" t="inlineStr">
        <is>
          <t xml:space="preserve">        100K           206K             4K</t>
        </is>
      </c>
      <c r="O55" s="20" t="inlineStr">
        <is>
          <t>4TsoXZdMY9gezrrmByy8JPc4at59KbcQdU8dL3d9pump</t>
        </is>
      </c>
      <c r="P55" s="20">
        <f>HYPERLINK("https://dexscreener.com/solana/4TsoXZdMY9gezrrmByy8JPc4at59KbcQdU8dL3d9pump", "View")</f>
        <v/>
      </c>
    </row>
    <row r="56">
      <c r="A56" s="15" t="inlineStr">
        <is>
          <t>APES</t>
        </is>
      </c>
      <c r="B56" s="16" t="n">
        <v>29809020</v>
      </c>
      <c r="C56" s="16" t="n">
        <v>29809020</v>
      </c>
      <c r="D56" s="16" t="inlineStr">
        <is>
          <t>0.080080</t>
        </is>
      </c>
      <c r="E56" s="16" t="inlineStr">
        <is>
          <t>23.000 SOL</t>
        </is>
      </c>
      <c r="F56" s="16" t="inlineStr">
        <is>
          <t>46.284 SOL</t>
        </is>
      </c>
      <c r="G56" s="23" t="inlineStr">
        <is>
          <t>23.204 SOL</t>
        </is>
      </c>
      <c r="H56" s="23" t="inlineStr">
        <is>
          <t>100.54%</t>
        </is>
      </c>
      <c r="I56" s="16" t="inlineStr">
        <is>
          <t>N/A</t>
        </is>
      </c>
      <c r="J56" s="16" t="n">
        <v>9</v>
      </c>
      <c r="K56" s="16" t="n">
        <v>6</v>
      </c>
      <c r="L56" s="16" t="inlineStr">
        <is>
          <t>15.08.2024 23:03:11</t>
        </is>
      </c>
      <c r="M56" s="16" t="inlineStr">
        <is>
          <t>6 hours</t>
        </is>
      </c>
      <c r="N56" s="16" t="inlineStr">
        <is>
          <t xml:space="preserve">        110K             2M           359K</t>
        </is>
      </c>
      <c r="O56" s="16" t="inlineStr">
        <is>
          <t>984GBL7PhceChtN64NWLdBb49rSQXX7ozpdkEbR1pump</t>
        </is>
      </c>
      <c r="P56" s="16">
        <f>HYPERLINK("https://dexscreener.com/solana/984GBL7PhceChtN64NWLdBb49rSQXX7ozpdkEbR1pump", "View")</f>
        <v/>
      </c>
    </row>
    <row r="57">
      <c r="A57" s="19" t="inlineStr">
        <is>
          <t>DOWN</t>
        </is>
      </c>
      <c r="B57" s="20" t="n">
        <v>49317707</v>
      </c>
      <c r="C57" s="20" t="n">
        <v>49317707</v>
      </c>
      <c r="D57" s="20" t="inlineStr">
        <is>
          <t>0.020020</t>
        </is>
      </c>
      <c r="E57" s="20" t="inlineStr">
        <is>
          <t>6.168 SOL</t>
        </is>
      </c>
      <c r="F57" s="20" t="inlineStr">
        <is>
          <t>8.798 SOL</t>
        </is>
      </c>
      <c r="G57" s="22" t="inlineStr">
        <is>
          <t>2.611 SOL</t>
        </is>
      </c>
      <c r="H57" s="22" t="inlineStr">
        <is>
          <t>42.19%</t>
        </is>
      </c>
      <c r="I57" s="20" t="inlineStr">
        <is>
          <t>N/A</t>
        </is>
      </c>
      <c r="J57" s="20" t="n">
        <v>2</v>
      </c>
      <c r="K57" s="20" t="n">
        <v>2</v>
      </c>
      <c r="L57" s="20" t="inlineStr">
        <is>
          <t>15.08.2024 22:40:14</t>
        </is>
      </c>
      <c r="M57" s="20" t="inlineStr">
        <is>
          <t>8 min</t>
        </is>
      </c>
      <c r="N57" s="20" t="inlineStr">
        <is>
          <t xml:space="preserve">        N/A           N/A           N/A</t>
        </is>
      </c>
      <c r="O57" s="20" t="inlineStr">
        <is>
          <t>WTu7a2UnmKoTHBoxyxxZw5XTcCqmpsTBEe2PRFmpump</t>
        </is>
      </c>
      <c r="P57" s="20">
        <f>HYPERLINK("https://photon-sol.tinyastro.io/en/lp/WTu7a2UnmKoTHBoxyxxZw5XTcCqmpsTBEe2PRFmpump?handle=676050794bc1b1657a56b", "View")</f>
        <v/>
      </c>
    </row>
    <row r="58">
      <c r="A58" s="15" t="inlineStr">
        <is>
          <t>C11</t>
        </is>
      </c>
      <c r="B58" s="16" t="n">
        <v>308874390</v>
      </c>
      <c r="C58" s="16" t="n">
        <v>308874390</v>
      </c>
      <c r="D58" s="16" t="inlineStr">
        <is>
          <t>0.060040</t>
        </is>
      </c>
      <c r="E58" s="16" t="inlineStr">
        <is>
          <t>12.242 SOL</t>
        </is>
      </c>
      <c r="F58" s="16" t="inlineStr">
        <is>
          <t>13.630 SOL</t>
        </is>
      </c>
      <c r="G58" s="22" t="inlineStr">
        <is>
          <t>1.328 SOL</t>
        </is>
      </c>
      <c r="H58" s="22" t="inlineStr">
        <is>
          <t>10.79%</t>
        </is>
      </c>
      <c r="I58" s="16" t="inlineStr">
        <is>
          <t>N/A</t>
        </is>
      </c>
      <c r="J58" s="16" t="n">
        <v>4</v>
      </c>
      <c r="K58" s="16" t="n">
        <v>4</v>
      </c>
      <c r="L58" s="16" t="inlineStr">
        <is>
          <t>15.08.2024 02:34:38</t>
        </is>
      </c>
      <c r="M58" s="16" t="inlineStr">
        <is>
          <t>1 min</t>
        </is>
      </c>
      <c r="N58" s="16" t="inlineStr">
        <is>
          <t xml:space="preserve">        N/A           N/A           N/A</t>
        </is>
      </c>
      <c r="O58" s="16" t="inlineStr">
        <is>
          <t>Ao6eqNWGQKo7LjU5QHzAvKGEiYiPiDDEPQy9uazEpump</t>
        </is>
      </c>
      <c r="P58" s="16">
        <f>HYPERLINK("https://photon-sol.tinyastro.io/en/lp/Ao6eqNWGQKo7LjU5QHzAvKGEiYiPiDDEPQy9uazEpump?handle=676050794bc1b1657a56b", "View")</f>
        <v/>
      </c>
    </row>
    <row r="59">
      <c r="A59" s="19" t="inlineStr">
        <is>
          <t>sNERIO</t>
        </is>
      </c>
      <c r="B59" s="20" t="n">
        <v>3931421</v>
      </c>
      <c r="C59" s="20" t="n">
        <v>3931421</v>
      </c>
      <c r="D59" s="20" t="inlineStr">
        <is>
          <t>0.020010</t>
        </is>
      </c>
      <c r="E59" s="20" t="inlineStr">
        <is>
          <t>5.000 SOL</t>
        </is>
      </c>
      <c r="F59" s="20" t="inlineStr">
        <is>
          <t>5.660 SOL</t>
        </is>
      </c>
      <c r="G59" s="22" t="inlineStr">
        <is>
          <t>0.640 SOL</t>
        </is>
      </c>
      <c r="H59" s="22" t="inlineStr">
        <is>
          <t>12.74%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14.08.2024 18:39:27</t>
        </is>
      </c>
      <c r="M59" s="20" t="inlineStr">
        <is>
          <t>5 min</t>
        </is>
      </c>
      <c r="N59" s="20" t="inlineStr">
        <is>
          <t xml:space="preserve">        223K           253K             4K</t>
        </is>
      </c>
      <c r="O59" s="20" t="inlineStr">
        <is>
          <t>54aqoBf9AAffnABHdw2tbcka8ocJPTzMFfbkoHxBpump</t>
        </is>
      </c>
      <c r="P59" s="20">
        <f>HYPERLINK("https://dexscreener.com/solana/54aqoBf9AAffnABHdw2tbcka8ocJPTzMFfbkoHxBpump", "View")</f>
        <v/>
      </c>
    </row>
    <row r="60">
      <c r="A60" s="15" t="inlineStr">
        <is>
          <t>DDOG</t>
        </is>
      </c>
      <c r="B60" s="16" t="n">
        <v>5923067</v>
      </c>
      <c r="C60" s="16" t="n">
        <v>5923067</v>
      </c>
      <c r="D60" s="16" t="inlineStr">
        <is>
          <t>0.020010</t>
        </is>
      </c>
      <c r="E60" s="16" t="inlineStr">
        <is>
          <t>5.000 SOL</t>
        </is>
      </c>
      <c r="F60" s="16" t="inlineStr">
        <is>
          <t>9.963 SOL</t>
        </is>
      </c>
      <c r="G60" s="23" t="inlineStr">
        <is>
          <t>4.943 SOL</t>
        </is>
      </c>
      <c r="H60" s="23" t="inlineStr">
        <is>
          <t>98.46%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14.08.2024 17:57:45</t>
        </is>
      </c>
      <c r="M60" s="16" t="inlineStr">
        <is>
          <t>41 min</t>
        </is>
      </c>
      <c r="N60" s="16" t="inlineStr">
        <is>
          <t xml:space="preserve">        148K           295K            55K</t>
        </is>
      </c>
      <c r="O60" s="16" t="inlineStr">
        <is>
          <t>9FYG8mWYcm2Vsu25FpKNshce65U2HHqTz9yPN38865wB</t>
        </is>
      </c>
      <c r="P60" s="16">
        <f>HYPERLINK("https://dexscreener.com/solana/9FYG8mWYcm2Vsu25FpKNshce65U2HHqTz9yPN38865wB", "View")</f>
        <v/>
      </c>
    </row>
    <row r="61">
      <c r="A61" s="19" t="inlineStr">
        <is>
          <t>ORACLE</t>
        </is>
      </c>
      <c r="B61" s="20" t="n">
        <v>5428367</v>
      </c>
      <c r="C61" s="20" t="n">
        <v>5428367</v>
      </c>
      <c r="D61" s="20" t="inlineStr">
        <is>
          <t>0.030020</t>
        </is>
      </c>
      <c r="E61" s="20" t="inlineStr">
        <is>
          <t>4.800 SOL</t>
        </is>
      </c>
      <c r="F61" s="20" t="inlineStr">
        <is>
          <t>6.561 SOL</t>
        </is>
      </c>
      <c r="G61" s="22" t="inlineStr">
        <is>
          <t>1.731 SOL</t>
        </is>
      </c>
      <c r="H61" s="22" t="inlineStr">
        <is>
          <t>35.85%</t>
        </is>
      </c>
      <c r="I61" s="20" t="inlineStr">
        <is>
          <t>N/A</t>
        </is>
      </c>
      <c r="J61" s="20" t="n">
        <v>1</v>
      </c>
      <c r="K61" s="20" t="n">
        <v>2</v>
      </c>
      <c r="L61" s="20" t="inlineStr">
        <is>
          <t>14.08.2024 16:13:49</t>
        </is>
      </c>
      <c r="M61" s="20" t="inlineStr">
        <is>
          <t>8 min</t>
        </is>
      </c>
      <c r="N61" s="20" t="inlineStr">
        <is>
          <t xml:space="preserve">        154K           205K             4K</t>
        </is>
      </c>
      <c r="O61" s="20" t="inlineStr">
        <is>
          <t>CkP15sABWWhhy9YTcoxL5KNxJuzgtAbbDJ5wcwy2pump</t>
        </is>
      </c>
      <c r="P61" s="20">
        <f>HYPERLINK("https://dexscreener.com/solana/CkP15sABWWhhy9YTcoxL5KNxJuzgtAbbDJ5wcwy2pump", "View")</f>
        <v/>
      </c>
    </row>
    <row r="62">
      <c r="A62" s="15" t="inlineStr">
        <is>
          <t>The Groke</t>
        </is>
      </c>
      <c r="B62" s="16" t="n">
        <v>22945109</v>
      </c>
      <c r="C62" s="16" t="n">
        <v>22945109</v>
      </c>
      <c r="D62" s="16" t="inlineStr">
        <is>
          <t>0.040020</t>
        </is>
      </c>
      <c r="E62" s="16" t="inlineStr">
        <is>
          <t>10.000 SOL</t>
        </is>
      </c>
      <c r="F62" s="16" t="inlineStr">
        <is>
          <t>9.783 SOL</t>
        </is>
      </c>
      <c r="G62" s="21" t="inlineStr">
        <is>
          <t>-0.257 SOL</t>
        </is>
      </c>
      <c r="H62" s="21" t="inlineStr">
        <is>
          <t>-2.56%</t>
        </is>
      </c>
      <c r="I62" s="16" t="inlineStr">
        <is>
          <t>N/A</t>
        </is>
      </c>
      <c r="J62" s="16" t="n">
        <v>2</v>
      </c>
      <c r="K62" s="16" t="n">
        <v>2</v>
      </c>
      <c r="L62" s="16" t="inlineStr">
        <is>
          <t>14.08.2024 03:58:41</t>
        </is>
      </c>
      <c r="M62" s="16" t="inlineStr">
        <is>
          <t>1 hours</t>
        </is>
      </c>
      <c r="N62" s="16" t="inlineStr">
        <is>
          <t xml:space="preserve">         81K            68K             4K</t>
        </is>
      </c>
      <c r="O62" s="16" t="inlineStr">
        <is>
          <t>2Yb2dahzug2rq7MXmNyB5hXWKD7sYh9ZnffnjPEmpump</t>
        </is>
      </c>
      <c r="P62" s="16">
        <f>HYPERLINK("https://dexscreener.com/solana/2Yb2dahzug2rq7MXmNyB5hXWKD7sYh9ZnffnjPEmpump", "View")</f>
        <v/>
      </c>
    </row>
    <row r="63">
      <c r="A63" s="19" t="inlineStr">
        <is>
          <t>KHABY</t>
        </is>
      </c>
      <c r="B63" s="20" t="n">
        <v>6298017</v>
      </c>
      <c r="C63" s="20" t="n">
        <v>6298017</v>
      </c>
      <c r="D63" s="20" t="inlineStr">
        <is>
          <t>0.020010</t>
        </is>
      </c>
      <c r="E63" s="20" t="inlineStr">
        <is>
          <t>5.000 SOL</t>
        </is>
      </c>
      <c r="F63" s="20" t="inlineStr">
        <is>
          <t>1.693 SOL</t>
        </is>
      </c>
      <c r="G63" s="24" t="inlineStr">
        <is>
          <t>-3.327 SOL</t>
        </is>
      </c>
      <c r="H63" s="24" t="inlineStr">
        <is>
          <t>-66.28%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13.08.2024 21:23:05</t>
        </is>
      </c>
      <c r="M63" s="20" t="inlineStr">
        <is>
          <t>3 min</t>
        </is>
      </c>
      <c r="N63" s="20" t="inlineStr">
        <is>
          <t xml:space="preserve">        139K            47K             3K</t>
        </is>
      </c>
      <c r="O63" s="20" t="inlineStr">
        <is>
          <t>JCt8dveuV3CSLaKoa4Fdhmm92AUH7shSWS9VHh3wGsro</t>
        </is>
      </c>
      <c r="P63" s="20">
        <f>HYPERLINK("https://dexscreener.com/solana/JCt8dveuV3CSLaKoa4Fdhmm92AUH7shSWS9VHh3wGsro", "View")</f>
        <v/>
      </c>
    </row>
    <row r="64">
      <c r="A64" s="15" t="inlineStr">
        <is>
          <t>DSPACE</t>
        </is>
      </c>
      <c r="B64" s="16" t="n">
        <v>6054052</v>
      </c>
      <c r="C64" s="16" t="n">
        <v>6054052</v>
      </c>
      <c r="D64" s="16" t="inlineStr">
        <is>
          <t>0.020010</t>
        </is>
      </c>
      <c r="E64" s="16" t="inlineStr">
        <is>
          <t>5.000 SOL</t>
        </is>
      </c>
      <c r="F64" s="16" t="inlineStr">
        <is>
          <t>4.650 SOL</t>
        </is>
      </c>
      <c r="G64" s="21" t="inlineStr">
        <is>
          <t>-0.370 SOL</t>
        </is>
      </c>
      <c r="H64" s="21" t="inlineStr">
        <is>
          <t>-7.38%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12.08.2024 23:42:57</t>
        </is>
      </c>
      <c r="M64" s="16" t="inlineStr">
        <is>
          <t>1 min</t>
        </is>
      </c>
      <c r="N64" s="16" t="inlineStr">
        <is>
          <t xml:space="preserve">        146K           135K             4K</t>
        </is>
      </c>
      <c r="O64" s="16" t="inlineStr">
        <is>
          <t>6q18Fx5NdFG5VVXiFGdq5sqynWqp6UNhEsDVuog9pump</t>
        </is>
      </c>
      <c r="P64" s="16">
        <f>HYPERLINK("https://dexscreener.com/solana/6q18Fx5NdFG5VVXiFGdq5sqynWqp6UNhEsDVuog9pump", "View")</f>
        <v/>
      </c>
    </row>
    <row r="65">
      <c r="A65" s="19" t="inlineStr">
        <is>
          <t>WWNF</t>
        </is>
      </c>
      <c r="B65" s="20" t="n">
        <v>8647886</v>
      </c>
      <c r="C65" s="20" t="n">
        <v>8647886</v>
      </c>
      <c r="D65" s="20" t="inlineStr">
        <is>
          <t>0.020010</t>
        </is>
      </c>
      <c r="E65" s="20" t="inlineStr">
        <is>
          <t>5.000 SOL</t>
        </is>
      </c>
      <c r="F65" s="20" t="inlineStr">
        <is>
          <t>5.506 SOL</t>
        </is>
      </c>
      <c r="G65" s="22" t="inlineStr">
        <is>
          <t>0.486 SOL</t>
        </is>
      </c>
      <c r="H65" s="22" t="inlineStr">
        <is>
          <t>9.67%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12.08.2024 16:10:02</t>
        </is>
      </c>
      <c r="M65" s="20" t="inlineStr">
        <is>
          <t>3 min</t>
        </is>
      </c>
      <c r="N65" s="20" t="inlineStr">
        <is>
          <t xml:space="preserve">        102K           112K             3K</t>
        </is>
      </c>
      <c r="O65" s="20" t="inlineStr">
        <is>
          <t>qv5juG3ZTcfJqgkkCf78TSb4U5cF2XX6Hzm6g3qpump</t>
        </is>
      </c>
      <c r="P65" s="20">
        <f>HYPERLINK("https://dexscreener.com/solana/qv5juG3ZTcfJqgkkCf78TSb4U5cF2XX6Hzm6g3qpump", "View")</f>
        <v/>
      </c>
    </row>
    <row r="66">
      <c r="A66" s="15" t="inlineStr">
        <is>
          <t>TRENCH</t>
        </is>
      </c>
      <c r="B66" s="16" t="n">
        <v>8471117</v>
      </c>
      <c r="C66" s="16" t="n">
        <v>8471117</v>
      </c>
      <c r="D66" s="16" t="inlineStr">
        <is>
          <t>0.020010</t>
        </is>
      </c>
      <c r="E66" s="16" t="inlineStr">
        <is>
          <t>5.000 SOL</t>
        </is>
      </c>
      <c r="F66" s="16" t="inlineStr">
        <is>
          <t>5.843 SOL</t>
        </is>
      </c>
      <c r="G66" s="22" t="inlineStr">
        <is>
          <t>0.823 SOL</t>
        </is>
      </c>
      <c r="H66" s="22" t="inlineStr">
        <is>
          <t>16.39%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10.08.2024 19:31:27</t>
        </is>
      </c>
      <c r="M66" s="16" t="inlineStr">
        <is>
          <t>2 min</t>
        </is>
      </c>
      <c r="N66" s="16" t="inlineStr">
        <is>
          <t xml:space="preserve">         80K            93K             5K</t>
        </is>
      </c>
      <c r="O66" s="16" t="inlineStr">
        <is>
          <t>2YU5XYuMDQCwvtTrJ6DsJyN2J86fNn7XSAhuVLnDpump</t>
        </is>
      </c>
      <c r="P66" s="16">
        <f>HYPERLINK("https://dexscreener.com/solana/2YU5XYuMDQCwvtTrJ6DsJyN2J86fNn7XSAhuVLnDpump", "View")</f>
        <v/>
      </c>
    </row>
    <row r="67">
      <c r="A67" s="19" t="inlineStr">
        <is>
          <t>EMO</t>
        </is>
      </c>
      <c r="B67" s="20" t="n">
        <v>11043717</v>
      </c>
      <c r="C67" s="20" t="n">
        <v>11043717</v>
      </c>
      <c r="D67" s="20" t="inlineStr">
        <is>
          <t>0.020010</t>
        </is>
      </c>
      <c r="E67" s="20" t="inlineStr">
        <is>
          <t>3.000 SOL</t>
        </is>
      </c>
      <c r="F67" s="20" t="inlineStr">
        <is>
          <t>2.931 SOL</t>
        </is>
      </c>
      <c r="G67" s="21" t="inlineStr">
        <is>
          <t>-0.089 SOL</t>
        </is>
      </c>
      <c r="H67" s="21" t="inlineStr">
        <is>
          <t>-2.95%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10.08.2024 17:31:02</t>
        </is>
      </c>
      <c r="M67" s="20" t="inlineStr">
        <is>
          <t>8 min</t>
        </is>
      </c>
      <c r="N67" s="20" t="inlineStr">
        <is>
          <t xml:space="preserve">         47K            47K             4K</t>
        </is>
      </c>
      <c r="O67" s="20" t="inlineStr">
        <is>
          <t>7sbGmK7Q7dQThwtmcWSdfa55pubkgiDxShyLVTrEpump</t>
        </is>
      </c>
      <c r="P67" s="20">
        <f>HYPERLINK("https://dexscreener.com/solana/7sbGmK7Q7dQThwtmcWSdfa55pubkgiDxShyLVTrEpump", "View")</f>
        <v/>
      </c>
    </row>
    <row r="68">
      <c r="A68" s="15" t="inlineStr">
        <is>
          <t>HARLEM</t>
        </is>
      </c>
      <c r="B68" s="16" t="n">
        <v>11936487</v>
      </c>
      <c r="C68" s="16" t="n">
        <v>11936487</v>
      </c>
      <c r="D68" s="16" t="inlineStr">
        <is>
          <t>0.011010</t>
        </is>
      </c>
      <c r="E68" s="16" t="inlineStr">
        <is>
          <t>10.000 SOL</t>
        </is>
      </c>
      <c r="F68" s="16" t="inlineStr">
        <is>
          <t>10.525 SOL</t>
        </is>
      </c>
      <c r="G68" s="22" t="inlineStr">
        <is>
          <t>0.514 SOL</t>
        </is>
      </c>
      <c r="H68" s="22" t="inlineStr">
        <is>
          <t>5.14%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10.08.2024 06:29:04</t>
        </is>
      </c>
      <c r="M68" s="16" t="inlineStr">
        <is>
          <t>46 min</t>
        </is>
      </c>
      <c r="N68" s="16" t="inlineStr">
        <is>
          <t xml:space="preserve">        148K           155K             4K</t>
        </is>
      </c>
      <c r="O68" s="16" t="inlineStr">
        <is>
          <t>4B1Jc1mzd5TzhDABZhyX2853u7MnyKFYdvTq8xRwpump</t>
        </is>
      </c>
      <c r="P68" s="16">
        <f>HYPERLINK("https://dexscreener.com/solana/4B1Jc1mzd5TzhDABZhyX2853u7MnyKFYdvTq8xRwpump", "View")</f>
        <v/>
      </c>
    </row>
    <row r="69">
      <c r="A69" s="19" t="inlineStr">
        <is>
          <t>RAPTOR</t>
        </is>
      </c>
      <c r="B69" s="20" t="n">
        <v>2685445</v>
      </c>
      <c r="C69" s="20" t="n">
        <v>2685445</v>
      </c>
      <c r="D69" s="20" t="inlineStr">
        <is>
          <t>0.030020</t>
        </is>
      </c>
      <c r="E69" s="20" t="inlineStr">
        <is>
          <t>5.000 SOL</t>
        </is>
      </c>
      <c r="F69" s="20" t="inlineStr">
        <is>
          <t>8.955 SOL</t>
        </is>
      </c>
      <c r="G69" s="23" t="inlineStr">
        <is>
          <t>3.925 SOL</t>
        </is>
      </c>
      <c r="H69" s="23" t="inlineStr">
        <is>
          <t>78.04%</t>
        </is>
      </c>
      <c r="I69" s="20" t="inlineStr">
        <is>
          <t>N/A</t>
        </is>
      </c>
      <c r="J69" s="20" t="n">
        <v>1</v>
      </c>
      <c r="K69" s="20" t="n">
        <v>2</v>
      </c>
      <c r="L69" s="20" t="inlineStr">
        <is>
          <t>10.08.2024 05:09:34</t>
        </is>
      </c>
      <c r="M69" s="20" t="inlineStr">
        <is>
          <t>6 min</t>
        </is>
      </c>
      <c r="N69" s="20" t="inlineStr">
        <is>
          <t xml:space="preserve">        309K           457K             5K</t>
        </is>
      </c>
      <c r="O69" s="20" t="inlineStr">
        <is>
          <t>C4cvPTNKBN2Fb1a1hDGUjCSViHPxZvLiVW4wAsc5pump</t>
        </is>
      </c>
      <c r="P69" s="20">
        <f>HYPERLINK("https://dexscreener.com/solana/C4cvPTNKBN2Fb1a1hDGUjCSViHPxZvLiVW4wAsc5pump", "View")</f>
        <v/>
      </c>
    </row>
    <row r="70">
      <c r="A70" s="15" t="inlineStr">
        <is>
          <t>RTD</t>
        </is>
      </c>
      <c r="B70" s="16" t="n">
        <v>9353882</v>
      </c>
      <c r="C70" s="16" t="n">
        <v>9353882</v>
      </c>
      <c r="D70" s="16" t="inlineStr">
        <is>
          <t>0.030020</t>
        </is>
      </c>
      <c r="E70" s="16" t="inlineStr">
        <is>
          <t>9.500 SOL</t>
        </is>
      </c>
      <c r="F70" s="16" t="inlineStr">
        <is>
          <t>14.206 SOL</t>
        </is>
      </c>
      <c r="G70" s="22" t="inlineStr">
        <is>
          <t>4.676 SOL</t>
        </is>
      </c>
      <c r="H70" s="22" t="inlineStr">
        <is>
          <t>49.06%</t>
        </is>
      </c>
      <c r="I70" s="16" t="inlineStr">
        <is>
          <t>N/A</t>
        </is>
      </c>
      <c r="J70" s="16" t="n">
        <v>2</v>
      </c>
      <c r="K70" s="16" t="n">
        <v>1</v>
      </c>
      <c r="L70" s="16" t="inlineStr">
        <is>
          <t>09.08.2024 02:38:19</t>
        </is>
      </c>
      <c r="M70" s="16" t="inlineStr">
        <is>
          <t>6 hours</t>
        </is>
      </c>
      <c r="N70" s="16" t="inlineStr">
        <is>
          <t xml:space="preserve">        115K           159K             7K</t>
        </is>
      </c>
      <c r="O70" s="16" t="inlineStr">
        <is>
          <t>7nfYbzGDCFumVAKK8PqoBbgSNvXGzuGPdd8Mm8Fpump</t>
        </is>
      </c>
      <c r="P70" s="16">
        <f>HYPERLINK("https://dexscreener.com/solana/7nfYbzGDCFumVAKK8PqoBbgSNvXGzuGPdd8Mm8Fpump", "View")</f>
        <v/>
      </c>
    </row>
    <row r="71">
      <c r="A71" s="19" t="inlineStr">
        <is>
          <t>dogman</t>
        </is>
      </c>
      <c r="B71" s="20" t="n">
        <v>2789277</v>
      </c>
      <c r="C71" s="20" t="n">
        <v>2789277</v>
      </c>
      <c r="D71" s="20" t="inlineStr">
        <is>
          <t>0.020010</t>
        </is>
      </c>
      <c r="E71" s="20" t="inlineStr">
        <is>
          <t>3.000 SOL</t>
        </is>
      </c>
      <c r="F71" s="20" t="inlineStr">
        <is>
          <t>0.151 SOL</t>
        </is>
      </c>
      <c r="G71" s="24" t="inlineStr">
        <is>
          <t>-2.869 SOL</t>
        </is>
      </c>
      <c r="H71" s="24" t="inlineStr">
        <is>
          <t>-95.00%</t>
        </is>
      </c>
      <c r="I71" s="20" t="inlineStr">
        <is>
          <t>N/A</t>
        </is>
      </c>
      <c r="J71" s="20" t="n">
        <v>1</v>
      </c>
      <c r="K71" s="20" t="n">
        <v>1</v>
      </c>
      <c r="L71" s="20" t="inlineStr">
        <is>
          <t>08.08.2024 07:40:11</t>
        </is>
      </c>
      <c r="M71" s="20" t="inlineStr">
        <is>
          <t>28 min</t>
        </is>
      </c>
      <c r="N71" s="20" t="inlineStr">
        <is>
          <t xml:space="preserve">        139K             6K             5K</t>
        </is>
      </c>
      <c r="O71" s="20" t="inlineStr">
        <is>
          <t>BNjM3GFeuayFsEZxbSG9NujrpgSTwqDEcXeSjwBipump</t>
        </is>
      </c>
      <c r="P71" s="20">
        <f>HYPERLINK("https://dexscreener.com/solana/BNjM3GFeuayFsEZxbSG9NujrpgSTwqDEcXeSjwBipump", "View")</f>
        <v/>
      </c>
    </row>
    <row r="72">
      <c r="A72" s="15" t="inlineStr">
        <is>
          <t>COIN</t>
        </is>
      </c>
      <c r="B72" s="16" t="n">
        <v>60309196</v>
      </c>
      <c r="C72" s="16" t="n">
        <v>60309196</v>
      </c>
      <c r="D72" s="16" t="inlineStr">
        <is>
          <t>0.072040</t>
        </is>
      </c>
      <c r="E72" s="16" t="inlineStr">
        <is>
          <t>11.142 SOL</t>
        </is>
      </c>
      <c r="F72" s="16" t="inlineStr">
        <is>
          <t>10.633 SOL</t>
        </is>
      </c>
      <c r="G72" s="21" t="inlineStr">
        <is>
          <t>-0.581 SOL</t>
        </is>
      </c>
      <c r="H72" s="21" t="inlineStr">
        <is>
          <t>-5.18%</t>
        </is>
      </c>
      <c r="I72" s="16" t="inlineStr">
        <is>
          <t>N/A</t>
        </is>
      </c>
      <c r="J72" s="16" t="n">
        <v>2</v>
      </c>
      <c r="K72" s="16" t="n">
        <v>5</v>
      </c>
      <c r="L72" s="16" t="inlineStr">
        <is>
          <t>08.08.2024 04:53:45</t>
        </is>
      </c>
      <c r="M72" s="16" t="inlineStr">
        <is>
          <t>23 min</t>
        </is>
      </c>
      <c r="N72" s="16" t="inlineStr">
        <is>
          <t xml:space="preserve">         30K            32K             3K</t>
        </is>
      </c>
      <c r="O72" s="16" t="inlineStr">
        <is>
          <t>864Xwde8FddYiGb5iGfFsn9MKyNS7JjKfQrSFRcKpump</t>
        </is>
      </c>
      <c r="P72" s="16">
        <f>HYPERLINK("https://photon-sol.tinyastro.io/en/lp/864Xwde8FddYiGb5iGfFsn9MKyNS7JjKfQrSFRcKpump?handle=676050794bc1b1657a56b", "View")</f>
        <v/>
      </c>
    </row>
    <row r="73">
      <c r="A73" s="19" t="inlineStr">
        <is>
          <t>TWC</t>
        </is>
      </c>
      <c r="B73" s="20" t="n">
        <v>430852</v>
      </c>
      <c r="C73" s="20" t="n">
        <v>430852</v>
      </c>
      <c r="D73" s="20" t="inlineStr">
        <is>
          <t>0.020010</t>
        </is>
      </c>
      <c r="E73" s="20" t="inlineStr">
        <is>
          <t>10.000 SOL</t>
        </is>
      </c>
      <c r="F73" s="20" t="inlineStr">
        <is>
          <t>1.808 SOL</t>
        </is>
      </c>
      <c r="G73" s="24" t="inlineStr">
        <is>
          <t>-8.212 SOL</t>
        </is>
      </c>
      <c r="H73" s="24" t="inlineStr">
        <is>
          <t>-81.95%</t>
        </is>
      </c>
      <c r="I73" s="20" t="inlineStr">
        <is>
          <t>N/A</t>
        </is>
      </c>
      <c r="J73" s="20" t="n">
        <v>1</v>
      </c>
      <c r="K73" s="20" t="n">
        <v>1</v>
      </c>
      <c r="L73" s="20" t="inlineStr">
        <is>
          <t>08.08.2024 02:02:09</t>
        </is>
      </c>
      <c r="M73" s="20" t="inlineStr">
        <is>
          <t>5 min</t>
        </is>
      </c>
      <c r="N73" s="20" t="inlineStr">
        <is>
          <t xml:space="preserve">          4M           736K             7K</t>
        </is>
      </c>
      <c r="O73" s="20" t="inlineStr">
        <is>
          <t>C7fdVopJF1e8TjCbuNMBDLhnW5dcG6mhqvfwCxCvpump</t>
        </is>
      </c>
      <c r="P73" s="20">
        <f>HYPERLINK("https://dexscreener.com/solana/C7fdVopJF1e8TjCbuNMBDLhnW5dcG6mhqvfwCxCvpump", "View")</f>
        <v/>
      </c>
    </row>
    <row r="74">
      <c r="A74" s="15" t="inlineStr">
        <is>
          <t>BANANADOG</t>
        </is>
      </c>
      <c r="B74" s="16" t="n">
        <v>72321556</v>
      </c>
      <c r="C74" s="16" t="n">
        <v>72321556</v>
      </c>
      <c r="D74" s="16" t="inlineStr">
        <is>
          <t>0.020060</t>
        </is>
      </c>
      <c r="E74" s="16" t="inlineStr">
        <is>
          <t>16.596 SOL</t>
        </is>
      </c>
      <c r="F74" s="16" t="inlineStr">
        <is>
          <t>6.261 SOL</t>
        </is>
      </c>
      <c r="G74" s="24" t="inlineStr">
        <is>
          <t>-10.354 SOL</t>
        </is>
      </c>
      <c r="H74" s="24" t="inlineStr">
        <is>
          <t>-62.32%</t>
        </is>
      </c>
      <c r="I74" s="16" t="inlineStr">
        <is>
          <t>N/A</t>
        </is>
      </c>
      <c r="J74" s="16" t="n">
        <v>1</v>
      </c>
      <c r="K74" s="16" t="n">
        <v>2</v>
      </c>
      <c r="L74" s="16" t="inlineStr">
        <is>
          <t>07.08.2024 22:15:29</t>
        </is>
      </c>
      <c r="M74" s="16" t="inlineStr">
        <is>
          <t>3 min</t>
        </is>
      </c>
      <c r="N74" s="16" t="inlineStr">
        <is>
          <t xml:space="preserve">         40K            12K             3K</t>
        </is>
      </c>
      <c r="O74" s="16" t="inlineStr">
        <is>
          <t>FMyaP1BTiknJa5q3yjARX2XGpu1fdNwaHZ6nV1bvmjx9</t>
        </is>
      </c>
      <c r="P74" s="16">
        <f>HYPERLINK("https://photon-sol.tinyastro.io/en/lp/FMyaP1BTiknJa5q3yjARX2XGpu1fdNwaHZ6nV1bvmjx9?handle=676050794bc1b1657a56b", "View")</f>
        <v/>
      </c>
    </row>
    <row r="75">
      <c r="A75" s="19" t="inlineStr">
        <is>
          <t xml:space="preserve">WALZ </t>
        </is>
      </c>
      <c r="B75" s="20" t="n">
        <v>5739790</v>
      </c>
      <c r="C75" s="20" t="n">
        <v>5739790</v>
      </c>
      <c r="D75" s="20" t="inlineStr">
        <is>
          <t>0.025010</t>
        </is>
      </c>
      <c r="E75" s="20" t="inlineStr">
        <is>
          <t>5.000 SOL</t>
        </is>
      </c>
      <c r="F75" s="20" t="inlineStr">
        <is>
          <t>19.756 SOL</t>
        </is>
      </c>
      <c r="G75" s="23" t="inlineStr">
        <is>
          <t>14.731 SOL</t>
        </is>
      </c>
      <c r="H75" s="23" t="inlineStr">
        <is>
          <t>293.16%</t>
        </is>
      </c>
      <c r="I75" s="20" t="inlineStr">
        <is>
          <t>N/A</t>
        </is>
      </c>
      <c r="J75" s="20" t="n">
        <v>1</v>
      </c>
      <c r="K75" s="20" t="n">
        <v>2</v>
      </c>
      <c r="L75" s="20" t="inlineStr">
        <is>
          <t>07.08.2024 06:47:15</t>
        </is>
      </c>
      <c r="M75" s="20" t="inlineStr">
        <is>
          <t>6 hours</t>
        </is>
      </c>
      <c r="N75" s="20" t="inlineStr">
        <is>
          <t xml:space="preserve">        118K           450K            16K</t>
        </is>
      </c>
      <c r="O75" s="20" t="inlineStr">
        <is>
          <t>4HT1b2ysGXdyD5vxemDKq25G2sj3xeh2SvE6XMhNpump</t>
        </is>
      </c>
      <c r="P75" s="20">
        <f>HYPERLINK("https://dexscreener.com/solana/4HT1b2ysGXdyD5vxemDKq25G2sj3xeh2SvE6XMhNpump", "View")</f>
        <v/>
      </c>
    </row>
    <row r="76">
      <c r="A76" s="15" t="inlineStr">
        <is>
          <t>Kek</t>
        </is>
      </c>
      <c r="B76" s="16" t="n">
        <v>6651493</v>
      </c>
      <c r="C76" s="16" t="n">
        <v>6651493</v>
      </c>
      <c r="D76" s="16" t="inlineStr">
        <is>
          <t>0.065030</t>
        </is>
      </c>
      <c r="E76" s="16" t="inlineStr">
        <is>
          <t>5.863 SOL</t>
        </is>
      </c>
      <c r="F76" s="16" t="inlineStr">
        <is>
          <t>31.533 SOL</t>
        </is>
      </c>
      <c r="G76" s="23" t="inlineStr">
        <is>
          <t>25.605 SOL</t>
        </is>
      </c>
      <c r="H76" s="23" t="inlineStr">
        <is>
          <t>431.95%</t>
        </is>
      </c>
      <c r="I76" s="16" t="inlineStr">
        <is>
          <t>N/A</t>
        </is>
      </c>
      <c r="J76" s="16" t="n">
        <v>1</v>
      </c>
      <c r="K76" s="16" t="n">
        <v>6</v>
      </c>
      <c r="L76" s="16" t="inlineStr">
        <is>
          <t>07.08.2024 06:06:19</t>
        </is>
      </c>
      <c r="M76" s="16" t="inlineStr">
        <is>
          <t>6 min</t>
        </is>
      </c>
      <c r="N76" s="16" t="inlineStr">
        <is>
          <t xml:space="preserve">        154K             2M            17K</t>
        </is>
      </c>
      <c r="O76" s="16" t="inlineStr">
        <is>
          <t>GXDSgxcGwJhTEZnCQkXpKUKVL8rmK9UYPXbNPszPpump</t>
        </is>
      </c>
      <c r="P76" s="16">
        <f>HYPERLINK("https://dexscreener.com/solana/GXDSgxcGwJhTEZnCQkXpKUKVL8rmK9UYPXbNPszPpump", "View")</f>
        <v/>
      </c>
    </row>
    <row r="77">
      <c r="A77" s="19" t="inlineStr">
        <is>
          <t>ElonMaduro</t>
        </is>
      </c>
      <c r="B77" s="20" t="n">
        <v>478173</v>
      </c>
      <c r="C77" s="20" t="n">
        <v>478173</v>
      </c>
      <c r="D77" s="20" t="inlineStr">
        <is>
          <t>0.015010</t>
        </is>
      </c>
      <c r="E77" s="20" t="inlineStr">
        <is>
          <t>1.000 SOL</t>
        </is>
      </c>
      <c r="F77" s="20" t="inlineStr">
        <is>
          <t>1.002 SOL</t>
        </is>
      </c>
      <c r="G77" s="21" t="inlineStr">
        <is>
          <t>-0.013 SOL</t>
        </is>
      </c>
      <c r="H77" s="21" t="inlineStr">
        <is>
          <t>-1.27%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06.08.2024 03:40:12</t>
        </is>
      </c>
      <c r="M77" s="18" t="inlineStr">
        <is>
          <t>11 sec</t>
        </is>
      </c>
      <c r="N77" s="20" t="inlineStr">
        <is>
          <t xml:space="preserve">        367K           369K             3K</t>
        </is>
      </c>
      <c r="O77" s="20" t="inlineStr">
        <is>
          <t>6Z9q4Hi7LQ6zMBtQfscTSeNXFYqxmaTL89GPKHjBpump</t>
        </is>
      </c>
      <c r="P77" s="20">
        <f>HYPERLINK("https://dexscreener.com/solana/6Z9q4Hi7LQ6zMBtQfscTSeNXFYqxmaTL89GPKHjBpump", "View")</f>
        <v/>
      </c>
    </row>
    <row r="78">
      <c r="A78" s="15" t="inlineStr">
        <is>
          <t>$DCATDOG</t>
        </is>
      </c>
      <c r="B78" s="16" t="n">
        <v>918140</v>
      </c>
      <c r="C78" s="16" t="n">
        <v>918140</v>
      </c>
      <c r="D78" s="16" t="inlineStr">
        <is>
          <t>0.020010</t>
        </is>
      </c>
      <c r="E78" s="16" t="inlineStr">
        <is>
          <t>6.882 SOL</t>
        </is>
      </c>
      <c r="F78" s="16" t="inlineStr">
        <is>
          <t>7.070 SOL</t>
        </is>
      </c>
      <c r="G78" s="22" t="inlineStr">
        <is>
          <t>0.168 SOL</t>
        </is>
      </c>
      <c r="H78" s="22" t="inlineStr">
        <is>
          <t>2.44%</t>
        </is>
      </c>
      <c r="I78" s="16" t="inlineStr">
        <is>
          <t>N/A</t>
        </is>
      </c>
      <c r="J78" s="16" t="n">
        <v>1</v>
      </c>
      <c r="K78" s="16" t="n">
        <v>1</v>
      </c>
      <c r="L78" s="16" t="inlineStr">
        <is>
          <t>05.08.2024 21:01:07</t>
        </is>
      </c>
      <c r="M78" s="16" t="inlineStr">
        <is>
          <t>7 min</t>
        </is>
      </c>
      <c r="N78" s="16" t="inlineStr">
        <is>
          <t xml:space="preserve">          1M             1M            16K</t>
        </is>
      </c>
      <c r="O78" s="16" t="inlineStr">
        <is>
          <t>CB4cPirBBzZ5S38tSz3qmns6BixiKp7YyZNvD9eGpump</t>
        </is>
      </c>
      <c r="P78" s="16">
        <f>HYPERLINK("https://dexscreener.com/solana/CB4cPirBBzZ5S38tSz3qmns6BixiKp7YyZNvD9eGpump", "View")</f>
        <v/>
      </c>
    </row>
    <row r="79">
      <c r="A79" s="19" t="inlineStr">
        <is>
          <t>PNL</t>
        </is>
      </c>
      <c r="B79" s="20" t="n">
        <v>16491656</v>
      </c>
      <c r="C79" s="20" t="n">
        <v>16491656</v>
      </c>
      <c r="D79" s="20" t="inlineStr">
        <is>
          <t>0.020010</t>
        </is>
      </c>
      <c r="E79" s="20" t="inlineStr">
        <is>
          <t>4.970 SOL</t>
        </is>
      </c>
      <c r="F79" s="20" t="inlineStr">
        <is>
          <t>3.976 SOL</t>
        </is>
      </c>
      <c r="G79" s="21" t="inlineStr">
        <is>
          <t>-1.013 SOL</t>
        </is>
      </c>
      <c r="H79" s="21" t="inlineStr">
        <is>
          <t>-20.31%</t>
        </is>
      </c>
      <c r="I79" s="20" t="inlineStr">
        <is>
          <t>N/A</t>
        </is>
      </c>
      <c r="J79" s="20" t="n">
        <v>1</v>
      </c>
      <c r="K79" s="20" t="n">
        <v>1</v>
      </c>
      <c r="L79" s="20" t="inlineStr">
        <is>
          <t>04.08.2024 07:14:54</t>
        </is>
      </c>
      <c r="M79" s="20" t="inlineStr">
        <is>
          <t>7 min</t>
        </is>
      </c>
      <c r="N79" s="20" t="inlineStr">
        <is>
          <t xml:space="preserve">        N/A           N/A           N/A</t>
        </is>
      </c>
      <c r="O79" s="20" t="inlineStr">
        <is>
          <t>ACXAX7xM2dhj3D6GTLRMYUfTSm2TsmbuVSQTEM1cpump</t>
        </is>
      </c>
      <c r="P79" s="20">
        <f>HYPERLINK("https://photon-sol.tinyastro.io/en/lp/ACXAX7xM2dhj3D6GTLRMYUfTSm2TsmbuVSQTEM1cpump?handle=676050794bc1b1657a56b", "View")</f>
        <v/>
      </c>
    </row>
    <row r="80">
      <c r="A80" s="15" t="inlineStr">
        <is>
          <t>Neito</t>
        </is>
      </c>
      <c r="B80" s="16" t="n">
        <v>7865450</v>
      </c>
      <c r="C80" s="16" t="n">
        <v>7865450</v>
      </c>
      <c r="D80" s="16" t="inlineStr">
        <is>
          <t>0.000110</t>
        </is>
      </c>
      <c r="E80" s="16" t="inlineStr">
        <is>
          <t>5.000 SOL</t>
        </is>
      </c>
      <c r="F80" s="16" t="inlineStr">
        <is>
          <t>2.692 SOL</t>
        </is>
      </c>
      <c r="G80" s="21" t="inlineStr">
        <is>
          <t>-2.308 SOL</t>
        </is>
      </c>
      <c r="H80" s="21" t="inlineStr">
        <is>
          <t>-46.16%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03.08.2024 09:41:10</t>
        </is>
      </c>
      <c r="M80" s="16" t="inlineStr">
        <is>
          <t>1 hours</t>
        </is>
      </c>
      <c r="N80" s="16" t="inlineStr">
        <is>
          <t xml:space="preserve">         82K            44K             6K</t>
        </is>
      </c>
      <c r="O80" s="16" t="inlineStr">
        <is>
          <t>zbVZVKpWGUSJ66yyXDFkUdS5Cmv88ZCqE8asahGpump</t>
        </is>
      </c>
      <c r="P80" s="16">
        <f>HYPERLINK("https://dexscreener.com/solana/zbVZVKpWGUSJ66yyXDFkUdS5Cmv88ZCqE8asahGpump", "View")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5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HYPERLINK("https://gmgn.ai/sol/address/HWh4UWj9YX9EpuyhVGwCtdq59ZpnNf3F8wraJ9c7EWJF", "GMGN")</f>
        <v/>
      </c>
    </row>
    <row r="2">
      <c r="A2" s="3" t="inlineStr">
        <is>
          <t>HWh4UWj9YX9EpuyhVGwCtdq59ZpnNf3F8wraJ9c7EWJF</t>
        </is>
      </c>
      <c r="B2" s="3" t="inlineStr">
        <is>
          <t>9.30 SOL</t>
        </is>
      </c>
      <c r="C2" s="3" t="inlineStr">
        <is>
          <t>50%</t>
        </is>
      </c>
      <c r="D2" s="3" t="inlineStr">
        <is>
          <t>37%</t>
        </is>
      </c>
      <c r="E2" s="3" t="inlineStr">
        <is>
          <t>146.88 SOL</t>
        </is>
      </c>
      <c r="F2" s="3" t="inlineStr">
        <is>
          <t>2 (5%)</t>
        </is>
      </c>
      <c r="G2" s="3" t="inlineStr">
        <is>
          <t>0 (0%)</t>
        </is>
      </c>
      <c r="H2" s="3" t="n">
        <v>38</v>
      </c>
      <c r="I2" s="3" t="n">
        <v>3</v>
      </c>
      <c r="J2" s="3" t="inlineStr">
        <is>
          <t>8 days</t>
        </is>
      </c>
      <c r="K2" s="3" t="inlineStr">
        <is>
          <t>1 h</t>
        </is>
      </c>
      <c r="L2" s="3" t="n">
        <v>3</v>
      </c>
      <c r="M2" s="3" t="n">
        <v>36</v>
      </c>
      <c r="N2" s="3">
        <f>HYPERLINK("https://solscan.io/account/HWh4UWj9YX9EpuyhVGwCtdq59ZpnNf3F8wraJ9c7EWJF", "Solscan")</f>
        <v/>
      </c>
    </row>
    <row r="3">
      <c r="A3" s="6" t="inlineStr">
        <is>
          <t>Median ROI</t>
        </is>
      </c>
      <c r="B3" s="5" t="inlineStr">
        <is>
          <t>-0.03%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HYPERLINK("https://birdeye.so/profile/HWh4UWj9YX9EpuyhVGwCtdq59ZpnNf3F8wraJ9c7EWJF", "Birdeye")</f>
        <v/>
      </c>
    </row>
    <row r="4">
      <c r="A4" s="6" t="inlineStr">
        <is>
          <t>Rockets percent</t>
        </is>
      </c>
      <c r="B4" s="3" t="inlineStr">
        <is>
          <t>21%</t>
        </is>
      </c>
      <c r="C4" s="3" t="inlineStr"/>
      <c r="D4" s="3" t="inlineStr">
        <is>
          <t>17%</t>
        </is>
      </c>
      <c r="E4" s="3" t="inlineStr">
        <is>
          <t>69.87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8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4.6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2</v>
      </c>
      <c r="C10" s="6" t="n">
        <v>6</v>
      </c>
      <c r="D10" s="6" t="n">
        <v>0</v>
      </c>
      <c r="E10" s="6" t="n">
        <v>11</v>
      </c>
      <c r="F10" s="6" t="n">
        <v>7</v>
      </c>
      <c r="G10" s="6" t="n">
        <v>12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5.3%</t>
        </is>
      </c>
      <c r="C11" s="6" t="inlineStr">
        <is>
          <t>15.8%</t>
        </is>
      </c>
      <c r="D11" s="6" t="inlineStr">
        <is>
          <t>0.0%</t>
        </is>
      </c>
      <c r="E11" s="6" t="inlineStr">
        <is>
          <t>28.9%</t>
        </is>
      </c>
      <c r="F11" s="6" t="inlineStr">
        <is>
          <t>18.4%</t>
        </is>
      </c>
      <c r="G11" s="6" t="inlineStr">
        <is>
          <t>31.6%</t>
        </is>
      </c>
      <c r="H11" s="3" t="n"/>
      <c r="I11" s="3" t="inlineStr">
        <is>
          <t>5k-30k</t>
        </is>
      </c>
      <c r="J11" s="3" t="inlineStr">
        <is>
          <t>4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168.4 SOL</t>
        </is>
      </c>
      <c r="C12" s="6" t="inlineStr">
        <is>
          <t>87.5 SOL</t>
        </is>
      </c>
      <c r="D12" s="6" t="inlineStr">
        <is>
          <t>0.0 SOL</t>
        </is>
      </c>
      <c r="E12" s="6" t="inlineStr">
        <is>
          <t>18.4 SOL</t>
        </is>
      </c>
      <c r="F12" s="6" t="inlineStr">
        <is>
          <t>-28.6 SOL</t>
        </is>
      </c>
      <c r="G12" s="6" t="inlineStr">
        <is>
          <t>-98.9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21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409.0K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RZLR</t>
        </is>
      </c>
      <c r="B20" s="16" t="n">
        <v>1742770</v>
      </c>
      <c r="C20" s="16" t="n">
        <v>1192851</v>
      </c>
      <c r="D20" s="16" t="inlineStr">
        <is>
          <t>0.090050</t>
        </is>
      </c>
      <c r="E20" s="16" t="inlineStr">
        <is>
          <t>4.000 SOL</t>
        </is>
      </c>
      <c r="F20" s="16" t="inlineStr">
        <is>
          <t>19.819 SOL</t>
        </is>
      </c>
      <c r="G20" s="23" t="inlineStr">
        <is>
          <t>15.729 SOL</t>
        </is>
      </c>
      <c r="H20" s="23" t="inlineStr">
        <is>
          <t>384.56%</t>
        </is>
      </c>
      <c r="I20" s="16" t="inlineStr">
        <is>
          <t>N/A</t>
        </is>
      </c>
      <c r="J20" s="16" t="n">
        <v>1</v>
      </c>
      <c r="K20" s="16" t="n">
        <v>8</v>
      </c>
      <c r="L20" s="16" t="inlineStr">
        <is>
          <t>30.10.2024 19:48:46</t>
        </is>
      </c>
      <c r="M20" s="16" t="inlineStr">
        <is>
          <t>1 days</t>
        </is>
      </c>
      <c r="N20" s="16" t="inlineStr">
        <is>
          <t xml:space="preserve">        404K           404K             7M</t>
        </is>
      </c>
      <c r="O20" s="16" t="inlineStr">
        <is>
          <t>D8kgv5BRyfxUgTJGhkPJcw1Neo1eaneENC5XxC99pump</t>
        </is>
      </c>
      <c r="P20" s="16">
        <f>HYPERLINK("https://dexscreener.com/solana/D8kgv5BRyfxUgTJGhkPJcw1Neo1eaneENC5XxC99pump", "View")</f>
        <v/>
      </c>
    </row>
    <row r="21">
      <c r="A21" s="19" t="inlineStr">
        <is>
          <t>THECAT</t>
        </is>
      </c>
      <c r="B21" s="20" t="n">
        <v>45287</v>
      </c>
      <c r="C21" s="20" t="n">
        <v>0</v>
      </c>
      <c r="D21" s="20" t="inlineStr">
        <is>
          <t>0.020010</t>
        </is>
      </c>
      <c r="E21" s="20" t="inlineStr">
        <is>
          <t>7.000 SOL</t>
        </is>
      </c>
      <c r="F21" s="20" t="inlineStr">
        <is>
          <t>0.000 SOL</t>
        </is>
      </c>
      <c r="G21" s="17" t="inlineStr">
        <is>
          <t>-7.020 SOL</t>
        </is>
      </c>
      <c r="H21" s="17" t="inlineStr">
        <is>
          <t>0.00%</t>
        </is>
      </c>
      <c r="I21" s="20" t="inlineStr">
        <is>
          <t>45,287</t>
        </is>
      </c>
      <c r="J21" s="20" t="n">
        <v>2</v>
      </c>
      <c r="K21" s="20" t="n">
        <v>0</v>
      </c>
      <c r="L21" s="20" t="inlineStr">
        <is>
          <t>30.10.2024 19:02:35</t>
        </is>
      </c>
      <c r="M21" s="20" t="inlineStr">
        <is>
          <t>24 min</t>
        </is>
      </c>
      <c r="N21" s="20" t="inlineStr">
        <is>
          <t xml:space="preserve">         22M            30M            36M</t>
        </is>
      </c>
      <c r="O21" s="20" t="inlineStr">
        <is>
          <t>DRTeDJXZYYZxmq3tmgSPvLi3ef5E51cRH1KzzwXvC5M7</t>
        </is>
      </c>
      <c r="P21" s="20">
        <f>HYPERLINK("https://dexscreener.com/solana/DRTeDJXZYYZxmq3tmgSPvLi3ef5E51cRH1KzzwXvC5M7", "View")</f>
        <v/>
      </c>
    </row>
    <row r="22">
      <c r="A22" s="15" t="inlineStr">
        <is>
          <t>NUTBUTT</t>
        </is>
      </c>
      <c r="B22" s="16" t="n">
        <v>3432807</v>
      </c>
      <c r="C22" s="16" t="n">
        <v>2145505</v>
      </c>
      <c r="D22" s="16" t="inlineStr">
        <is>
          <t>0.040020</t>
        </is>
      </c>
      <c r="E22" s="16" t="inlineStr">
        <is>
          <t>3.000 SOL</t>
        </is>
      </c>
      <c r="F22" s="16" t="inlineStr">
        <is>
          <t>11.821 SOL</t>
        </is>
      </c>
      <c r="G22" s="23" t="inlineStr">
        <is>
          <t>8.781 SOL</t>
        </is>
      </c>
      <c r="H22" s="23" t="inlineStr">
        <is>
          <t>288.84%</t>
        </is>
      </c>
      <c r="I22" s="16" t="inlineStr">
        <is>
          <t>N/A</t>
        </is>
      </c>
      <c r="J22" s="16" t="n">
        <v>2</v>
      </c>
      <c r="K22" s="16" t="n">
        <v>2</v>
      </c>
      <c r="L22" s="16" t="inlineStr">
        <is>
          <t>30.10.2024 16:52:11</t>
        </is>
      </c>
      <c r="M22" s="16" t="inlineStr">
        <is>
          <t>14 hours</t>
        </is>
      </c>
      <c r="N22" s="16" t="inlineStr">
        <is>
          <t xml:space="preserve">        148K           167K           657K</t>
        </is>
      </c>
      <c r="O22" s="16" t="inlineStr">
        <is>
          <t>CFBYjzT357obRmihT9F5uyCY3kqgksRvXKM3RJN1pump</t>
        </is>
      </c>
      <c r="P22" s="16">
        <f>HYPERLINK("https://dexscreener.com/solana/CFBYjzT357obRmihT9F5uyCY3kqgksRvXKM3RJN1pump", "View")</f>
        <v/>
      </c>
    </row>
    <row r="23">
      <c r="A23" s="19" t="inlineStr">
        <is>
          <t>cryptid</t>
        </is>
      </c>
      <c r="B23" s="20" t="n">
        <v>11538277</v>
      </c>
      <c r="C23" s="20" t="n">
        <v>11538277</v>
      </c>
      <c r="D23" s="20" t="inlineStr">
        <is>
          <t>0.020010</t>
        </is>
      </c>
      <c r="E23" s="20" t="inlineStr">
        <is>
          <t>1.000 SOL</t>
        </is>
      </c>
      <c r="F23" s="20" t="inlineStr">
        <is>
          <t>1.282 SOL</t>
        </is>
      </c>
      <c r="G23" s="22" t="inlineStr">
        <is>
          <t>0.262 SOL</t>
        </is>
      </c>
      <c r="H23" s="22" t="inlineStr">
        <is>
          <t>25.65%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04:42:50</t>
        </is>
      </c>
      <c r="M23" s="18" t="inlineStr">
        <is>
          <t>49 sec</t>
        </is>
      </c>
      <c r="N23" s="20" t="inlineStr">
        <is>
          <t xml:space="preserve">         16K            19K            14K</t>
        </is>
      </c>
      <c r="O23" s="20" t="inlineStr">
        <is>
          <t>8BFNreX5cd1KUAN1ct75xn4qv74uBJNqLxTfSbKPpump</t>
        </is>
      </c>
      <c r="P23" s="20">
        <f>HYPERLINK("https://dexscreener.com/solana/8BFNreX5cd1KUAN1ct75xn4qv74uBJNqLxTfSbKPpump", "View")</f>
        <v/>
      </c>
    </row>
    <row r="24">
      <c r="A24" s="15" t="inlineStr">
        <is>
          <t>pray</t>
        </is>
      </c>
      <c r="B24" s="16" t="n">
        <v>1328049</v>
      </c>
      <c r="C24" s="16" t="n">
        <v>1328049</v>
      </c>
      <c r="D24" s="16" t="inlineStr">
        <is>
          <t>0.020010</t>
        </is>
      </c>
      <c r="E24" s="16" t="inlineStr">
        <is>
          <t>3.000 SOL</t>
        </is>
      </c>
      <c r="F24" s="16" t="inlineStr">
        <is>
          <t>3.658 SOL</t>
        </is>
      </c>
      <c r="G24" s="22" t="inlineStr">
        <is>
          <t>0.638 SOL</t>
        </is>
      </c>
      <c r="H24" s="22" t="inlineStr">
        <is>
          <t>21.13%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02:22:49</t>
        </is>
      </c>
      <c r="M24" s="16" t="inlineStr">
        <is>
          <t>1 hours</t>
        </is>
      </c>
      <c r="N24" s="16" t="inlineStr">
        <is>
          <t xml:space="preserve">        389K           473K           161K</t>
        </is>
      </c>
      <c r="O24" s="16" t="inlineStr">
        <is>
          <t>7ij5esLPHU8zprHAMUHR1Bu8MEJX6cT5hzG1bBEcpump</t>
        </is>
      </c>
      <c r="P24" s="16">
        <f>HYPERLINK("https://dexscreener.com/solana/7ij5esLPHU8zprHAMUHR1Bu8MEJX6cT5hzG1bBEcpump", "View")</f>
        <v/>
      </c>
    </row>
    <row r="25">
      <c r="A25" s="19" t="inlineStr">
        <is>
          <t>TOKEN</t>
        </is>
      </c>
      <c r="B25" s="20" t="n">
        <v>8799573</v>
      </c>
      <c r="C25" s="20" t="n">
        <v>0</v>
      </c>
      <c r="D25" s="20" t="inlineStr">
        <is>
          <t>0.010010</t>
        </is>
      </c>
      <c r="E25" s="20" t="inlineStr">
        <is>
          <t>2.538 SOL</t>
        </is>
      </c>
      <c r="F25" s="20" t="inlineStr">
        <is>
          <t>0.000 SOL</t>
        </is>
      </c>
      <c r="G25" s="17" t="inlineStr">
        <is>
          <t>-2.548 SOL</t>
        </is>
      </c>
      <c r="H25" s="17" t="inlineStr">
        <is>
          <t>0.00%</t>
        </is>
      </c>
      <c r="I25" s="20" t="inlineStr">
        <is>
          <t>8,799,573</t>
        </is>
      </c>
      <c r="J25" s="20" t="n">
        <v>1</v>
      </c>
      <c r="K25" s="20" t="n">
        <v>0</v>
      </c>
      <c r="L25" s="20" t="inlineStr">
        <is>
          <t>30.10.2024 01:35:24</t>
        </is>
      </c>
      <c r="M25" s="18" t="inlineStr">
        <is>
          <t>0 sec</t>
        </is>
      </c>
      <c r="N25" s="20" t="inlineStr">
        <is>
          <t xml:space="preserve">         51K            51K             5K</t>
        </is>
      </c>
      <c r="O25" s="20" t="inlineStr">
        <is>
          <t>fiTFpLNw8Zkxaneb8hxHHtbJRRF7715GFXpGKmcpump</t>
        </is>
      </c>
      <c r="P25" s="20">
        <f>HYPERLINK("https://photon-sol.tinyastro.io/en/lp/fiTFpLNw8Zkxaneb8hxHHtbJRRF7715GFXpGKmcpump?handle=676050794bc1b1657a56b", "View")</f>
        <v/>
      </c>
    </row>
    <row r="26">
      <c r="A26" s="15" t="inlineStr">
        <is>
          <t>CHUNK</t>
        </is>
      </c>
      <c r="B26" s="16" t="n">
        <v>2020833</v>
      </c>
      <c r="C26" s="16" t="n">
        <v>2020833</v>
      </c>
      <c r="D26" s="16" t="inlineStr">
        <is>
          <t>0.020010</t>
        </is>
      </c>
      <c r="E26" s="16" t="inlineStr">
        <is>
          <t>2.000 SOL</t>
        </is>
      </c>
      <c r="F26" s="16" t="inlineStr">
        <is>
          <t>1.984 SOL</t>
        </is>
      </c>
      <c r="G26" s="21" t="inlineStr">
        <is>
          <t>-0.036 SOL</t>
        </is>
      </c>
      <c r="H26" s="21" t="inlineStr">
        <is>
          <t>-1.79%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30.10.2024 00:47:49</t>
        </is>
      </c>
      <c r="M26" s="16" t="inlineStr">
        <is>
          <t>9 min</t>
        </is>
      </c>
      <c r="N26" s="16" t="inlineStr">
        <is>
          <t xml:space="preserve">        174K           172K            39K</t>
        </is>
      </c>
      <c r="O26" s="16" t="inlineStr">
        <is>
          <t>FBt8wpmyvhoTRmwcXUpmGh351Wt8fQMtptXsMWmWpump</t>
        </is>
      </c>
      <c r="P26" s="16">
        <f>HYPERLINK("https://dexscreener.com/solana/FBt8wpmyvhoTRmwcXUpmGh351Wt8fQMtptXsMWmWpump", "View")</f>
        <v/>
      </c>
    </row>
    <row r="27">
      <c r="A27" s="19" t="inlineStr">
        <is>
          <t>WMM</t>
        </is>
      </c>
      <c r="B27" s="20" t="n">
        <v>189834</v>
      </c>
      <c r="C27" s="20" t="n">
        <v>0</v>
      </c>
      <c r="D27" s="20" t="inlineStr">
        <is>
          <t>0.020010</t>
        </is>
      </c>
      <c r="E27" s="20" t="inlineStr">
        <is>
          <t>5.000 SOL</t>
        </is>
      </c>
      <c r="F27" s="20" t="inlineStr">
        <is>
          <t>0.000 SOL</t>
        </is>
      </c>
      <c r="G27" s="17" t="inlineStr">
        <is>
          <t>-5.020 SOL</t>
        </is>
      </c>
      <c r="H27" s="17" t="inlineStr">
        <is>
          <t>0.00%</t>
        </is>
      </c>
      <c r="I27" s="20" t="inlineStr">
        <is>
          <t>189,834</t>
        </is>
      </c>
      <c r="J27" s="20" t="n">
        <v>2</v>
      </c>
      <c r="K27" s="20" t="n">
        <v>0</v>
      </c>
      <c r="L27" s="20" t="inlineStr">
        <is>
          <t>30.10.2024 00:39:55</t>
        </is>
      </c>
      <c r="M27" s="20" t="inlineStr">
        <is>
          <t>20 hours</t>
        </is>
      </c>
      <c r="N27" s="20" t="inlineStr">
        <is>
          <t xml:space="preserve">          4M             5M             4M</t>
        </is>
      </c>
      <c r="O27" s="20" t="inlineStr">
        <is>
          <t>9pWPUXoZKWNPWyaegPQeR3Kn8aFz9nrGtm5jeAFzpump</t>
        </is>
      </c>
      <c r="P27" s="20">
        <f>HYPERLINK("https://dexscreener.com/solana/9pWPUXoZKWNPWyaegPQeR3Kn8aFz9nrGtm5jeAFzpump", "View")</f>
        <v/>
      </c>
    </row>
    <row r="28">
      <c r="A28" s="15" t="inlineStr">
        <is>
          <t>RP</t>
        </is>
      </c>
      <c r="B28" s="16" t="n">
        <v>219700</v>
      </c>
      <c r="C28" s="16" t="n">
        <v>219700</v>
      </c>
      <c r="D28" s="16" t="inlineStr">
        <is>
          <t>0.020010</t>
        </is>
      </c>
      <c r="E28" s="16" t="inlineStr">
        <is>
          <t>3.000 SOL</t>
        </is>
      </c>
      <c r="F28" s="16" t="inlineStr">
        <is>
          <t>1.460 SOL</t>
        </is>
      </c>
      <c r="G28" s="24" t="inlineStr">
        <is>
          <t>-1.560 SOL</t>
        </is>
      </c>
      <c r="H28" s="24" t="inlineStr">
        <is>
          <t>-51.64%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29.10.2024 16:25:43</t>
        </is>
      </c>
      <c r="M28" s="16" t="inlineStr">
        <is>
          <t>1 hours</t>
        </is>
      </c>
      <c r="N28" s="16" t="inlineStr">
        <is>
          <t xml:space="preserve">          2M             2M            49K</t>
        </is>
      </c>
      <c r="O28" s="16" t="inlineStr">
        <is>
          <t>86FMngwijeQhTGfSZqj1rNkKVsmS7uXJ3y13qqDupump</t>
        </is>
      </c>
      <c r="P28" s="16">
        <f>HYPERLINK("https://dexscreener.com/solana/86FMngwijeQhTGfSZqj1rNkKVsmS7uXJ3y13qqDupump", "View")</f>
        <v/>
      </c>
    </row>
    <row r="29">
      <c r="A29" s="19" t="inlineStr">
        <is>
          <t>FRIDGE</t>
        </is>
      </c>
      <c r="B29" s="20" t="n">
        <v>829107</v>
      </c>
      <c r="C29" s="20" t="n">
        <v>518192</v>
      </c>
      <c r="D29" s="20" t="inlineStr">
        <is>
          <t>0.050030</t>
        </is>
      </c>
      <c r="E29" s="20" t="inlineStr">
        <is>
          <t>5.000 SOL</t>
        </is>
      </c>
      <c r="F29" s="20" t="inlineStr">
        <is>
          <t>7.333 SOL</t>
        </is>
      </c>
      <c r="G29" s="22" t="inlineStr">
        <is>
          <t>2.283 SOL</t>
        </is>
      </c>
      <c r="H29" s="22" t="inlineStr">
        <is>
          <t>45.20%</t>
        </is>
      </c>
      <c r="I29" s="20" t="inlineStr">
        <is>
          <t>N/A</t>
        </is>
      </c>
      <c r="J29" s="20" t="n">
        <v>3</v>
      </c>
      <c r="K29" s="20" t="n">
        <v>2</v>
      </c>
      <c r="L29" s="20" t="inlineStr">
        <is>
          <t>29.10.2024 15:20:31</t>
        </is>
      </c>
      <c r="M29" s="20" t="inlineStr">
        <is>
          <t>9 hours</t>
        </is>
      </c>
      <c r="N29" s="20" t="inlineStr">
        <is>
          <t xml:space="preserve">          1M           611K             2M</t>
        </is>
      </c>
      <c r="O29" s="20" t="inlineStr">
        <is>
          <t>EswvJvhPy8A8rWPdLJ5ATYW6cY5x483oS4QWWroZpump</t>
        </is>
      </c>
      <c r="P29" s="20">
        <f>HYPERLINK("https://dexscreener.com/solana/EswvJvhPy8A8rWPdLJ5ATYW6cY5x483oS4QWWroZpump", "View")</f>
        <v/>
      </c>
    </row>
    <row r="30">
      <c r="A30" s="15" t="inlineStr">
        <is>
          <t>Eve</t>
        </is>
      </c>
      <c r="B30" s="16" t="n">
        <v>3093476</v>
      </c>
      <c r="C30" s="16" t="n">
        <v>3093476</v>
      </c>
      <c r="D30" s="16" t="inlineStr">
        <is>
          <t>0.020010</t>
        </is>
      </c>
      <c r="E30" s="16" t="inlineStr">
        <is>
          <t>3.000 SOL</t>
        </is>
      </c>
      <c r="F30" s="16" t="inlineStr">
        <is>
          <t>3.057 SOL</t>
        </is>
      </c>
      <c r="G30" s="22" t="inlineStr">
        <is>
          <t>0.037 SOL</t>
        </is>
      </c>
      <c r="H30" s="22" t="inlineStr">
        <is>
          <t>1.23%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29.10.2024 14:49:32</t>
        </is>
      </c>
      <c r="M30" s="16" t="inlineStr">
        <is>
          <t>4 min</t>
        </is>
      </c>
      <c r="N30" s="16" t="inlineStr">
        <is>
          <t xml:space="preserve">        170K           174K             9K</t>
        </is>
      </c>
      <c r="O30" s="16" t="inlineStr">
        <is>
          <t>BoyAq9YacyJQn96e3SM4GQrxKQEHuLXs8sA3V4aspump</t>
        </is>
      </c>
      <c r="P30" s="16">
        <f>HYPERLINK("https://dexscreener.com/solana/BoyAq9YacyJQn96e3SM4GQrxKQEHuLXs8sA3V4aspump", "View")</f>
        <v/>
      </c>
    </row>
    <row r="31">
      <c r="A31" s="19" t="inlineStr">
        <is>
          <t>BACON</t>
        </is>
      </c>
      <c r="B31" s="20" t="n">
        <v>2446944</v>
      </c>
      <c r="C31" s="20" t="n">
        <v>0</v>
      </c>
      <c r="D31" s="20" t="inlineStr">
        <is>
          <t>0.030020</t>
        </is>
      </c>
      <c r="E31" s="20" t="inlineStr">
        <is>
          <t>5.000 SOL</t>
        </is>
      </c>
      <c r="F31" s="20" t="inlineStr">
        <is>
          <t>0.000 SOL</t>
        </is>
      </c>
      <c r="G31" s="17" t="inlineStr">
        <is>
          <t>-5.030 SOL</t>
        </is>
      </c>
      <c r="H31" s="17" t="inlineStr">
        <is>
          <t>0.00%</t>
        </is>
      </c>
      <c r="I31" s="20" t="inlineStr">
        <is>
          <t>2,446,944</t>
        </is>
      </c>
      <c r="J31" s="20" t="n">
        <v>3</v>
      </c>
      <c r="K31" s="20" t="n">
        <v>0</v>
      </c>
      <c r="L31" s="20" t="inlineStr">
        <is>
          <t>29.10.2024 05:43:51</t>
        </is>
      </c>
      <c r="M31" s="20" t="inlineStr">
        <is>
          <t>7 hours</t>
        </is>
      </c>
      <c r="N31" s="20" t="inlineStr">
        <is>
          <t xml:space="preserve">        218K           545K            16K</t>
        </is>
      </c>
      <c r="O31" s="20" t="inlineStr">
        <is>
          <t>FJWNxkJ9PRQSzF7b8Mfgp72Xra3rdiRuBmL4udQGpump</t>
        </is>
      </c>
      <c r="P31" s="20">
        <f>HYPERLINK("https://dexscreener.com/solana/FJWNxkJ9PRQSzF7b8Mfgp72Xra3rdiRuBmL4udQGpump", "View")</f>
        <v/>
      </c>
    </row>
    <row r="32">
      <c r="A32" s="15" t="inlineStr">
        <is>
          <t>trenches</t>
        </is>
      </c>
      <c r="B32" s="16" t="n">
        <v>80660395</v>
      </c>
      <c r="C32" s="16" t="n">
        <v>80660395</v>
      </c>
      <c r="D32" s="16" t="inlineStr">
        <is>
          <t>0.020010</t>
        </is>
      </c>
      <c r="E32" s="16" t="inlineStr">
        <is>
          <t>5.000 SOL</t>
        </is>
      </c>
      <c r="F32" s="16" t="inlineStr">
        <is>
          <t>5.299 SOL</t>
        </is>
      </c>
      <c r="G32" s="22" t="inlineStr">
        <is>
          <t>0.279 SOL</t>
        </is>
      </c>
      <c r="H32" s="22" t="inlineStr">
        <is>
          <t>5.56%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29.10.2024 01:20:36</t>
        </is>
      </c>
      <c r="M32" s="18" t="inlineStr">
        <is>
          <t>10 sec</t>
        </is>
      </c>
      <c r="N32" s="16" t="inlineStr">
        <is>
          <t xml:space="preserve">         11K            12K            10K</t>
        </is>
      </c>
      <c r="O32" s="16" t="inlineStr">
        <is>
          <t>7iRMRsTWLUaaih3ubdaSJZTFiyebP5KoT7LMjTqipump</t>
        </is>
      </c>
      <c r="P32" s="16">
        <f>HYPERLINK("https://dexscreener.com/solana/7iRMRsTWLUaaih3ubdaSJZTFiyebP5KoT7LMjTqipump", "View")</f>
        <v/>
      </c>
    </row>
    <row r="33">
      <c r="A33" s="19" t="inlineStr">
        <is>
          <t>Aletheia</t>
        </is>
      </c>
      <c r="B33" s="20" t="n">
        <v>1144280</v>
      </c>
      <c r="C33" s="20" t="n">
        <v>572140</v>
      </c>
      <c r="D33" s="20" t="inlineStr">
        <is>
          <t>0.030020</t>
        </is>
      </c>
      <c r="E33" s="20" t="inlineStr">
        <is>
          <t>4.000 SOL</t>
        </is>
      </c>
      <c r="F33" s="20" t="inlineStr">
        <is>
          <t>3.274 SOL</t>
        </is>
      </c>
      <c r="G33" s="21" t="inlineStr">
        <is>
          <t>-0.756 SOL</t>
        </is>
      </c>
      <c r="H33" s="21" t="inlineStr">
        <is>
          <t>-18.75%</t>
        </is>
      </c>
      <c r="I33" s="20" t="inlineStr">
        <is>
          <t>N/A</t>
        </is>
      </c>
      <c r="J33" s="20" t="n">
        <v>2</v>
      </c>
      <c r="K33" s="20" t="n">
        <v>1</v>
      </c>
      <c r="L33" s="20" t="inlineStr">
        <is>
          <t>28.10.2024 16:53:36</t>
        </is>
      </c>
      <c r="M33" s="20" t="inlineStr">
        <is>
          <t>4 hours</t>
        </is>
      </c>
      <c r="N33" s="20" t="inlineStr">
        <is>
          <t xml:space="preserve">        615K           615K           344K</t>
        </is>
      </c>
      <c r="O33" s="20" t="inlineStr">
        <is>
          <t>6Xx8p2WmY1Uk2GD35uxhEyuniNrVEeSu3CUThb8Upump</t>
        </is>
      </c>
      <c r="P33" s="20">
        <f>HYPERLINK("https://dexscreener.com/solana/6Xx8p2WmY1Uk2GD35uxhEyuniNrVEeSu3CUThb8Upump", "View")</f>
        <v/>
      </c>
    </row>
    <row r="34">
      <c r="A34" s="15" t="inlineStr">
        <is>
          <t>GCRAI</t>
        </is>
      </c>
      <c r="B34" s="16" t="n">
        <v>440696</v>
      </c>
      <c r="C34" s="16" t="n">
        <v>440696</v>
      </c>
      <c r="D34" s="16" t="inlineStr">
        <is>
          <t>0.020010</t>
        </is>
      </c>
      <c r="E34" s="16" t="inlineStr">
        <is>
          <t>2.000 SOL</t>
        </is>
      </c>
      <c r="F34" s="16" t="inlineStr">
        <is>
          <t>2.491 SOL</t>
        </is>
      </c>
      <c r="G34" s="22" t="inlineStr">
        <is>
          <t>0.471 SOL</t>
        </is>
      </c>
      <c r="H34" s="22" t="inlineStr">
        <is>
          <t>23.31%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28.10.2024 16:12:41</t>
        </is>
      </c>
      <c r="M34" s="16" t="inlineStr">
        <is>
          <t>11 hours</t>
        </is>
      </c>
      <c r="N34" s="16" t="inlineStr">
        <is>
          <t xml:space="preserve">        797K           797K            39K</t>
        </is>
      </c>
      <c r="O34" s="16" t="inlineStr">
        <is>
          <t>71gSnDo5vqite4mVpbKnaqoa6FsuXpamn8jCYZsApump</t>
        </is>
      </c>
      <c r="P34" s="16">
        <f>HYPERLINK("https://dexscreener.com/solana/71gSnDo5vqite4mVpbKnaqoa6FsuXpamn8jCYZsApump", "View")</f>
        <v/>
      </c>
    </row>
    <row r="35">
      <c r="A35" s="19" t="inlineStr">
        <is>
          <t>ProjectSid</t>
        </is>
      </c>
      <c r="B35" s="20" t="n">
        <v>3542970</v>
      </c>
      <c r="C35" s="20" t="n">
        <v>2628220</v>
      </c>
      <c r="D35" s="20" t="inlineStr">
        <is>
          <t>0.070040</t>
        </is>
      </c>
      <c r="E35" s="20" t="inlineStr">
        <is>
          <t>6.000 SOL</t>
        </is>
      </c>
      <c r="F35" s="20" t="inlineStr">
        <is>
          <t>15.738 SOL</t>
        </is>
      </c>
      <c r="G35" s="23" t="inlineStr">
        <is>
          <t>9.668 SOL</t>
        </is>
      </c>
      <c r="H35" s="23" t="inlineStr">
        <is>
          <t>159.28%</t>
        </is>
      </c>
      <c r="I35" s="20" t="inlineStr">
        <is>
          <t>N/A</t>
        </is>
      </c>
      <c r="J35" s="20" t="n">
        <v>2</v>
      </c>
      <c r="K35" s="20" t="n">
        <v>5</v>
      </c>
      <c r="L35" s="20" t="inlineStr">
        <is>
          <t>28.10.2024 09:40:24</t>
        </is>
      </c>
      <c r="M35" s="20" t="inlineStr">
        <is>
          <t>6 hours</t>
        </is>
      </c>
      <c r="N35" s="20" t="inlineStr">
        <is>
          <t xml:space="preserve">        293K           300K           214K</t>
        </is>
      </c>
      <c r="O35" s="20" t="inlineStr">
        <is>
          <t>BTdGTUjHz5FUSf91Ufo9L9r4LFMTRhE1qDtvUUfypump</t>
        </is>
      </c>
      <c r="P35" s="20">
        <f>HYPERLINK("https://dexscreener.com/solana/BTdGTUjHz5FUSf91Ufo9L9r4LFMTRhE1qDtvUUfypump", "View")</f>
        <v/>
      </c>
    </row>
    <row r="36">
      <c r="A36" s="15" t="inlineStr">
        <is>
          <t>PUMPLAND</t>
        </is>
      </c>
      <c r="B36" s="16" t="n">
        <v>614818</v>
      </c>
      <c r="C36" s="16" t="n">
        <v>614818</v>
      </c>
      <c r="D36" s="16" t="inlineStr">
        <is>
          <t>0.030020</t>
        </is>
      </c>
      <c r="E36" s="16" t="inlineStr">
        <is>
          <t>2.000 SOL</t>
        </is>
      </c>
      <c r="F36" s="16" t="inlineStr">
        <is>
          <t>1.948 SOL</t>
        </is>
      </c>
      <c r="G36" s="21" t="inlineStr">
        <is>
          <t>-0.082 SOL</t>
        </is>
      </c>
      <c r="H36" s="21" t="inlineStr">
        <is>
          <t>-4.06%</t>
        </is>
      </c>
      <c r="I36" s="16" t="inlineStr">
        <is>
          <t>N/A</t>
        </is>
      </c>
      <c r="J36" s="16" t="n">
        <v>2</v>
      </c>
      <c r="K36" s="16" t="n">
        <v>1</v>
      </c>
      <c r="L36" s="16" t="inlineStr">
        <is>
          <t>28.10.2024 03:07:51</t>
        </is>
      </c>
      <c r="M36" s="16" t="inlineStr">
        <is>
          <t>57 min</t>
        </is>
      </c>
      <c r="N36" s="16" t="inlineStr">
        <is>
          <t xml:space="preserve">        601K           544K            24K</t>
        </is>
      </c>
      <c r="O36" s="16" t="inlineStr">
        <is>
          <t>Bc2hjM8oYRkkedGLeHcpCUHWBSiG6hoB1JnLjt7iJi5n</t>
        </is>
      </c>
      <c r="P36" s="16">
        <f>HYPERLINK("https://dexscreener.com/solana/Bc2hjM8oYRkkedGLeHcpCUHWBSiG6hoB1JnLjt7iJi5n", "View")</f>
        <v/>
      </c>
    </row>
    <row r="37">
      <c r="A37" s="19" t="inlineStr">
        <is>
          <t>PMAIRCA</t>
        </is>
      </c>
      <c r="B37" s="20" t="n">
        <v>1935231</v>
      </c>
      <c r="C37" s="20" t="n">
        <v>967615</v>
      </c>
      <c r="D37" s="20" t="inlineStr">
        <is>
          <t>0.080040</t>
        </is>
      </c>
      <c r="E37" s="20" t="inlineStr">
        <is>
          <t>8.000 SOL</t>
        </is>
      </c>
      <c r="F37" s="20" t="inlineStr">
        <is>
          <t>19.005 SOL</t>
        </is>
      </c>
      <c r="G37" s="23" t="inlineStr">
        <is>
          <t>10.925 SOL</t>
        </is>
      </c>
      <c r="H37" s="23" t="inlineStr">
        <is>
          <t>135.21%</t>
        </is>
      </c>
      <c r="I37" s="20" t="inlineStr">
        <is>
          <t>N/A</t>
        </is>
      </c>
      <c r="J37" s="20" t="n">
        <v>4</v>
      </c>
      <c r="K37" s="20" t="n">
        <v>4</v>
      </c>
      <c r="L37" s="20" t="inlineStr">
        <is>
          <t>27.10.2024 04:10:15</t>
        </is>
      </c>
      <c r="M37" s="20" t="inlineStr">
        <is>
          <t>2 hours</t>
        </is>
      </c>
      <c r="N37" s="20" t="inlineStr">
        <is>
          <t xml:space="preserve">        725K           725K           103K</t>
        </is>
      </c>
      <c r="O37" s="20" t="inlineStr">
        <is>
          <t>7rRfJ5tdUjFPCWZRyYM7UNnfrpK1dqwzfpMYDknspump</t>
        </is>
      </c>
      <c r="P37" s="20">
        <f>HYPERLINK("https://dexscreener.com/solana/7rRfJ5tdUjFPCWZRyYM7UNnfrpK1dqwzfpMYDknspump", "View")</f>
        <v/>
      </c>
    </row>
    <row r="38">
      <c r="A38" s="15" t="inlineStr">
        <is>
          <t>Project89</t>
        </is>
      </c>
      <c r="B38" s="16" t="n">
        <v>674579</v>
      </c>
      <c r="C38" s="16" t="n">
        <v>597854</v>
      </c>
      <c r="D38" s="16" t="inlineStr">
        <is>
          <t>0.600100</t>
        </is>
      </c>
      <c r="E38" s="16" t="inlineStr">
        <is>
          <t>24.000 SOL</t>
        </is>
      </c>
      <c r="F38" s="16" t="inlineStr">
        <is>
          <t>49.451 SOL</t>
        </is>
      </c>
      <c r="G38" s="23" t="inlineStr">
        <is>
          <t>24.851 SOL</t>
        </is>
      </c>
      <c r="H38" s="23" t="inlineStr">
        <is>
          <t>101.02%</t>
        </is>
      </c>
      <c r="I38" s="16" t="inlineStr">
        <is>
          <t>N/A</t>
        </is>
      </c>
      <c r="J38" s="16" t="n">
        <v>12</v>
      </c>
      <c r="K38" s="16" t="n">
        <v>8</v>
      </c>
      <c r="L38" s="16" t="inlineStr">
        <is>
          <t>27.10.2024 00:48:53</t>
        </is>
      </c>
      <c r="M38" s="16" t="inlineStr">
        <is>
          <t>2 days</t>
        </is>
      </c>
      <c r="N38" s="16" t="inlineStr">
        <is>
          <t xml:space="preserve">          5M             5M             8M</t>
        </is>
      </c>
      <c r="O38" s="16" t="inlineStr">
        <is>
          <t>Bz4MhmVRQENiCou7ZpJ575wpjNFjBjVBSiVhuNg1pump</t>
        </is>
      </c>
      <c r="P38" s="16">
        <f>HYPERLINK("https://dexscreener.com/solana/Bz4MhmVRQENiCou7ZpJ575wpjNFjBjVBSiVhuNg1pump", "View")</f>
        <v/>
      </c>
    </row>
    <row r="39">
      <c r="A39" s="19" t="inlineStr">
        <is>
          <t>GNON</t>
        </is>
      </c>
      <c r="B39" s="20" t="n">
        <v>354004</v>
      </c>
      <c r="C39" s="20" t="n">
        <v>354004</v>
      </c>
      <c r="D39" s="20" t="inlineStr">
        <is>
          <t>0.440100</t>
        </is>
      </c>
      <c r="E39" s="20" t="inlineStr">
        <is>
          <t>52.000 SOL</t>
        </is>
      </c>
      <c r="F39" s="20" t="inlineStr">
        <is>
          <t>59.286 SOL</t>
        </is>
      </c>
      <c r="G39" s="22" t="inlineStr">
        <is>
          <t>6.846 SOL</t>
        </is>
      </c>
      <c r="H39" s="22" t="inlineStr">
        <is>
          <t>13.05%</t>
        </is>
      </c>
      <c r="I39" s="20" t="inlineStr">
        <is>
          <t>N/A</t>
        </is>
      </c>
      <c r="J39" s="20" t="n">
        <v>12</v>
      </c>
      <c r="K39" s="20" t="n">
        <v>8</v>
      </c>
      <c r="L39" s="20" t="inlineStr">
        <is>
          <t>27.10.2024 00:25:59</t>
        </is>
      </c>
      <c r="M39" s="20" t="inlineStr">
        <is>
          <t>1 days</t>
        </is>
      </c>
      <c r="N39" s="20" t="inlineStr">
        <is>
          <t xml:space="preserve">         22M            22M             4M</t>
        </is>
      </c>
      <c r="O39" s="20" t="inlineStr">
        <is>
          <t>HeJUFDxfJSzYFUuHLxkMqCgytU31G6mjP4wKviwqpump</t>
        </is>
      </c>
      <c r="P39" s="20">
        <f>HYPERLINK("https://dexscreener.com/solana/HeJUFDxfJSzYFUuHLxkMqCgytU31G6mjP4wKviwqpump", "View")</f>
        <v/>
      </c>
    </row>
    <row r="40">
      <c r="A40" s="15" t="inlineStr">
        <is>
          <t>DOTS</t>
        </is>
      </c>
      <c r="B40" s="16" t="n">
        <v>5107285</v>
      </c>
      <c r="C40" s="16" t="n">
        <v>0</v>
      </c>
      <c r="D40" s="16" t="inlineStr">
        <is>
          <t>0.040020</t>
        </is>
      </c>
      <c r="E40" s="16" t="inlineStr">
        <is>
          <t>8.000 SOL</t>
        </is>
      </c>
      <c r="F40" s="16" t="inlineStr">
        <is>
          <t>0.000 SOL</t>
        </is>
      </c>
      <c r="G40" s="17" t="inlineStr">
        <is>
          <t>-8.040 SOL</t>
        </is>
      </c>
      <c r="H40" s="17" t="inlineStr">
        <is>
          <t>0.00%</t>
        </is>
      </c>
      <c r="I40" s="16" t="inlineStr">
        <is>
          <t>5,107,285</t>
        </is>
      </c>
      <c r="J40" s="16" t="n">
        <v>4</v>
      </c>
      <c r="K40" s="16" t="n">
        <v>0</v>
      </c>
      <c r="L40" s="16" t="inlineStr">
        <is>
          <t>26.10.2024 21:25:47</t>
        </is>
      </c>
      <c r="M40" s="18" t="inlineStr">
        <is>
          <t>0 sec</t>
        </is>
      </c>
      <c r="N40" s="16" t="inlineStr">
        <is>
          <t xml:space="preserve">        276K           276K            25K</t>
        </is>
      </c>
      <c r="O40" s="16" t="inlineStr">
        <is>
          <t>HTYdC5YeGTZ88NA9h1WKzzamoXDcjRGxsjaeq4qjpump</t>
        </is>
      </c>
      <c r="P40" s="16">
        <f>HYPERLINK("https://dexscreener.com/solana/HTYdC5YeGTZ88NA9h1WKzzamoXDcjRGxsjaeq4qjpump", "View")</f>
        <v/>
      </c>
    </row>
    <row r="41">
      <c r="A41" s="19" t="inlineStr">
        <is>
          <t>ONYX</t>
        </is>
      </c>
      <c r="B41" s="20" t="n">
        <v>2110621</v>
      </c>
      <c r="C41" s="20" t="n">
        <v>0</v>
      </c>
      <c r="D41" s="20" t="inlineStr">
        <is>
          <t>0.040020</t>
        </is>
      </c>
      <c r="E41" s="20" t="inlineStr">
        <is>
          <t>8.000 SOL</t>
        </is>
      </c>
      <c r="F41" s="20" t="inlineStr">
        <is>
          <t>0.000 SOL</t>
        </is>
      </c>
      <c r="G41" s="17" t="inlineStr">
        <is>
          <t>-8.040 SOL</t>
        </is>
      </c>
      <c r="H41" s="17" t="inlineStr">
        <is>
          <t>0.00%</t>
        </is>
      </c>
      <c r="I41" s="20" t="inlineStr">
        <is>
          <t>2,110,621</t>
        </is>
      </c>
      <c r="J41" s="20" t="n">
        <v>4</v>
      </c>
      <c r="K41" s="20" t="n">
        <v>0</v>
      </c>
      <c r="L41" s="20" t="inlineStr">
        <is>
          <t>26.10.2024 10:26:36</t>
        </is>
      </c>
      <c r="M41" s="18" t="inlineStr">
        <is>
          <t>0 sec</t>
        </is>
      </c>
      <c r="N41" s="20" t="inlineStr">
        <is>
          <t xml:space="preserve">        666K           666K            45K</t>
        </is>
      </c>
      <c r="O41" s="20" t="inlineStr">
        <is>
          <t>71FqyeLTgw6xushf7nWRkRwkm3pqqAsD8CCjcjaapump</t>
        </is>
      </c>
      <c r="P41" s="20">
        <f>HYPERLINK("https://dexscreener.com/solana/71FqyeLTgw6xushf7nWRkRwkm3pqqAsD8CCjcjaapump", "View")</f>
        <v/>
      </c>
    </row>
    <row r="42">
      <c r="A42" s="15" t="inlineStr">
        <is>
          <t>wDOG</t>
        </is>
      </c>
      <c r="B42" s="16" t="n">
        <v>519503</v>
      </c>
      <c r="C42" s="16" t="n">
        <v>519503</v>
      </c>
      <c r="D42" s="16" t="inlineStr">
        <is>
          <t>0.080040</t>
        </is>
      </c>
      <c r="E42" s="16" t="inlineStr">
        <is>
          <t>20.000 SOL</t>
        </is>
      </c>
      <c r="F42" s="16" t="inlineStr">
        <is>
          <t>20.504 SOL</t>
        </is>
      </c>
      <c r="G42" s="22" t="inlineStr">
        <is>
          <t>0.424 SOL</t>
        </is>
      </c>
      <c r="H42" s="22" t="inlineStr">
        <is>
          <t>2.11%</t>
        </is>
      </c>
      <c r="I42" s="16" t="inlineStr">
        <is>
          <t>N/A</t>
        </is>
      </c>
      <c r="J42" s="16" t="n">
        <v>4</v>
      </c>
      <c r="K42" s="16" t="n">
        <v>4</v>
      </c>
      <c r="L42" s="16" t="inlineStr">
        <is>
          <t>25.10.2024 20:26:27</t>
        </is>
      </c>
      <c r="M42" s="16" t="inlineStr">
        <is>
          <t>1 hours</t>
        </is>
      </c>
      <c r="N42" s="16" t="inlineStr">
        <is>
          <t xml:space="preserve">          7M             7M             7M</t>
        </is>
      </c>
      <c r="O42" s="16" t="inlineStr">
        <is>
          <t>GYKmdfcUmZVrqfcH1g579BGjuzSRijj3LBuwv79rpump</t>
        </is>
      </c>
      <c r="P42" s="16">
        <f>HYPERLINK("https://dexscreener.com/solana/GYKmdfcUmZVrqfcH1g579BGjuzSRijj3LBuwv79rpump", "View")</f>
        <v/>
      </c>
    </row>
    <row r="43">
      <c r="A43" s="19" t="inlineStr">
        <is>
          <t>CIGA</t>
        </is>
      </c>
      <c r="B43" s="20" t="n">
        <v>78262031</v>
      </c>
      <c r="C43" s="20" t="n">
        <v>0</v>
      </c>
      <c r="D43" s="20" t="inlineStr">
        <is>
          <t>0.240040</t>
        </is>
      </c>
      <c r="E43" s="20" t="inlineStr">
        <is>
          <t>8.473 SOL</t>
        </is>
      </c>
      <c r="F43" s="20" t="inlineStr">
        <is>
          <t>0.000 SOL</t>
        </is>
      </c>
      <c r="G43" s="17" t="inlineStr">
        <is>
          <t>-8.713 SOL</t>
        </is>
      </c>
      <c r="H43" s="17" t="inlineStr">
        <is>
          <t>0.00%</t>
        </is>
      </c>
      <c r="I43" s="20" t="inlineStr">
        <is>
          <t>78,262,031</t>
        </is>
      </c>
      <c r="J43" s="20" t="n">
        <v>8</v>
      </c>
      <c r="K43" s="20" t="n">
        <v>0</v>
      </c>
      <c r="L43" s="20" t="inlineStr">
        <is>
          <t>25.10.2024 05:20:06</t>
        </is>
      </c>
      <c r="M43" s="20" t="inlineStr">
        <is>
          <t>58 min</t>
        </is>
      </c>
      <c r="N43" s="20" t="inlineStr">
        <is>
          <t xml:space="preserve">         18K            18K             6K</t>
        </is>
      </c>
      <c r="O43" s="20" t="inlineStr">
        <is>
          <t>13SNK36N9pNatG7SyqindWJQufQqf7qXLQu6e8tUsYDr</t>
        </is>
      </c>
      <c r="P43" s="20">
        <f>HYPERLINK("https://photon-sol.tinyastro.io/en/lp/13SNK36N9pNatG7SyqindWJQufQqf7qXLQu6e8tUsYDr?handle=676050794bc1b1657a56b", "View")</f>
        <v/>
      </c>
    </row>
    <row r="44">
      <c r="A44" s="15" t="inlineStr">
        <is>
          <t>Attention</t>
        </is>
      </c>
      <c r="B44" s="16" t="n">
        <v>43312032</v>
      </c>
      <c r="C44" s="16" t="n">
        <v>32484024</v>
      </c>
      <c r="D44" s="16" t="inlineStr">
        <is>
          <t>0.740160</t>
        </is>
      </c>
      <c r="E44" s="16" t="inlineStr">
        <is>
          <t>32.000 SOL</t>
        </is>
      </c>
      <c r="F44" s="16" t="inlineStr">
        <is>
          <t>4.200 SOL</t>
        </is>
      </c>
      <c r="G44" s="24" t="inlineStr">
        <is>
          <t>-28.540 SOL</t>
        </is>
      </c>
      <c r="H44" s="24" t="inlineStr">
        <is>
          <t>-87.17%</t>
        </is>
      </c>
      <c r="I44" s="16" t="inlineStr">
        <is>
          <t>N/A</t>
        </is>
      </c>
      <c r="J44" s="16" t="n">
        <v>28</v>
      </c>
      <c r="K44" s="16" t="n">
        <v>4</v>
      </c>
      <c r="L44" s="16" t="inlineStr">
        <is>
          <t>25.10.2024 04:23:05</t>
        </is>
      </c>
      <c r="M44" s="16" t="inlineStr">
        <is>
          <t>3 days</t>
        </is>
      </c>
      <c r="N44" s="16" t="inlineStr">
        <is>
          <t xml:space="preserve">        618K           161K            23K</t>
        </is>
      </c>
      <c r="O44" s="16" t="inlineStr">
        <is>
          <t>gVjogZYnqBd8jxqhKdV64TcAoiFDcjH1iYZCPfCpump</t>
        </is>
      </c>
      <c r="P44" s="16">
        <f>HYPERLINK("https://dexscreener.com/solana/gVjogZYnqBd8jxqhKdV64TcAoiFDcjH1iYZCPfCpump", "View")</f>
        <v/>
      </c>
    </row>
    <row r="45">
      <c r="A45" s="19" t="inlineStr">
        <is>
          <t xml:space="preserve">Kiri </t>
        </is>
      </c>
      <c r="B45" s="20" t="n">
        <v>892163</v>
      </c>
      <c r="C45" s="20" t="n">
        <v>892163</v>
      </c>
      <c r="D45" s="20" t="inlineStr">
        <is>
          <t>0.320040</t>
        </is>
      </c>
      <c r="E45" s="20" t="inlineStr">
        <is>
          <t>20.000 SOL</t>
        </is>
      </c>
      <c r="F45" s="20" t="inlineStr">
        <is>
          <t>20.060 SOL</t>
        </is>
      </c>
      <c r="G45" s="21" t="inlineStr">
        <is>
          <t>-0.260 SOL</t>
        </is>
      </c>
      <c r="H45" s="21" t="inlineStr">
        <is>
          <t>-1.28%</t>
        </is>
      </c>
      <c r="I45" s="20" t="inlineStr">
        <is>
          <t>N/A</t>
        </is>
      </c>
      <c r="J45" s="20" t="n">
        <v>4</v>
      </c>
      <c r="K45" s="20" t="n">
        <v>4</v>
      </c>
      <c r="L45" s="20" t="inlineStr">
        <is>
          <t>25.10.2024 01:13:41</t>
        </is>
      </c>
      <c r="M45" s="20" t="inlineStr">
        <is>
          <t>2 min</t>
        </is>
      </c>
      <c r="N45" s="20" t="inlineStr">
        <is>
          <t xml:space="preserve">          4M             4M           183K</t>
        </is>
      </c>
      <c r="O45" s="20" t="inlineStr">
        <is>
          <t>3Ei8SaoL4JWZv1XsWePqiAjVtb7QtpJbV2TSuURmpump</t>
        </is>
      </c>
      <c r="P45" s="20">
        <f>HYPERLINK("https://dexscreener.com/solana/3Ei8SaoL4JWZv1XsWePqiAjVtb7QtpJbV2TSuURmpump", "View")</f>
        <v/>
      </c>
    </row>
    <row r="46">
      <c r="A46" s="15" t="inlineStr">
        <is>
          <t>ALICE</t>
        </is>
      </c>
      <c r="B46" s="16" t="n">
        <v>9709378</v>
      </c>
      <c r="C46" s="16" t="n">
        <v>9709378</v>
      </c>
      <c r="D46" s="16" t="inlineStr">
        <is>
          <t>0.520060</t>
        </is>
      </c>
      <c r="E46" s="16" t="inlineStr">
        <is>
          <t>16.000 SOL</t>
        </is>
      </c>
      <c r="F46" s="16" t="inlineStr">
        <is>
          <t>22.244 SOL</t>
        </is>
      </c>
      <c r="G46" s="22" t="inlineStr">
        <is>
          <t>5.724 SOL</t>
        </is>
      </c>
      <c r="H46" s="22" t="inlineStr">
        <is>
          <t>34.65%</t>
        </is>
      </c>
      <c r="I46" s="16" t="inlineStr">
        <is>
          <t>N/A</t>
        </is>
      </c>
      <c r="J46" s="16" t="n">
        <v>8</v>
      </c>
      <c r="K46" s="16" t="n">
        <v>4</v>
      </c>
      <c r="L46" s="16" t="inlineStr">
        <is>
          <t>25.10.2024 00:06:04</t>
        </is>
      </c>
      <c r="M46" s="16" t="inlineStr">
        <is>
          <t>3 min</t>
        </is>
      </c>
      <c r="N46" s="16" t="inlineStr">
        <is>
          <t xml:space="preserve">        274K           402K             6K</t>
        </is>
      </c>
      <c r="O46" s="16" t="inlineStr">
        <is>
          <t>GseN9qQgb1hNoQnxfV78xLzftDB9okxziSctcHgkpump</t>
        </is>
      </c>
      <c r="P46" s="16">
        <f>HYPERLINK("https://dexscreener.com/solana/GseN9qQgb1hNoQnxfV78xLzftDB9okxziSctcHgkpump", "View")</f>
        <v/>
      </c>
    </row>
    <row r="47">
      <c r="A47" s="19" t="inlineStr">
        <is>
          <t>GPT2</t>
        </is>
      </c>
      <c r="B47" s="20" t="n">
        <v>578291</v>
      </c>
      <c r="C47" s="20" t="n">
        <v>419705</v>
      </c>
      <c r="D47" s="20" t="inlineStr">
        <is>
          <t>1.240140</t>
        </is>
      </c>
      <c r="E47" s="20" t="inlineStr">
        <is>
          <t>44.000 SOL</t>
        </is>
      </c>
      <c r="F47" s="20" t="inlineStr">
        <is>
          <t>27.359 SOL</t>
        </is>
      </c>
      <c r="G47" s="21" t="inlineStr">
        <is>
          <t>-17.881 SOL</t>
        </is>
      </c>
      <c r="H47" s="21" t="inlineStr">
        <is>
          <t>-39.53%</t>
        </is>
      </c>
      <c r="I47" s="20" t="inlineStr">
        <is>
          <t>N/A</t>
        </is>
      </c>
      <c r="J47" s="20" t="n">
        <v>20</v>
      </c>
      <c r="K47" s="20" t="n">
        <v>8</v>
      </c>
      <c r="L47" s="20" t="inlineStr">
        <is>
          <t>24.10.2024 23:53:05</t>
        </is>
      </c>
      <c r="M47" s="20" t="inlineStr">
        <is>
          <t>2 hours</t>
        </is>
      </c>
      <c r="N47" s="20" t="inlineStr">
        <is>
          <t xml:space="preserve">         10M            19M           166K</t>
        </is>
      </c>
      <c r="O47" s="20" t="inlineStr">
        <is>
          <t>4B3NXEKgsT9hsadpCKNEwSXj6aDqwR7iqe5GzvgKpump</t>
        </is>
      </c>
      <c r="P47" s="20">
        <f>HYPERLINK("https://dexscreener.com/solana/4B3NXEKgsT9hsadpCKNEwSXj6aDqwR7iqe5GzvgKpump", "View")</f>
        <v/>
      </c>
    </row>
    <row r="48">
      <c r="A48" s="15" t="inlineStr">
        <is>
          <t>NEO</t>
        </is>
      </c>
      <c r="B48" s="16" t="n">
        <v>3134201</v>
      </c>
      <c r="C48" s="16" t="n">
        <v>3134201</v>
      </c>
      <c r="D48" s="16" t="inlineStr">
        <is>
          <t>0.320040</t>
        </is>
      </c>
      <c r="E48" s="16" t="inlineStr">
        <is>
          <t>12.000 SOL</t>
        </is>
      </c>
      <c r="F48" s="16" t="inlineStr">
        <is>
          <t>8.814 SOL</t>
        </is>
      </c>
      <c r="G48" s="21" t="inlineStr">
        <is>
          <t>-3.506 SOL</t>
        </is>
      </c>
      <c r="H48" s="21" t="inlineStr">
        <is>
          <t>-28.45%</t>
        </is>
      </c>
      <c r="I48" s="16" t="inlineStr">
        <is>
          <t>N/A</t>
        </is>
      </c>
      <c r="J48" s="16" t="n">
        <v>4</v>
      </c>
      <c r="K48" s="16" t="n">
        <v>4</v>
      </c>
      <c r="L48" s="16" t="inlineStr">
        <is>
          <t>24.10.2024 04:34:48</t>
        </is>
      </c>
      <c r="M48" s="16" t="inlineStr">
        <is>
          <t>1 min</t>
        </is>
      </c>
      <c r="N48" s="16" t="inlineStr">
        <is>
          <t xml:space="preserve">        673K           493K            18K</t>
        </is>
      </c>
      <c r="O48" s="16" t="inlineStr">
        <is>
          <t>E5B5yyJWgNSQCHELcPWHsHPmpxj97rTnifNo28RXpump</t>
        </is>
      </c>
      <c r="P48" s="16">
        <f>HYPERLINK("https://dexscreener.com/solana/E5B5yyJWgNSQCHELcPWHsHPmpxj97rTnifNo28RXpump", "View")</f>
        <v/>
      </c>
    </row>
    <row r="49">
      <c r="A49" s="19" t="inlineStr">
        <is>
          <t>Docuverse</t>
        </is>
      </c>
      <c r="B49" s="20" t="n">
        <v>16641184</v>
      </c>
      <c r="C49" s="20" t="n">
        <v>16641184</v>
      </c>
      <c r="D49" s="20" t="inlineStr">
        <is>
          <t>0.440060</t>
        </is>
      </c>
      <c r="E49" s="20" t="inlineStr">
        <is>
          <t>12.000 SOL</t>
        </is>
      </c>
      <c r="F49" s="20" t="inlineStr">
        <is>
          <t>6.370 SOL</t>
        </is>
      </c>
      <c r="G49" s="21" t="inlineStr">
        <is>
          <t>-6.070 SOL</t>
        </is>
      </c>
      <c r="H49" s="21" t="inlineStr">
        <is>
          <t>-48.79%</t>
        </is>
      </c>
      <c r="I49" s="20" t="inlineStr">
        <is>
          <t>N/A</t>
        </is>
      </c>
      <c r="J49" s="20" t="n">
        <v>4</v>
      </c>
      <c r="K49" s="20" t="n">
        <v>8</v>
      </c>
      <c r="L49" s="20" t="inlineStr">
        <is>
          <t>24.10.2024 00:26:14</t>
        </is>
      </c>
      <c r="M49" s="20" t="inlineStr">
        <is>
          <t>8 min</t>
        </is>
      </c>
      <c r="N49" s="20" t="inlineStr">
        <is>
          <t xml:space="preserve">        126K            65K             4K</t>
        </is>
      </c>
      <c r="O49" s="20" t="inlineStr">
        <is>
          <t>qtcA7YoqGHybqFhBi8MjaU4rgppRepffxsPU167pump</t>
        </is>
      </c>
      <c r="P49" s="20">
        <f>HYPERLINK("https://dexscreener.com/solana/qtcA7YoqGHybqFhBi8MjaU4rgppRepffxsPU167pump", "View")</f>
        <v/>
      </c>
    </row>
    <row r="50">
      <c r="A50" s="15" t="inlineStr">
        <is>
          <t>DEB8</t>
        </is>
      </c>
      <c r="B50" s="16" t="n">
        <v>6777242</v>
      </c>
      <c r="C50" s="16" t="n">
        <v>0</v>
      </c>
      <c r="D50" s="16" t="inlineStr">
        <is>
          <t>0.200020</t>
        </is>
      </c>
      <c r="E50" s="16" t="inlineStr">
        <is>
          <t>16.000 SOL</t>
        </is>
      </c>
      <c r="F50" s="16" t="inlineStr">
        <is>
          <t>0.000 SOL</t>
        </is>
      </c>
      <c r="G50" s="17" t="inlineStr">
        <is>
          <t>-16.200 SOL</t>
        </is>
      </c>
      <c r="H50" s="17" t="inlineStr">
        <is>
          <t>0.00%</t>
        </is>
      </c>
      <c r="I50" s="16" t="inlineStr">
        <is>
          <t>6,777,242</t>
        </is>
      </c>
      <c r="J50" s="16" t="n">
        <v>4</v>
      </c>
      <c r="K50" s="16" t="n">
        <v>0</v>
      </c>
      <c r="L50" s="16" t="inlineStr">
        <is>
          <t>23.10.2024 21:52:04</t>
        </is>
      </c>
      <c r="M50" s="18" t="inlineStr">
        <is>
          <t>0 sec</t>
        </is>
      </c>
      <c r="N50" s="16" t="inlineStr">
        <is>
          <t xml:space="preserve">        414K           414K             6K</t>
        </is>
      </c>
      <c r="O50" s="16" t="inlineStr">
        <is>
          <t>615Taa2om1k1yvSTsAJHZmHgk7xNuwrYsxCb5yPMpump</t>
        </is>
      </c>
      <c r="P50" s="16">
        <f>HYPERLINK("https://dexscreener.com/solana/615Taa2om1k1yvSTsAJHZmHgk7xNuwrYsxCb5yPMpump", "View")</f>
        <v/>
      </c>
    </row>
    <row r="51">
      <c r="A51" s="19" t="inlineStr">
        <is>
          <t>TOL</t>
        </is>
      </c>
      <c r="B51" s="20" t="n">
        <v>28729207</v>
      </c>
      <c r="C51" s="20" t="n">
        <v>10193877</v>
      </c>
      <c r="D51" s="20" t="inlineStr">
        <is>
          <t>0.920180</t>
        </is>
      </c>
      <c r="E51" s="20" t="inlineStr">
        <is>
          <t>12.000 SOL</t>
        </is>
      </c>
      <c r="F51" s="20" t="inlineStr">
        <is>
          <t>79.731 SOL</t>
        </is>
      </c>
      <c r="G51" s="23" t="inlineStr">
        <is>
          <t>66.811 SOL</t>
        </is>
      </c>
      <c r="H51" s="23" t="inlineStr">
        <is>
          <t>517.11%</t>
        </is>
      </c>
      <c r="I51" s="20" t="inlineStr">
        <is>
          <t>N/A</t>
        </is>
      </c>
      <c r="J51" s="20" t="n">
        <v>4</v>
      </c>
      <c r="K51" s="20" t="n">
        <v>32</v>
      </c>
      <c r="L51" s="20" t="inlineStr">
        <is>
          <t>23.10.2024 13:55:07</t>
        </is>
      </c>
      <c r="M51" s="20" t="inlineStr">
        <is>
          <t>12 hours</t>
        </is>
      </c>
      <c r="N51" s="20" t="inlineStr">
        <is>
          <t xml:space="preserve">         70K             2M            18K</t>
        </is>
      </c>
      <c r="O51" s="20" t="inlineStr">
        <is>
          <t>8SJHvukeqYDyGi64zdv4AM4GrktUtaB7wPMgM3EHpump</t>
        </is>
      </c>
      <c r="P51" s="20">
        <f>HYPERLINK("https://dexscreener.com/solana/8SJHvukeqYDyGi64zdv4AM4GrktUtaB7wPMgM3EHpump", "View")</f>
        <v/>
      </c>
    </row>
    <row r="52">
      <c r="A52" s="15" t="inlineStr">
        <is>
          <t>suyasuya</t>
        </is>
      </c>
      <c r="B52" s="16" t="n">
        <v>113007205</v>
      </c>
      <c r="C52" s="16" t="n">
        <v>39558241</v>
      </c>
      <c r="D52" s="16" t="inlineStr">
        <is>
          <t>0.800140</t>
        </is>
      </c>
      <c r="E52" s="16" t="inlineStr">
        <is>
          <t>4.796 SOL</t>
        </is>
      </c>
      <c r="F52" s="16" t="inlineStr">
        <is>
          <t>107.233 SOL</t>
        </is>
      </c>
      <c r="G52" s="23" t="inlineStr">
        <is>
          <t>101.637 SOL</t>
        </is>
      </c>
      <c r="H52" s="23" t="inlineStr">
        <is>
          <t>1816.17%</t>
        </is>
      </c>
      <c r="I52" s="16" t="inlineStr">
        <is>
          <t>N/A</t>
        </is>
      </c>
      <c r="J52" s="16" t="n">
        <v>4</v>
      </c>
      <c r="K52" s="16" t="n">
        <v>24</v>
      </c>
      <c r="L52" s="16" t="inlineStr">
        <is>
          <t>23.10.2024 10:24:39</t>
        </is>
      </c>
      <c r="M52" s="16" t="inlineStr">
        <is>
          <t>1 hours</t>
        </is>
      </c>
      <c r="N52" s="16" t="inlineStr">
        <is>
          <t xml:space="preserve">          7K             7K            14K</t>
        </is>
      </c>
      <c r="O52" s="16" t="inlineStr">
        <is>
          <t>3Y2Nnu5EDAQHurxmiv2sgpxtZtYV8eNnKNXacWgDpump</t>
        </is>
      </c>
      <c r="P52" s="16">
        <f>HYPERLINK("https://photon-sol.tinyastro.io/en/lp/3Y2Nnu5EDAQHurxmiv2sgpxtZtYV8eNnKNXacWgDpump?handle=676050794bc1b1657a56b", "View")</f>
        <v/>
      </c>
    </row>
    <row r="53">
      <c r="A53" s="19" t="inlineStr">
        <is>
          <t>aiJESUS</t>
        </is>
      </c>
      <c r="B53" s="20" t="n">
        <v>3294122</v>
      </c>
      <c r="C53" s="20" t="n">
        <v>3294122</v>
      </c>
      <c r="D53" s="20" t="inlineStr">
        <is>
          <t>0.140040</t>
        </is>
      </c>
      <c r="E53" s="20" t="inlineStr">
        <is>
          <t>4.000 SOL</t>
        </is>
      </c>
      <c r="F53" s="20" t="inlineStr">
        <is>
          <t>5.003 SOL</t>
        </is>
      </c>
      <c r="G53" s="22" t="inlineStr">
        <is>
          <t>0.863 SOL</t>
        </is>
      </c>
      <c r="H53" s="22" t="inlineStr">
        <is>
          <t>20.84%</t>
        </is>
      </c>
      <c r="I53" s="20" t="inlineStr">
        <is>
          <t>N/A</t>
        </is>
      </c>
      <c r="J53" s="20" t="n">
        <v>4</v>
      </c>
      <c r="K53" s="20" t="n">
        <v>4</v>
      </c>
      <c r="L53" s="20" t="inlineStr">
        <is>
          <t>22.10.2024 04:54:10</t>
        </is>
      </c>
      <c r="M53" s="20" t="inlineStr">
        <is>
          <t>1 min</t>
        </is>
      </c>
      <c r="N53" s="20" t="inlineStr">
        <is>
          <t xml:space="preserve">        212K           267K            20K</t>
        </is>
      </c>
      <c r="O53" s="20" t="inlineStr">
        <is>
          <t>HxCHmV7w7DNsh6GkftwL7Ykmvx5U41C3LHnosGJJpump</t>
        </is>
      </c>
      <c r="P53" s="20">
        <f>HYPERLINK("https://dexscreener.com/solana/HxCHmV7w7DNsh6GkftwL7Ykmvx5U41C3LHnosGJJpump", "View")</f>
        <v/>
      </c>
    </row>
    <row r="54">
      <c r="A54" s="15" t="inlineStr">
        <is>
          <t>JEM</t>
        </is>
      </c>
      <c r="B54" s="16" t="n">
        <v>10088472</v>
      </c>
      <c r="C54" s="16" t="n">
        <v>8322989</v>
      </c>
      <c r="D54" s="16" t="inlineStr">
        <is>
          <t>0.200060</t>
        </is>
      </c>
      <c r="E54" s="16" t="inlineStr">
        <is>
          <t>12.000 SOL</t>
        </is>
      </c>
      <c r="F54" s="16" t="inlineStr">
        <is>
          <t>29.783 SOL</t>
        </is>
      </c>
      <c r="G54" s="23" t="inlineStr">
        <is>
          <t>17.583 SOL</t>
        </is>
      </c>
      <c r="H54" s="23" t="inlineStr">
        <is>
          <t>144.12%</t>
        </is>
      </c>
      <c r="I54" s="16" t="inlineStr">
        <is>
          <t>N/A</t>
        </is>
      </c>
      <c r="J54" s="16" t="n">
        <v>4</v>
      </c>
      <c r="K54" s="16" t="n">
        <v>8</v>
      </c>
      <c r="L54" s="16" t="inlineStr">
        <is>
          <t>22.10.2024 04:23:08</t>
        </is>
      </c>
      <c r="M54" s="16" t="inlineStr">
        <is>
          <t>4 min</t>
        </is>
      </c>
      <c r="N54" s="16" t="inlineStr">
        <is>
          <t xml:space="preserve">        209K           623K             8K</t>
        </is>
      </c>
      <c r="O54" s="16" t="inlineStr">
        <is>
          <t>BepS3Mg3VqFuzyoNNB4B79jY9wHD1R6L2ezn8pnYpump</t>
        </is>
      </c>
      <c r="P54" s="16">
        <f>HYPERLINK("https://dexscreener.com/solana/BepS3Mg3VqFuzyoNNB4B79jY9wHD1R6L2ezn8pnYpump", "View")</f>
        <v/>
      </c>
    </row>
    <row r="55">
      <c r="A55" s="19" t="inlineStr">
        <is>
          <t>YODI</t>
        </is>
      </c>
      <c r="B55" s="20" t="n">
        <v>5125504</v>
      </c>
      <c r="C55" s="20" t="n">
        <v>0</v>
      </c>
      <c r="D55" s="20" t="inlineStr">
        <is>
          <t>0.080020</t>
        </is>
      </c>
      <c r="E55" s="20" t="inlineStr">
        <is>
          <t>4.000 SOL</t>
        </is>
      </c>
      <c r="F55" s="20" t="inlineStr">
        <is>
          <t>0.000 SOL</t>
        </is>
      </c>
      <c r="G55" s="17" t="inlineStr">
        <is>
          <t>-4.080 SOL</t>
        </is>
      </c>
      <c r="H55" s="17" t="inlineStr">
        <is>
          <t>0.00%</t>
        </is>
      </c>
      <c r="I55" s="20" t="inlineStr">
        <is>
          <t>5,125,504</t>
        </is>
      </c>
      <c r="J55" s="20" t="n">
        <v>4</v>
      </c>
      <c r="K55" s="20" t="n">
        <v>0</v>
      </c>
      <c r="L55" s="20" t="inlineStr">
        <is>
          <t>22.10.2024 03:00:08</t>
        </is>
      </c>
      <c r="M55" s="18" t="inlineStr">
        <is>
          <t>0 sec</t>
        </is>
      </c>
      <c r="N55" s="20" t="inlineStr">
        <is>
          <t xml:space="preserve">        137K           137K             5K</t>
        </is>
      </c>
      <c r="O55" s="20" t="inlineStr">
        <is>
          <t>3367MdSa5As8FJUq2c5pkNwWjGtB9TMN4dvnJVk8gFbH</t>
        </is>
      </c>
      <c r="P55" s="20">
        <f>HYPERLINK("https://dexscreener.com/solana/3367MdSa5As8FJUq2c5pkNwWjGtB9TMN4dvnJVk8gFbH", "View")</f>
        <v/>
      </c>
    </row>
    <row r="56">
      <c r="A56" s="15" t="inlineStr">
        <is>
          <t>morud</t>
        </is>
      </c>
      <c r="B56" s="16" t="n">
        <v>191168</v>
      </c>
      <c r="C56" s="16" t="n">
        <v>0</v>
      </c>
      <c r="D56" s="16" t="inlineStr">
        <is>
          <t>0.080020</t>
        </is>
      </c>
      <c r="E56" s="16" t="inlineStr">
        <is>
          <t>4.000 SOL</t>
        </is>
      </c>
      <c r="F56" s="16" t="inlineStr">
        <is>
          <t>0.000 SOL</t>
        </is>
      </c>
      <c r="G56" s="17" t="inlineStr">
        <is>
          <t>-4.080 SOL</t>
        </is>
      </c>
      <c r="H56" s="17" t="inlineStr">
        <is>
          <t>0.00%</t>
        </is>
      </c>
      <c r="I56" s="16" t="inlineStr">
        <is>
          <t>191,168</t>
        </is>
      </c>
      <c r="J56" s="16" t="n">
        <v>4</v>
      </c>
      <c r="K56" s="16" t="n">
        <v>0</v>
      </c>
      <c r="L56" s="16" t="inlineStr">
        <is>
          <t>22.10.2024 02:10:55</t>
        </is>
      </c>
      <c r="M56" s="18" t="inlineStr">
        <is>
          <t>0 sec</t>
        </is>
      </c>
      <c r="N56" s="16" t="inlineStr">
        <is>
          <t xml:space="preserve">          4M             4M             3M</t>
        </is>
      </c>
      <c r="O56" s="16" t="inlineStr">
        <is>
          <t>FskzSqy7Pi1f3nWorr4WhhQboxzyv8fv6Q2e8xyDpump</t>
        </is>
      </c>
      <c r="P56" s="16">
        <f>HYPERLINK("https://dexscreener.com/solana/FskzSqy7Pi1f3nWorr4WhhQboxzyv8fv6Q2e8xyDpump", "View")</f>
        <v/>
      </c>
    </row>
    <row r="57">
      <c r="A57" s="19" t="inlineStr">
        <is>
          <t>fun</t>
        </is>
      </c>
      <c r="B57" s="20" t="n">
        <v>3580415</v>
      </c>
      <c r="C57" s="20" t="n">
        <v>3580415</v>
      </c>
      <c r="D57" s="20" t="inlineStr">
        <is>
          <t>0.180060</t>
        </is>
      </c>
      <c r="E57" s="20" t="inlineStr">
        <is>
          <t>12.000 SOL</t>
        </is>
      </c>
      <c r="F57" s="20" t="inlineStr">
        <is>
          <t>12.705 SOL</t>
        </is>
      </c>
      <c r="G57" s="22" t="inlineStr">
        <is>
          <t>0.525 SOL</t>
        </is>
      </c>
      <c r="H57" s="22" t="inlineStr">
        <is>
          <t>4.31%</t>
        </is>
      </c>
      <c r="I57" s="20" t="inlineStr">
        <is>
          <t>N/A</t>
        </is>
      </c>
      <c r="J57" s="20" t="n">
        <v>4</v>
      </c>
      <c r="K57" s="20" t="n">
        <v>8</v>
      </c>
      <c r="L57" s="20" t="inlineStr">
        <is>
          <t>22.10.2024 01:41:21</t>
        </is>
      </c>
      <c r="M57" s="20" t="inlineStr">
        <is>
          <t>3 min</t>
        </is>
      </c>
      <c r="N57" s="20" t="inlineStr">
        <is>
          <t xml:space="preserve">        568K           417K           325K</t>
        </is>
      </c>
      <c r="O57" s="20" t="inlineStr">
        <is>
          <t>9MnKTgwFyXJgnZumHGT9NdHuzm98ACjkNwpLniLhpump</t>
        </is>
      </c>
      <c r="P57" s="20">
        <f>HYPERLINK("https://dexscreener.com/solana/9MnKTgwFyXJgnZumHGT9NdHuzm98ACjkNwpLniLhpump", "View")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HYPERLINK("https://gmgn.ai/sol/address/9UHGG5A73zsxE5uB5ZB67wc3p7zoNEer8assxVpJ7w3t", "GMGN")</f>
        <v/>
      </c>
    </row>
    <row r="2">
      <c r="A2" s="3" t="inlineStr">
        <is>
          <t>9UHGG5A73zsxE5uB5ZB67wc3p7zoNEer8assxVpJ7w3t</t>
        </is>
      </c>
      <c r="B2" s="3" t="inlineStr">
        <is>
          <t>10.86 SOL</t>
        </is>
      </c>
      <c r="C2" s="3" t="inlineStr">
        <is>
          <t>56%</t>
        </is>
      </c>
      <c r="D2" s="3" t="inlineStr">
        <is>
          <t>86%</t>
        </is>
      </c>
      <c r="E2" s="3" t="inlineStr">
        <is>
          <t>8.27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3 days</t>
        </is>
      </c>
      <c r="K2" s="3" t="inlineStr">
        <is>
          <t>4 min</t>
        </is>
      </c>
      <c r="L2" s="3" t="n">
        <v>9</v>
      </c>
      <c r="M2" s="3" t="n">
        <v>2</v>
      </c>
      <c r="N2" s="3">
        <f>HYPERLINK("https://solscan.io/account/9UHGG5A73zsxE5uB5ZB67wc3p7zoNEer8assxVpJ7w3t", "Solscan")</f>
        <v/>
      </c>
    </row>
    <row r="3">
      <c r="A3" s="6" t="inlineStr">
        <is>
          <t>Median ROI</t>
        </is>
      </c>
      <c r="B3" s="4" t="inlineStr">
        <is>
          <t>18.32%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HYPERLINK("https://birdeye.so/profile/9UHGG5A73zsxE5uB5ZB67wc3p7zoNEer8assxVpJ7w3t", "Birdeye")</f>
        <v/>
      </c>
    </row>
    <row r="4">
      <c r="A4" s="6" t="inlineStr">
        <is>
          <t>Rockets percent</t>
        </is>
      </c>
      <c r="B4" s="4" t="inlineStr">
        <is>
          <t>33%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3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3</v>
      </c>
      <c r="D10" s="6" t="n">
        <v>1</v>
      </c>
      <c r="E10" s="6" t="n">
        <v>1</v>
      </c>
      <c r="F10" s="6" t="n">
        <v>2</v>
      </c>
      <c r="G10" s="6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33.3%</t>
        </is>
      </c>
      <c r="D11" s="6" t="inlineStr">
        <is>
          <t>11.1%</t>
        </is>
      </c>
      <c r="E11" s="6" t="inlineStr">
        <is>
          <t>11.1%</t>
        </is>
      </c>
      <c r="F11" s="6" t="inlineStr">
        <is>
          <t>22.2%</t>
        </is>
      </c>
      <c r="G11" s="6" t="inlineStr">
        <is>
          <t>22.2%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8.6 SOL</t>
        </is>
      </c>
      <c r="D12" s="6" t="inlineStr">
        <is>
          <t>1.3 SOL</t>
        </is>
      </c>
      <c r="E12" s="6" t="inlineStr">
        <is>
          <t>0.2 SOL</t>
        </is>
      </c>
      <c r="F12" s="6" t="inlineStr">
        <is>
          <t>-0.4 SOL</t>
        </is>
      </c>
      <c r="G12" s="6" t="inlineStr">
        <is>
          <t>-1.5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17.0K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SHINE</t>
        </is>
      </c>
      <c r="B20" s="16" t="n">
        <v>7921667</v>
      </c>
      <c r="C20" s="16" t="n">
        <v>7921667</v>
      </c>
      <c r="D20" s="16" t="inlineStr">
        <is>
          <t>0.060010</t>
        </is>
      </c>
      <c r="E20" s="16" t="inlineStr">
        <is>
          <t>0.809 SOL</t>
        </is>
      </c>
      <c r="F20" s="16" t="inlineStr">
        <is>
          <t>0.569 SOL</t>
        </is>
      </c>
      <c r="G20" s="21" t="inlineStr">
        <is>
          <t>-0.300 SOL</t>
        </is>
      </c>
      <c r="H20" s="21" t="inlineStr">
        <is>
          <t>-34.48%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17:17:12</t>
        </is>
      </c>
      <c r="M20" s="16" t="inlineStr">
        <is>
          <t>3 min</t>
        </is>
      </c>
      <c r="N20" s="16" t="inlineStr">
        <is>
          <t xml:space="preserve">         18K            18K             4K</t>
        </is>
      </c>
      <c r="O20" s="16" t="inlineStr">
        <is>
          <t>7WzjS8eRhoVb495GKwJZEKkTCP3v7Ymjh4yCy3rVpump</t>
        </is>
      </c>
      <c r="P20" s="16">
        <f>HYPERLINK("https://photon-sol.tinyastro.io/en/lp/7WzjS8eRhoVb495GKwJZEKkTCP3v7Ymjh4yCy3rVpump?handle=676050794bc1b1657a56b", "View")</f>
        <v/>
      </c>
    </row>
    <row r="21">
      <c r="A21" s="19" t="inlineStr">
        <is>
          <t>ZEN</t>
        </is>
      </c>
      <c r="B21" s="20" t="n">
        <v>9438978</v>
      </c>
      <c r="C21" s="20" t="n">
        <v>9438978</v>
      </c>
      <c r="D21" s="20" t="inlineStr">
        <is>
          <t>0.220010</t>
        </is>
      </c>
      <c r="E21" s="20" t="inlineStr">
        <is>
          <t>0.924 SOL</t>
        </is>
      </c>
      <c r="F21" s="20" t="inlineStr">
        <is>
          <t>1.354 SOL</t>
        </is>
      </c>
      <c r="G21" s="22" t="inlineStr">
        <is>
          <t>0.210 SOL</t>
        </is>
      </c>
      <c r="H21" s="22" t="inlineStr">
        <is>
          <t>18.32%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16:41:56</t>
        </is>
      </c>
      <c r="M21" s="20" t="inlineStr">
        <is>
          <t>3 min</t>
        </is>
      </c>
      <c r="N21" s="20" t="inlineStr">
        <is>
          <t xml:space="preserve">        N/A           N/A           N/A</t>
        </is>
      </c>
      <c r="O21" s="20" t="inlineStr">
        <is>
          <t>4KdmmBF845nJknS1DpWWdL8CsjKExFoUmiEnzHrtpump</t>
        </is>
      </c>
      <c r="P21" s="20">
        <f>HYPERLINK("https://photon-sol.tinyastro.io/en/lp/4KdmmBF845nJknS1DpWWdL8CsjKExFoUmiEnzHrtpump?handle=676050794bc1b1657a56b", "View")</f>
        <v/>
      </c>
    </row>
    <row r="22">
      <c r="A22" s="15" t="inlineStr">
        <is>
          <t>SPARKY</t>
        </is>
      </c>
      <c r="B22" s="16" t="n">
        <v>4834750</v>
      </c>
      <c r="C22" s="16" t="n">
        <v>4834750</v>
      </c>
      <c r="D22" s="16" t="inlineStr">
        <is>
          <t>0.240010</t>
        </is>
      </c>
      <c r="E22" s="16" t="inlineStr">
        <is>
          <t>1.395 SOL</t>
        </is>
      </c>
      <c r="F22" s="16" t="inlineStr">
        <is>
          <t>0.634 SOL</t>
        </is>
      </c>
      <c r="G22" s="24" t="inlineStr">
        <is>
          <t>-1.001 SOL</t>
        </is>
      </c>
      <c r="H22" s="24" t="inlineStr">
        <is>
          <t>-61.21%</t>
        </is>
      </c>
      <c r="I22" s="16" t="inlineStr">
        <is>
          <t>N/A</t>
        </is>
      </c>
      <c r="J22" s="16" t="n">
        <v>1</v>
      </c>
      <c r="K22" s="16" t="n">
        <v>2</v>
      </c>
      <c r="L22" s="16" t="inlineStr">
        <is>
          <t>30.10.2024 13:29:33</t>
        </is>
      </c>
      <c r="M22" s="16" t="inlineStr">
        <is>
          <t>1 min</t>
        </is>
      </c>
      <c r="N22" s="16" t="inlineStr">
        <is>
          <t xml:space="preserve">         51K             5K             5K</t>
        </is>
      </c>
      <c r="O22" s="16" t="inlineStr">
        <is>
          <t>ChhFGDYQ5n6UkCcsX3NDXHfdgoFbjBMn1msye5HDpump</t>
        </is>
      </c>
      <c r="P22" s="16">
        <f>HYPERLINK("https://photon-sol.tinyastro.io/en/lp/ChhFGDYQ5n6UkCcsX3NDXHfdgoFbjBMn1msye5HDpump?handle=676050794bc1b1657a56b", "View")</f>
        <v/>
      </c>
    </row>
    <row r="23">
      <c r="A23" s="19" t="inlineStr">
        <is>
          <t>SOAR</t>
        </is>
      </c>
      <c r="B23" s="20" t="n">
        <v>8410960</v>
      </c>
      <c r="C23" s="20" t="n">
        <v>8410960</v>
      </c>
      <c r="D23" s="20" t="inlineStr">
        <is>
          <t>0.220010</t>
        </is>
      </c>
      <c r="E23" s="20" t="inlineStr">
        <is>
          <t>0.731 SOL</t>
        </is>
      </c>
      <c r="F23" s="20" t="inlineStr">
        <is>
          <t>3.713 SOL</t>
        </is>
      </c>
      <c r="G23" s="23" t="inlineStr">
        <is>
          <t>2.762 SOL</t>
        </is>
      </c>
      <c r="H23" s="23" t="inlineStr">
        <is>
          <t>290.47%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12:48:08</t>
        </is>
      </c>
      <c r="M23" s="20" t="inlineStr">
        <is>
          <t>3 min</t>
        </is>
      </c>
      <c r="N23" s="20" t="inlineStr">
        <is>
          <t xml:space="preserve">         16K            16K             4K</t>
        </is>
      </c>
      <c r="O23" s="20" t="inlineStr">
        <is>
          <t>DSMBxacyzGiqNgmadjZPMMGY2EEjRriH4HMbFDbRpump</t>
        </is>
      </c>
      <c r="P23" s="20">
        <f>HYPERLINK("https://photon-sol.tinyastro.io/en/lp/DSMBxacyzGiqNgmadjZPMMGY2EEjRriH4HMbFDbRpump?handle=676050794bc1b1657a56b", "View")</f>
        <v/>
      </c>
    </row>
    <row r="24">
      <c r="A24" s="15" t="inlineStr">
        <is>
          <t>RAGE</t>
        </is>
      </c>
      <c r="B24" s="16" t="n">
        <v>8026445</v>
      </c>
      <c r="C24" s="16" t="n">
        <v>8026445</v>
      </c>
      <c r="D24" s="16" t="inlineStr">
        <is>
          <t>0.220010</t>
        </is>
      </c>
      <c r="E24" s="16" t="inlineStr">
        <is>
          <t>0.543 SOL</t>
        </is>
      </c>
      <c r="F24" s="16" t="inlineStr">
        <is>
          <t>0.311 SOL</t>
        </is>
      </c>
      <c r="G24" s="24" t="inlineStr">
        <is>
          <t>-0.453 SOL</t>
        </is>
      </c>
      <c r="H24" s="24" t="inlineStr">
        <is>
          <t>-59.32%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04:47:07</t>
        </is>
      </c>
      <c r="M24" s="16" t="inlineStr">
        <is>
          <t>4 min</t>
        </is>
      </c>
      <c r="N24" s="16" t="inlineStr">
        <is>
          <t xml:space="preserve">         12K             7K             5K</t>
        </is>
      </c>
      <c r="O24" s="16" t="inlineStr">
        <is>
          <t>H6WfFZ5EjUDmJoGvJpsChUZTiRuNGuMr3xoSRssEpump</t>
        </is>
      </c>
      <c r="P24" s="16">
        <f>HYPERLINK("https://photon-sol.tinyastro.io/en/lp/H6WfFZ5EjUDmJoGvJpsChUZTiRuNGuMr3xoSRssEpump?handle=676050794bc1b1657a56b", "View")</f>
        <v/>
      </c>
    </row>
    <row r="25">
      <c r="A25" s="19" t="inlineStr">
        <is>
          <t>MOLANG</t>
        </is>
      </c>
      <c r="B25" s="20" t="n">
        <v>9915954</v>
      </c>
      <c r="C25" s="20" t="n">
        <v>9915954</v>
      </c>
      <c r="D25" s="20" t="inlineStr">
        <is>
          <t>0.220010</t>
        </is>
      </c>
      <c r="E25" s="20" t="inlineStr">
        <is>
          <t>0.934 SOL</t>
        </is>
      </c>
      <c r="F25" s="20" t="inlineStr">
        <is>
          <t>1.060 SOL</t>
        </is>
      </c>
      <c r="G25" s="21" t="inlineStr">
        <is>
          <t>-0.095 SOL</t>
        </is>
      </c>
      <c r="H25" s="21" t="inlineStr">
        <is>
          <t>-8.20%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29.10.2024 14:49:33</t>
        </is>
      </c>
      <c r="M25" s="20" t="inlineStr">
        <is>
          <t>12 min</t>
        </is>
      </c>
      <c r="N25" s="20" t="inlineStr">
        <is>
          <t xml:space="preserve">         16K            19K             4K</t>
        </is>
      </c>
      <c r="O25" s="20" t="inlineStr">
        <is>
          <t>BPFXTGBjoARa89gbSvbp7Dy6cQwgGc7efW1jE8nTpump</t>
        </is>
      </c>
      <c r="P25" s="20">
        <f>HYPERLINK("https://photon-sol.tinyastro.io/en/lp/BPFXTGBjoARa89gbSvbp7Dy6cQwgGc7efW1jE8nTpump?handle=676050794bc1b1657a56b", "View")</f>
        <v/>
      </c>
    </row>
    <row r="26">
      <c r="A26" s="15" t="inlineStr">
        <is>
          <t>SOLO</t>
        </is>
      </c>
      <c r="B26" s="16" t="n">
        <v>9598011</v>
      </c>
      <c r="C26" s="16" t="n">
        <v>9598011</v>
      </c>
      <c r="D26" s="16" t="inlineStr">
        <is>
          <t>0.240010</t>
        </is>
      </c>
      <c r="E26" s="16" t="inlineStr">
        <is>
          <t>0.617 SOL</t>
        </is>
      </c>
      <c r="F26" s="16" t="inlineStr">
        <is>
          <t>3.036 SOL</t>
        </is>
      </c>
      <c r="G26" s="23" t="inlineStr">
        <is>
          <t>2.179 SOL</t>
        </is>
      </c>
      <c r="H26" s="23" t="inlineStr">
        <is>
          <t>254.34%</t>
        </is>
      </c>
      <c r="I26" s="16" t="inlineStr">
        <is>
          <t>N/A</t>
        </is>
      </c>
      <c r="J26" s="16" t="n">
        <v>1</v>
      </c>
      <c r="K26" s="16" t="n">
        <v>2</v>
      </c>
      <c r="L26" s="16" t="inlineStr">
        <is>
          <t>29.10.2024 12:59:50</t>
        </is>
      </c>
      <c r="M26" s="16" t="inlineStr">
        <is>
          <t>4 min</t>
        </is>
      </c>
      <c r="N26" s="16" t="inlineStr">
        <is>
          <t xml:space="preserve">          9K            22K             4K</t>
        </is>
      </c>
      <c r="O26" s="16" t="inlineStr">
        <is>
          <t>GeHMGsBk1SfZSmRccWiUxoGd9ZpYHhTYYqMn95Hapump</t>
        </is>
      </c>
      <c r="P26" s="16">
        <f>HYPERLINK("https://photon-sol.tinyastro.io/en/lp/GeHMGsBk1SfZSmRccWiUxoGd9ZpYHhTYYqMn95Hapump?handle=676050794bc1b1657a56b", "View")</f>
        <v/>
      </c>
    </row>
    <row r="27">
      <c r="A27" s="19" t="inlineStr">
        <is>
          <t>LINK</t>
        </is>
      </c>
      <c r="B27" s="20" t="n">
        <v>6499962</v>
      </c>
      <c r="C27" s="20" t="n">
        <v>6499962</v>
      </c>
      <c r="D27" s="20" t="inlineStr">
        <is>
          <t>0.260020</t>
        </is>
      </c>
      <c r="E27" s="20" t="inlineStr">
        <is>
          <t>0.739 SOL</t>
        </is>
      </c>
      <c r="F27" s="20" t="inlineStr">
        <is>
          <t>4.702 SOL</t>
        </is>
      </c>
      <c r="G27" s="23" t="inlineStr">
        <is>
          <t>3.703 SOL</t>
        </is>
      </c>
      <c r="H27" s="23" t="inlineStr">
        <is>
          <t>370.67%</t>
        </is>
      </c>
      <c r="I27" s="20" t="inlineStr">
        <is>
          <t>N/A</t>
        </is>
      </c>
      <c r="J27" s="20" t="n">
        <v>1</v>
      </c>
      <c r="K27" s="20" t="n">
        <v>3</v>
      </c>
      <c r="L27" s="20" t="inlineStr">
        <is>
          <t>29.10.2024 04:32:02</t>
        </is>
      </c>
      <c r="M27" s="20" t="inlineStr">
        <is>
          <t>6 min</t>
        </is>
      </c>
      <c r="N27" s="20" t="inlineStr">
        <is>
          <t xml:space="preserve">         18K            38K             4K</t>
        </is>
      </c>
      <c r="O27" s="20" t="inlineStr">
        <is>
          <t>BxaRiJpUwPkiUfwUe7bXqMZV5EG8Xx5BZaY6QM3Jpump</t>
        </is>
      </c>
      <c r="P27" s="20">
        <f>HYPERLINK("https://photon-sol.tinyastro.io/en/lp/BxaRiJpUwPkiUfwUe7bXqMZV5EG8Xx5BZaY6QM3Jpump?handle=676050794bc1b1657a56b", "View")</f>
        <v/>
      </c>
    </row>
    <row r="28">
      <c r="A28" s="15" t="inlineStr">
        <is>
          <t>LIZZERD</t>
        </is>
      </c>
      <c r="B28" s="16" t="n">
        <v>5906762</v>
      </c>
      <c r="C28" s="16" t="n">
        <v>5906762</v>
      </c>
      <c r="D28" s="16" t="inlineStr">
        <is>
          <t>0.240020</t>
        </is>
      </c>
      <c r="E28" s="16" t="inlineStr">
        <is>
          <t>1.050 SOL</t>
        </is>
      </c>
      <c r="F28" s="16" t="inlineStr">
        <is>
          <t>2.555 SOL</t>
        </is>
      </c>
      <c r="G28" s="23" t="inlineStr">
        <is>
          <t>1.265 SOL</t>
        </is>
      </c>
      <c r="H28" s="23" t="inlineStr">
        <is>
          <t>98.09%</t>
        </is>
      </c>
      <c r="I28" s="16" t="inlineStr">
        <is>
          <t>N/A</t>
        </is>
      </c>
      <c r="J28" s="16" t="n">
        <v>1</v>
      </c>
      <c r="K28" s="16" t="n">
        <v>4</v>
      </c>
      <c r="L28" s="16" t="inlineStr">
        <is>
          <t>27.10.2024 14:32:03</t>
        </is>
      </c>
      <c r="M28" s="16" t="inlineStr">
        <is>
          <t>23 min</t>
        </is>
      </c>
      <c r="N28" s="16" t="inlineStr">
        <is>
          <t xml:space="preserve">         32K            11K             4K</t>
        </is>
      </c>
      <c r="O28" s="16" t="inlineStr">
        <is>
          <t>7FisD5QTeFBCd2vbAVs5PQ89vefLqz9Qhaqja6XRpump</t>
        </is>
      </c>
      <c r="P28" s="16">
        <f>HYPERLINK("https://photon-sol.tinyastro.io/en/lp/7FisD5QTeFBCd2vbAVs5PQ89vefLqz9Qhaqja6XRpump?handle=676050794bc1b1657a56b", "View")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HYPERLINK("https://gmgn.ai/sol/address/DfG2SPZSo1jM7QwrFG9zVwbxGt5UApzf5vnDyLr13h8n", "GMGN")</f>
        <v/>
      </c>
    </row>
    <row r="2">
      <c r="A2" s="3" t="inlineStr">
        <is>
          <t>DfG2SPZSo1jM7QwrFG9zVwbxGt5UApzf5vnDyLr13h8n</t>
        </is>
      </c>
      <c r="B2" s="3" t="inlineStr">
        <is>
          <t>191.60 SOL</t>
        </is>
      </c>
      <c r="C2" s="3" t="inlineStr">
        <is>
          <t>67%</t>
        </is>
      </c>
      <c r="D2" s="3" t="inlineStr">
        <is>
          <t>1561%</t>
        </is>
      </c>
      <c r="E2" s="3" t="inlineStr">
        <is>
          <t>185.52 SOL</t>
        </is>
      </c>
      <c r="F2" s="3" t="inlineStr">
        <is>
          <t>0 (0%)</t>
        </is>
      </c>
      <c r="G2" s="3" t="inlineStr">
        <is>
          <t>0 (0%)</t>
        </is>
      </c>
      <c r="H2" s="3" t="n">
        <v>3</v>
      </c>
      <c r="I2" s="3" t="n">
        <v>0</v>
      </c>
      <c r="J2" s="3" t="inlineStr">
        <is>
          <t>16 days</t>
        </is>
      </c>
      <c r="K2" s="3" t="inlineStr">
        <is>
          <t>2 h</t>
        </is>
      </c>
      <c r="L2" s="3" t="n">
        <v>3</v>
      </c>
      <c r="M2" s="3" t="n">
        <v>4</v>
      </c>
      <c r="N2" s="3">
        <f>HYPERLINK("https://solscan.io/account/DfG2SPZSo1jM7QwrFG9zVwbxGt5UApzf5vnDyLr13h8n", "Solscan")</f>
        <v/>
      </c>
    </row>
    <row r="3">
      <c r="A3" s="6" t="inlineStr">
        <is>
          <t>Median ROI</t>
        </is>
      </c>
      <c r="B3" s="4" t="inlineStr">
        <is>
          <t>21.92%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HYPERLINK("https://birdeye.so/profile/DfG2SPZSo1jM7QwrFG9zVwbxGt5UApzf5vnDyLr13h8n", "Birdeye")</f>
        <v/>
      </c>
    </row>
    <row r="4">
      <c r="A4" s="6" t="inlineStr">
        <is>
          <t>Rockets percent</t>
        </is>
      </c>
      <c r="B4" s="4" t="inlineStr">
        <is>
          <t>33%</t>
        </is>
      </c>
      <c r="C4" s="3" t="inlineStr"/>
      <c r="D4" s="3" t="inlineStr">
        <is>
          <t>63%</t>
        </is>
      </c>
      <c r="E4" s="3" t="inlineStr">
        <is>
          <t>7.46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178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0</v>
      </c>
      <c r="D10" s="6" t="n">
        <v>0</v>
      </c>
      <c r="E10" s="6" t="n">
        <v>1</v>
      </c>
      <c r="F10" s="6" t="n">
        <v>1</v>
      </c>
      <c r="G10" s="6" t="n">
        <v>0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33.3%</t>
        </is>
      </c>
      <c r="C11" s="6" t="inlineStr">
        <is>
          <t>0.0%</t>
        </is>
      </c>
      <c r="D11" s="6" t="inlineStr">
        <is>
          <t>0.0%</t>
        </is>
      </c>
      <c r="E11" s="6" t="inlineStr">
        <is>
          <t>33.3%</t>
        </is>
      </c>
      <c r="F11" s="6" t="inlineStr">
        <is>
          <t>33.3%</t>
        </is>
      </c>
      <c r="G11" s="6" t="inlineStr">
        <is>
          <t>0.0%</t>
        </is>
      </c>
      <c r="H11" s="3" t="n"/>
      <c r="I11" s="3" t="inlineStr">
        <is>
          <t>5k-30k</t>
        </is>
      </c>
      <c r="J11" s="3" t="inlineStr">
        <is>
          <t>1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186.6 SOL</t>
        </is>
      </c>
      <c r="C12" s="6" t="inlineStr">
        <is>
          <t>0.0 SOL</t>
        </is>
      </c>
      <c r="D12" s="6" t="inlineStr">
        <is>
          <t>0.0 SOL</t>
        </is>
      </c>
      <c r="E12" s="6" t="inlineStr">
        <is>
          <t>0.1 SOL</t>
        </is>
      </c>
      <c r="F12" s="6" t="inlineStr">
        <is>
          <t>-1.2 SOL</t>
        </is>
      </c>
      <c r="G12" s="6" t="inlineStr">
        <is>
          <t>0.0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23.0K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XENO</t>
        </is>
      </c>
      <c r="B20" s="16" t="n">
        <v>12441046</v>
      </c>
      <c r="C20" s="16" t="n">
        <v>12140219</v>
      </c>
      <c r="D20" s="16" t="inlineStr">
        <is>
          <t>0.280130</t>
        </is>
      </c>
      <c r="E20" s="16" t="inlineStr">
        <is>
          <t>7.992 SOL</t>
        </is>
      </c>
      <c r="F20" s="16" t="inlineStr">
        <is>
          <t>194.891 SOL</t>
        </is>
      </c>
      <c r="G20" s="23" t="inlineStr">
        <is>
          <t>186.619 SOL</t>
        </is>
      </c>
      <c r="H20" s="23" t="inlineStr">
        <is>
          <t>2255.98%</t>
        </is>
      </c>
      <c r="I20" s="16" t="inlineStr">
        <is>
          <t>N/A</t>
        </is>
      </c>
      <c r="J20" s="16" t="n">
        <v>3</v>
      </c>
      <c r="K20" s="16" t="n">
        <v>24</v>
      </c>
      <c r="L20" s="16" t="inlineStr">
        <is>
          <t>30.10.2024 18:34:49</t>
        </is>
      </c>
      <c r="M20" s="16" t="inlineStr">
        <is>
          <t>2 hours</t>
        </is>
      </c>
      <c r="N20" s="16" t="inlineStr">
        <is>
          <t xml:space="preserve">         32K             9M             4M</t>
        </is>
      </c>
      <c r="O20" s="16" t="inlineStr">
        <is>
          <t>Db7ZUaWTThwZy7bVhjn5Dda8D3fbbAhihcxPV4m9pump</t>
        </is>
      </c>
      <c r="P20" s="16">
        <f>HYPERLINK("https://photon-sol.tinyastro.io/en/lp/Db7ZUaWTThwZy7bVhjn5Dda8D3fbbAhihcxPV4m9pump?handle=676050794bc1b1657a56b", "View")</f>
        <v/>
      </c>
    </row>
    <row r="21">
      <c r="A21" s="19" t="inlineStr">
        <is>
          <t>mikko</t>
        </is>
      </c>
      <c r="B21" s="20" t="n">
        <v>31601851</v>
      </c>
      <c r="C21" s="20" t="n">
        <v>31601851</v>
      </c>
      <c r="D21" s="20" t="inlineStr">
        <is>
          <t>0.030020</t>
        </is>
      </c>
      <c r="E21" s="20" t="inlineStr">
        <is>
          <t>3.042 SOL</t>
        </is>
      </c>
      <c r="F21" s="20" t="inlineStr">
        <is>
          <t>1.851 SOL</t>
        </is>
      </c>
      <c r="G21" s="21" t="inlineStr">
        <is>
          <t>-1.221 SOL</t>
        </is>
      </c>
      <c r="H21" s="21" t="inlineStr">
        <is>
          <t>-39.74%</t>
        </is>
      </c>
      <c r="I21" s="20" t="inlineStr">
        <is>
          <t>N/A</t>
        </is>
      </c>
      <c r="J21" s="20" t="n">
        <v>2</v>
      </c>
      <c r="K21" s="20" t="n">
        <v>1</v>
      </c>
      <c r="L21" s="20" t="inlineStr">
        <is>
          <t>24.10.2024 03:45:49</t>
        </is>
      </c>
      <c r="M21" s="20" t="inlineStr">
        <is>
          <t>4 days</t>
        </is>
      </c>
      <c r="N21" s="20" t="inlineStr">
        <is>
          <t xml:space="preserve">         14K            39K             6K</t>
        </is>
      </c>
      <c r="O21" s="20" t="inlineStr">
        <is>
          <t>2szW59JjYfZBzNzjpD3gnwGmZz6Y34qJ3X6hbA8cpump</t>
        </is>
      </c>
      <c r="P21" s="20">
        <f>HYPERLINK("https://photon-sol.tinyastro.io/en/lp/2szW59JjYfZBzNzjpD3gnwGmZz6Y34qJ3X6hbA8cpump?handle=676050794bc1b1657a56b", "View")</f>
        <v/>
      </c>
    </row>
    <row r="22">
      <c r="A22" s="15" t="inlineStr">
        <is>
          <t>keiko</t>
        </is>
      </c>
      <c r="B22" s="16" t="n">
        <v>11876650</v>
      </c>
      <c r="C22" s="16" t="n">
        <v>11876650</v>
      </c>
      <c r="D22" s="16" t="inlineStr">
        <is>
          <t>0.020010</t>
        </is>
      </c>
      <c r="E22" s="16" t="inlineStr">
        <is>
          <t>0.522 SOL</t>
        </is>
      </c>
      <c r="F22" s="16" t="inlineStr">
        <is>
          <t>0.661 SOL</t>
        </is>
      </c>
      <c r="G22" s="22" t="inlineStr">
        <is>
          <t>0.119 SOL</t>
        </is>
      </c>
      <c r="H22" s="22" t="inlineStr">
        <is>
          <t>21.92%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14.10.2024 17:52:46</t>
        </is>
      </c>
      <c r="M22" s="16" t="inlineStr">
        <is>
          <t>31 min</t>
        </is>
      </c>
      <c r="N22" s="16" t="inlineStr">
        <is>
          <t xml:space="preserve">        N/A           N/A           N/A</t>
        </is>
      </c>
      <c r="O22" s="16" t="inlineStr">
        <is>
          <t>Baqg9Dd2uY1tB1U7FkHitMEnjx2S71TMSvXwCvrSpump</t>
        </is>
      </c>
      <c r="P22" s="16">
        <f>HYPERLINK("https://photon-sol.tinyastro.io/en/lp/Baqg9Dd2uY1tB1U7FkHitMEnjx2S71TMSvXwCvrSpump?handle=676050794bc1b1657a56b", "View")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7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HYPERLINK("https://gmgn.ai/sol/address/FdS3pqXXLNfuf16oQg1LrtVYrkUTu4vXfgRBdEXVRvz6", "GMGN")</f>
        <v/>
      </c>
    </row>
    <row r="2">
      <c r="A2" s="3" t="inlineStr">
        <is>
          <t>FdS3pqXXLNfuf16oQg1LrtVYrkUTu4vXfgRBdEXVRvz6</t>
        </is>
      </c>
      <c r="B2" s="3" t="inlineStr">
        <is>
          <t>236.92 SOL</t>
        </is>
      </c>
      <c r="C2" s="3" t="inlineStr">
        <is>
          <t>82%</t>
        </is>
      </c>
      <c r="D2" s="3" t="inlineStr">
        <is>
          <t>82%</t>
        </is>
      </c>
      <c r="E2" s="3" t="inlineStr">
        <is>
          <t>276.17 SOL</t>
        </is>
      </c>
      <c r="F2" s="3" t="inlineStr">
        <is>
          <t>126 (80%)</t>
        </is>
      </c>
      <c r="G2" s="3" t="inlineStr">
        <is>
          <t>0 (0%)</t>
        </is>
      </c>
      <c r="H2" s="3" t="n">
        <v>157</v>
      </c>
      <c r="I2" s="3" t="n">
        <v>0</v>
      </c>
      <c r="J2" s="3" t="inlineStr">
        <is>
          <t>3 days</t>
        </is>
      </c>
      <c r="K2" s="3" t="inlineStr">
        <is>
          <t>19 sec</t>
        </is>
      </c>
      <c r="L2" s="3" t="n">
        <v>157</v>
      </c>
      <c r="M2" s="3" t="n">
        <v>361</v>
      </c>
      <c r="N2" s="3">
        <f>HYPERLINK("https://solscan.io/account/FdS3pqXXLNfuf16oQg1LrtVYrkUTu4vXfgRBdEXVRvz6", "Solscan")</f>
        <v/>
      </c>
    </row>
    <row r="3">
      <c r="A3" s="6" t="inlineStr">
        <is>
          <t>Median ROI</t>
        </is>
      </c>
      <c r="B3" s="4" t="inlineStr">
        <is>
          <t>30.37%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HYPERLINK("https://birdeye.so/profile/FdS3pqXXLNfuf16oQg1LrtVYrkUTu4vXfgRBdEXVRvz6", "Birdeye")</f>
        <v/>
      </c>
    </row>
    <row r="4">
      <c r="A4" s="6" t="inlineStr">
        <is>
          <t>Rockets percent</t>
        </is>
      </c>
      <c r="B4" s="3" t="inlineStr">
        <is>
          <t>12%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3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4</v>
      </c>
      <c r="C10" s="6" t="n">
        <v>15</v>
      </c>
      <c r="D10" s="6" t="n">
        <v>21</v>
      </c>
      <c r="E10" s="6" t="n">
        <v>88</v>
      </c>
      <c r="F10" s="6" t="n">
        <v>28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2.5%</t>
        </is>
      </c>
      <c r="C11" s="6" t="inlineStr">
        <is>
          <t>9.6%</t>
        </is>
      </c>
      <c r="D11" s="6" t="inlineStr">
        <is>
          <t>13.4%</t>
        </is>
      </c>
      <c r="E11" s="6" t="inlineStr">
        <is>
          <t>56.1%</t>
        </is>
      </c>
      <c r="F11" s="6" t="inlineStr">
        <is>
          <t>17.8%</t>
        </is>
      </c>
      <c r="G11" s="6" t="inlineStr">
        <is>
          <t>0.6%</t>
        </is>
      </c>
      <c r="H11" s="3" t="n"/>
      <c r="I11" s="3" t="inlineStr">
        <is>
          <t>5k-30k</t>
        </is>
      </c>
      <c r="J11" s="3" t="inlineStr">
        <is>
          <t>134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144.0 SOL</t>
        </is>
      </c>
      <c r="C12" s="6" t="inlineStr">
        <is>
          <t>55.9 SOL</t>
        </is>
      </c>
      <c r="D12" s="6" t="inlineStr">
        <is>
          <t>33.4 SOL</t>
        </is>
      </c>
      <c r="E12" s="6" t="inlineStr">
        <is>
          <t>53.4 SOL</t>
        </is>
      </c>
      <c r="F12" s="6" t="inlineStr">
        <is>
          <t>-9.3 SOL</t>
        </is>
      </c>
      <c r="G12" s="6" t="inlineStr">
        <is>
          <t>-1.2 SOL</t>
        </is>
      </c>
      <c r="H12" s="3" t="n"/>
      <c r="I12" s="3" t="inlineStr">
        <is>
          <t>30k-100k</t>
        </is>
      </c>
      <c r="J12" s="3" t="inlineStr">
        <is>
          <t>16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11.0K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UNDPPA</t>
        </is>
      </c>
      <c r="B20" s="16" t="n">
        <v>25829266</v>
      </c>
      <c r="C20" s="16" t="n">
        <v>25829266</v>
      </c>
      <c r="D20" s="16" t="inlineStr">
        <is>
          <t>0.002410</t>
        </is>
      </c>
      <c r="E20" s="16" t="inlineStr">
        <is>
          <t>1.532 SOL</t>
        </is>
      </c>
      <c r="F20" s="16" t="inlineStr">
        <is>
          <t>0.825 SOL</t>
        </is>
      </c>
      <c r="G20" s="21" t="inlineStr">
        <is>
          <t>-0.709 SOL</t>
        </is>
      </c>
      <c r="H20" s="21" t="inlineStr">
        <is>
          <t>-46.24%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20:00:15</t>
        </is>
      </c>
      <c r="M20" s="18" t="inlineStr">
        <is>
          <t>13 sec</t>
        </is>
      </c>
      <c r="N20" s="16" t="inlineStr">
        <is>
          <t xml:space="preserve">         11K             5K             5K</t>
        </is>
      </c>
      <c r="O20" s="16" t="inlineStr">
        <is>
          <t>5QyyHTwwom4DJJmmCJC8SZXwU4bm3uyJvgkNFMEVpump</t>
        </is>
      </c>
      <c r="P20" s="16">
        <f>HYPERLINK("https://photon-sol.tinyastro.io/en/lp/5QyyHTwwom4DJJmmCJC8SZXwU4bm3uyJvgkNFMEVpump?handle=676050794bc1b1657a56b", "View")</f>
        <v/>
      </c>
    </row>
    <row r="21">
      <c r="A21" s="19" t="inlineStr">
        <is>
          <t>POPKIN</t>
        </is>
      </c>
      <c r="B21" s="20" t="n">
        <v>44981982</v>
      </c>
      <c r="C21" s="20" t="n">
        <v>44981982</v>
      </c>
      <c r="D21" s="20" t="inlineStr">
        <is>
          <t>0.002410</t>
        </is>
      </c>
      <c r="E21" s="20" t="inlineStr">
        <is>
          <t>2.041 SOL</t>
        </is>
      </c>
      <c r="F21" s="20" t="inlineStr">
        <is>
          <t>2.331 SOL</t>
        </is>
      </c>
      <c r="G21" s="22" t="inlineStr">
        <is>
          <t>0.287 SOL</t>
        </is>
      </c>
      <c r="H21" s="22" t="inlineStr">
        <is>
          <t>14.07%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19:59:12</t>
        </is>
      </c>
      <c r="M21" s="18" t="inlineStr">
        <is>
          <t>27 sec</t>
        </is>
      </c>
      <c r="N21" s="20" t="inlineStr">
        <is>
          <t xml:space="preserve">          9K             9K            11K</t>
        </is>
      </c>
      <c r="O21" s="20" t="inlineStr">
        <is>
          <t>FFYWTWEEyamhKHjR6dh1HxprrkYcSUphkK4UMPz7pump</t>
        </is>
      </c>
      <c r="P21" s="20">
        <f>HYPERLINK("https://photon-sol.tinyastro.io/en/lp/FFYWTWEEyamhKHjR6dh1HxprrkYcSUphkK4UMPz7pump?handle=676050794bc1b1657a56b", "View")</f>
        <v/>
      </c>
    </row>
    <row r="22">
      <c r="A22" s="15" t="inlineStr">
        <is>
          <t>SHADEON</t>
        </is>
      </c>
      <c r="B22" s="16" t="n">
        <v>45654472</v>
      </c>
      <c r="C22" s="16" t="n">
        <v>45654472</v>
      </c>
      <c r="D22" s="16" t="inlineStr">
        <is>
          <t>0.002410</t>
        </is>
      </c>
      <c r="E22" s="16" t="inlineStr">
        <is>
          <t>2.414 SOL</t>
        </is>
      </c>
      <c r="F22" s="16" t="inlineStr">
        <is>
          <t>2.302 SOL</t>
        </is>
      </c>
      <c r="G22" s="21" t="inlineStr">
        <is>
          <t>-0.115 SOL</t>
        </is>
      </c>
      <c r="H22" s="21" t="inlineStr">
        <is>
          <t>-4.75%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19:56:27</t>
        </is>
      </c>
      <c r="M22" s="18" t="inlineStr">
        <is>
          <t>11 sec</t>
        </is>
      </c>
      <c r="N22" s="16" t="inlineStr">
        <is>
          <t xml:space="preserve">          9K             9K             5K</t>
        </is>
      </c>
      <c r="O22" s="16" t="inlineStr">
        <is>
          <t>99haeUDfzSVqsGtLhAT1b1M5Q4S1ju9v3N12aC3fpump</t>
        </is>
      </c>
      <c r="P22" s="16">
        <f>HYPERLINK("https://photon-sol.tinyastro.io/en/lp/99haeUDfzSVqsGtLhAT1b1M5Q4S1ju9v3N12aC3fpump?handle=676050794bc1b1657a56b", "View")</f>
        <v/>
      </c>
    </row>
    <row r="23">
      <c r="A23" s="19" t="inlineStr">
        <is>
          <t>hob</t>
        </is>
      </c>
      <c r="B23" s="20" t="n">
        <v>51708767</v>
      </c>
      <c r="C23" s="20" t="n">
        <v>51708767</v>
      </c>
      <c r="D23" s="20" t="inlineStr">
        <is>
          <t>0.002410</t>
        </is>
      </c>
      <c r="E23" s="20" t="inlineStr">
        <is>
          <t>2.166 SOL</t>
        </is>
      </c>
      <c r="F23" s="20" t="inlineStr">
        <is>
          <t>2.392 SOL</t>
        </is>
      </c>
      <c r="G23" s="22" t="inlineStr">
        <is>
          <t>0.224 SOL</t>
        </is>
      </c>
      <c r="H23" s="22" t="inlineStr">
        <is>
          <t>10.33%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19:55:04</t>
        </is>
      </c>
      <c r="M23" s="18" t="inlineStr">
        <is>
          <t>6 sec</t>
        </is>
      </c>
      <c r="N23" s="20" t="inlineStr">
        <is>
          <t xml:space="preserve">          7K             9K             5K</t>
        </is>
      </c>
      <c r="O23" s="20" t="inlineStr">
        <is>
          <t>D15xX2ruPoTBwutb1syLvRjiQqxiZgBeLA8wNVzhpump</t>
        </is>
      </c>
      <c r="P23" s="20">
        <f>HYPERLINK("https://photon-sol.tinyastro.io/en/lp/D15xX2ruPoTBwutb1syLvRjiQqxiZgBeLA8wNVzhpump?handle=676050794bc1b1657a56b", "View")</f>
        <v/>
      </c>
    </row>
    <row r="24">
      <c r="A24" s="15" t="inlineStr">
        <is>
          <t>si</t>
        </is>
      </c>
      <c r="B24" s="16" t="n">
        <v>78441523</v>
      </c>
      <c r="C24" s="16" t="n">
        <v>78441523</v>
      </c>
      <c r="D24" s="16" t="inlineStr">
        <is>
          <t>0.002410</t>
        </is>
      </c>
      <c r="E24" s="16" t="inlineStr">
        <is>
          <t>3.060 SOL</t>
        </is>
      </c>
      <c r="F24" s="16" t="inlineStr">
        <is>
          <t>4.149 SOL</t>
        </is>
      </c>
      <c r="G24" s="22" t="inlineStr">
        <is>
          <t>1.086 SOL</t>
        </is>
      </c>
      <c r="H24" s="22" t="inlineStr">
        <is>
          <t>35.46%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19:25:34</t>
        </is>
      </c>
      <c r="M24" s="18" t="inlineStr">
        <is>
          <t>5 sec</t>
        </is>
      </c>
      <c r="N24" s="16" t="inlineStr">
        <is>
          <t xml:space="preserve">          7K             9K             5K</t>
        </is>
      </c>
      <c r="O24" s="16" t="inlineStr">
        <is>
          <t>AmbKHBRRhMAKKaQwAZpufUQ7Ne2ZUPRZgZH9jZ5xpump</t>
        </is>
      </c>
      <c r="P24" s="16">
        <f>HYPERLINK("https://photon-sol.tinyastro.io/en/lp/AmbKHBRRhMAKKaQwAZpufUQ7Ne2ZUPRZgZH9jZ5xpump?handle=676050794bc1b1657a56b", "View")</f>
        <v/>
      </c>
    </row>
    <row r="25">
      <c r="A25" s="19" t="inlineStr">
        <is>
          <t>ElonXBT</t>
        </is>
      </c>
      <c r="B25" s="20" t="n">
        <v>67062500</v>
      </c>
      <c r="C25" s="20" t="n">
        <v>67062500</v>
      </c>
      <c r="D25" s="20" t="inlineStr">
        <is>
          <t>0.041210</t>
        </is>
      </c>
      <c r="E25" s="20" t="inlineStr">
        <is>
          <t>2.041 SOL</t>
        </is>
      </c>
      <c r="F25" s="20" t="inlineStr">
        <is>
          <t>2.762 SOL</t>
        </is>
      </c>
      <c r="G25" s="22" t="inlineStr">
        <is>
          <t>0.679 SOL</t>
        </is>
      </c>
      <c r="H25" s="22" t="inlineStr">
        <is>
          <t>32.63%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30.10.2024 19:24:49</t>
        </is>
      </c>
      <c r="M25" s="18" t="inlineStr">
        <is>
          <t>8 sec</t>
        </is>
      </c>
      <c r="N25" s="20" t="inlineStr">
        <is>
          <t xml:space="preserve">          5K             7K             6K</t>
        </is>
      </c>
      <c r="O25" s="20" t="inlineStr">
        <is>
          <t>8ancQVqMhqYqZGbFYCKR7vP3eSxfh87KqwLiTjqypump</t>
        </is>
      </c>
      <c r="P25" s="20">
        <f>HYPERLINK("https://photon-sol.tinyastro.io/en/lp/8ancQVqMhqYqZGbFYCKR7vP3eSxfh87KqwLiTjqypump?handle=676050794bc1b1657a56b", "View")</f>
        <v/>
      </c>
    </row>
    <row r="26">
      <c r="A26" s="15" t="inlineStr">
        <is>
          <t>HN</t>
        </is>
      </c>
      <c r="B26" s="16" t="n">
        <v>93859269</v>
      </c>
      <c r="C26" s="16" t="n">
        <v>93859269</v>
      </c>
      <c r="D26" s="16" t="inlineStr">
        <is>
          <t>0.002410</t>
        </is>
      </c>
      <c r="E26" s="16" t="inlineStr">
        <is>
          <t>3.060 SOL</t>
        </is>
      </c>
      <c r="F26" s="16" t="inlineStr">
        <is>
          <t>3.405 SOL</t>
        </is>
      </c>
      <c r="G26" s="22" t="inlineStr">
        <is>
          <t>0.342 SOL</t>
        </is>
      </c>
      <c r="H26" s="22" t="inlineStr">
        <is>
          <t>11.17%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30.10.2024 19:23:49</t>
        </is>
      </c>
      <c r="M26" s="18" t="inlineStr">
        <is>
          <t>6 sec</t>
        </is>
      </c>
      <c r="N26" s="16" t="inlineStr">
        <is>
          <t xml:space="preserve">          5K             7K             5K</t>
        </is>
      </c>
      <c r="O26" s="16" t="inlineStr">
        <is>
          <t>FdssHU4cuH1JP4MWeynhvKX9JGnrVxgbuJWL2gqFpump</t>
        </is>
      </c>
      <c r="P26" s="16">
        <f>HYPERLINK("https://photon-sol.tinyastro.io/en/lp/FdssHU4cuH1JP4MWeynhvKX9JGnrVxgbuJWL2gqFpump?handle=676050794bc1b1657a56b", "View")</f>
        <v/>
      </c>
    </row>
    <row r="27">
      <c r="A27" s="19" t="inlineStr">
        <is>
          <t>cloop</t>
        </is>
      </c>
      <c r="B27" s="20" t="n">
        <v>97540489</v>
      </c>
      <c r="C27" s="20" t="n">
        <v>97540489</v>
      </c>
      <c r="D27" s="20" t="inlineStr">
        <is>
          <t>0.002410</t>
        </is>
      </c>
      <c r="E27" s="20" t="inlineStr">
        <is>
          <t>3.060 SOL</t>
        </is>
      </c>
      <c r="F27" s="20" t="inlineStr">
        <is>
          <t>4.071 SOL</t>
        </is>
      </c>
      <c r="G27" s="22" t="inlineStr">
        <is>
          <t>1.008 SOL</t>
        </is>
      </c>
      <c r="H27" s="22" t="inlineStr">
        <is>
          <t>32.91%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30.10.2024 17:50:41</t>
        </is>
      </c>
      <c r="M27" s="18" t="inlineStr">
        <is>
          <t>4 sec</t>
        </is>
      </c>
      <c r="N27" s="20" t="inlineStr">
        <is>
          <t xml:space="preserve">          5K             7K             5K</t>
        </is>
      </c>
      <c r="O27" s="20" t="inlineStr">
        <is>
          <t>5qSe9ejrcijKTdukPdaHPvGWC6PDJCJMhULFM743pump</t>
        </is>
      </c>
      <c r="P27" s="20">
        <f>HYPERLINK("https://photon-sol.tinyastro.io/en/lp/5qSe9ejrcijKTdukPdaHPvGWC6PDJCJMhULFM743pump?handle=676050794bc1b1657a56b", "View")</f>
        <v/>
      </c>
    </row>
    <row r="28">
      <c r="A28" s="15" t="inlineStr">
        <is>
          <t>aot</t>
        </is>
      </c>
      <c r="B28" s="16" t="n">
        <v>97545455</v>
      </c>
      <c r="C28" s="16" t="n">
        <v>97545455</v>
      </c>
      <c r="D28" s="16" t="inlineStr">
        <is>
          <t>0.002410</t>
        </is>
      </c>
      <c r="E28" s="16" t="inlineStr">
        <is>
          <t>3.060 SOL</t>
        </is>
      </c>
      <c r="F28" s="16" t="inlineStr">
        <is>
          <t>4.063 SOL</t>
        </is>
      </c>
      <c r="G28" s="22" t="inlineStr">
        <is>
          <t>1.001 SOL</t>
        </is>
      </c>
      <c r="H28" s="22" t="inlineStr">
        <is>
          <t>32.68%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30.10.2024 17:49:04</t>
        </is>
      </c>
      <c r="M28" s="18" t="inlineStr">
        <is>
          <t>4 sec</t>
        </is>
      </c>
      <c r="N28" s="16" t="inlineStr">
        <is>
          <t xml:space="preserve">          5K             7K             5K</t>
        </is>
      </c>
      <c r="O28" s="16" t="inlineStr">
        <is>
          <t>3ecskKk11MmjitwyXao9aUZeNPxEUJXET2WSVB5Jpump</t>
        </is>
      </c>
      <c r="P28" s="16">
        <f>HYPERLINK("https://photon-sol.tinyastro.io/en/lp/3ecskKk11MmjitwyXao9aUZeNPxEUJXET2WSVB5Jpump?handle=676050794bc1b1657a56b", "View")</f>
        <v/>
      </c>
    </row>
    <row r="29">
      <c r="A29" s="19" t="inlineStr">
        <is>
          <t>BOT</t>
        </is>
      </c>
      <c r="B29" s="20" t="n">
        <v>95935033</v>
      </c>
      <c r="C29" s="20" t="n">
        <v>95935033</v>
      </c>
      <c r="D29" s="20" t="inlineStr">
        <is>
          <t>0.002410</t>
        </is>
      </c>
      <c r="E29" s="20" t="inlineStr">
        <is>
          <t>3.060 SOL</t>
        </is>
      </c>
      <c r="F29" s="20" t="inlineStr">
        <is>
          <t>3.828 SOL</t>
        </is>
      </c>
      <c r="G29" s="22" t="inlineStr">
        <is>
          <t>0.766 SOL</t>
        </is>
      </c>
      <c r="H29" s="22" t="inlineStr">
        <is>
          <t>25.00%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30.10.2024 17:47:43</t>
        </is>
      </c>
      <c r="M29" s="18" t="inlineStr">
        <is>
          <t>4 sec</t>
        </is>
      </c>
      <c r="N29" s="20" t="inlineStr">
        <is>
          <t xml:space="preserve">          5K             7K             5K</t>
        </is>
      </c>
      <c r="O29" s="20" t="inlineStr">
        <is>
          <t>HP2QtaMR4dzCXrmXyXGdAMKUP8P2McwnNoo1JRkmpump</t>
        </is>
      </c>
      <c r="P29" s="20">
        <f>HYPERLINK("https://photon-sol.tinyastro.io/en/lp/HP2QtaMR4dzCXrmXyXGdAMKUP8P2McwnNoo1JRkmpump?handle=676050794bc1b1657a56b", "View")</f>
        <v/>
      </c>
    </row>
    <row r="30">
      <c r="A30" s="15" t="inlineStr">
        <is>
          <t>DOGE DAY</t>
        </is>
      </c>
      <c r="B30" s="16" t="n">
        <v>95785923</v>
      </c>
      <c r="C30" s="16" t="n">
        <v>95785923</v>
      </c>
      <c r="D30" s="16" t="inlineStr">
        <is>
          <t>0.002410</t>
        </is>
      </c>
      <c r="E30" s="16" t="inlineStr">
        <is>
          <t>3.060 SOL</t>
        </is>
      </c>
      <c r="F30" s="16" t="inlineStr">
        <is>
          <t>3.161 SOL</t>
        </is>
      </c>
      <c r="G30" s="22" t="inlineStr">
        <is>
          <t>0.099 SOL</t>
        </is>
      </c>
      <c r="H30" s="22" t="inlineStr">
        <is>
          <t>3.23%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30.10.2024 17:46:36</t>
        </is>
      </c>
      <c r="M30" s="18" t="inlineStr">
        <is>
          <t>5 sec</t>
        </is>
      </c>
      <c r="N30" s="16" t="inlineStr">
        <is>
          <t xml:space="preserve">          5K             5K             5K</t>
        </is>
      </c>
      <c r="O30" s="16" t="inlineStr">
        <is>
          <t>4xNHSR2jtZbGf4ZpELkb6w1ThiMgoNvaWw1qm3xspump</t>
        </is>
      </c>
      <c r="P30" s="16">
        <f>HYPERLINK("https://photon-sol.tinyastro.io/en/lp/4xNHSR2jtZbGf4ZpELkb6w1ThiMgoNvaWw1qm3xspump?handle=676050794bc1b1657a56b", "View")</f>
        <v/>
      </c>
    </row>
    <row r="31">
      <c r="A31" s="19" t="inlineStr">
        <is>
          <t>BUCKY</t>
        </is>
      </c>
      <c r="B31" s="20" t="n">
        <v>40583346</v>
      </c>
      <c r="C31" s="20" t="n">
        <v>40583346</v>
      </c>
      <c r="D31" s="20" t="inlineStr">
        <is>
          <t>0.003620</t>
        </is>
      </c>
      <c r="E31" s="20" t="inlineStr">
        <is>
          <t>2.297 SOL</t>
        </is>
      </c>
      <c r="F31" s="20" t="inlineStr">
        <is>
          <t>8.414 SOL</t>
        </is>
      </c>
      <c r="G31" s="23" t="inlineStr">
        <is>
          <t>6.114 SOL</t>
        </is>
      </c>
      <c r="H31" s="23" t="inlineStr">
        <is>
          <t>265.71%</t>
        </is>
      </c>
      <c r="I31" s="20" t="inlineStr">
        <is>
          <t>N/A</t>
        </is>
      </c>
      <c r="J31" s="20" t="n">
        <v>1</v>
      </c>
      <c r="K31" s="20" t="n">
        <v>2</v>
      </c>
      <c r="L31" s="20" t="inlineStr">
        <is>
          <t>30.10.2024 17:45:14</t>
        </is>
      </c>
      <c r="M31" s="20" t="inlineStr">
        <is>
          <t>6 min</t>
        </is>
      </c>
      <c r="N31" s="20" t="inlineStr">
        <is>
          <t xml:space="preserve">         10K            10K             4K</t>
        </is>
      </c>
      <c r="O31" s="20" t="inlineStr">
        <is>
          <t>CMTNpPgqu3bkxm6ggZcMWjksno8EW4zHAYvG7uXZpump</t>
        </is>
      </c>
      <c r="P31" s="20">
        <f>HYPERLINK("https://photon-sol.tinyastro.io/en/lp/CMTNpPgqu3bkxm6ggZcMWjksno8EW4zHAYvG7uXZpump?handle=676050794bc1b1657a56b", "View")</f>
        <v/>
      </c>
    </row>
    <row r="32">
      <c r="A32" s="15" t="inlineStr">
        <is>
          <t>SKY</t>
        </is>
      </c>
      <c r="B32" s="16" t="n">
        <v>97545454</v>
      </c>
      <c r="C32" s="16" t="n">
        <v>97545454</v>
      </c>
      <c r="D32" s="16" t="inlineStr">
        <is>
          <t>0.002410</t>
        </is>
      </c>
      <c r="E32" s="16" t="inlineStr">
        <is>
          <t>3.060 SOL</t>
        </is>
      </c>
      <c r="F32" s="16" t="inlineStr">
        <is>
          <t>4.295 SOL</t>
        </is>
      </c>
      <c r="G32" s="22" t="inlineStr">
        <is>
          <t>1.232 SOL</t>
        </is>
      </c>
      <c r="H32" s="22" t="inlineStr">
        <is>
          <t>40.24%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30.10.2024 17:35:54</t>
        </is>
      </c>
      <c r="M32" s="18" t="inlineStr">
        <is>
          <t>5 sec</t>
        </is>
      </c>
      <c r="N32" s="16" t="inlineStr">
        <is>
          <t xml:space="preserve">          5K             7K             5K</t>
        </is>
      </c>
      <c r="O32" s="16" t="inlineStr">
        <is>
          <t>3sSKPAzyahzmLPo4x8QYwf6YdXWaxqXHWhJG3v5spump</t>
        </is>
      </c>
      <c r="P32" s="16">
        <f>HYPERLINK("https://photon-sol.tinyastro.io/en/lp/3sSKPAzyahzmLPo4x8QYwf6YdXWaxqXHWhJG3v5spump?handle=676050794bc1b1657a56b", "View")</f>
        <v/>
      </c>
    </row>
    <row r="33">
      <c r="A33" s="19" t="inlineStr">
        <is>
          <t>FLAG</t>
        </is>
      </c>
      <c r="B33" s="20" t="n">
        <v>20286775</v>
      </c>
      <c r="C33" s="20" t="n">
        <v>20286775</v>
      </c>
      <c r="D33" s="20" t="inlineStr">
        <is>
          <t>0.002410</t>
        </is>
      </c>
      <c r="E33" s="20" t="inlineStr">
        <is>
          <t>2.009 SOL</t>
        </is>
      </c>
      <c r="F33" s="20" t="inlineStr">
        <is>
          <t>2.026 SOL</t>
        </is>
      </c>
      <c r="G33" s="22" t="inlineStr">
        <is>
          <t>0.014 SOL</t>
        </is>
      </c>
      <c r="H33" s="22" t="inlineStr">
        <is>
          <t>0.71%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30.10.2024 17:33:40</t>
        </is>
      </c>
      <c r="M33" s="18" t="inlineStr">
        <is>
          <t>42 sec</t>
        </is>
      </c>
      <c r="N33" s="20" t="inlineStr">
        <is>
          <t xml:space="preserve">         18K            18K             6K</t>
        </is>
      </c>
      <c r="O33" s="20" t="inlineStr">
        <is>
          <t>FLaGsh6j9tPjTUzZAVuPWgDWoYdtpsEDLv3anzqRuXES</t>
        </is>
      </c>
      <c r="P33" s="20">
        <f>HYPERLINK("https://photon-sol.tinyastro.io/en/lp/FLaGsh6j9tPjTUzZAVuPWgDWoYdtpsEDLv3anzqRuXES?handle=676050794bc1b1657a56b", "View")</f>
        <v/>
      </c>
    </row>
    <row r="34">
      <c r="A34" s="15" t="inlineStr">
        <is>
          <t>Ralph</t>
        </is>
      </c>
      <c r="B34" s="16" t="n">
        <v>51691753</v>
      </c>
      <c r="C34" s="16" t="n">
        <v>51691753</v>
      </c>
      <c r="D34" s="16" t="inlineStr">
        <is>
          <t>0.002410</t>
        </is>
      </c>
      <c r="E34" s="16" t="inlineStr">
        <is>
          <t>2.041 SOL</t>
        </is>
      </c>
      <c r="F34" s="16" t="inlineStr">
        <is>
          <t>4.098 SOL</t>
        </is>
      </c>
      <c r="G34" s="23" t="inlineStr">
        <is>
          <t>2.055 SOL</t>
        </is>
      </c>
      <c r="H34" s="23" t="inlineStr">
        <is>
          <t>100.55%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30.10.2024 17:29:25</t>
        </is>
      </c>
      <c r="M34" s="18" t="inlineStr">
        <is>
          <t>47 sec</t>
        </is>
      </c>
      <c r="N34" s="16" t="inlineStr">
        <is>
          <t xml:space="preserve">          7K            14K             5K</t>
        </is>
      </c>
      <c r="O34" s="16" t="inlineStr">
        <is>
          <t>4B7tXrZCdwRfReJPPvk8jufeNGhETAr5gpm89tzdpump</t>
        </is>
      </c>
      <c r="P34" s="16">
        <f>HYPERLINK("https://photon-sol.tinyastro.io/en/lp/4B7tXrZCdwRfReJPPvk8jufeNGhETAr5gpm89tzdpump?handle=676050794bc1b1657a56b", "View")</f>
        <v/>
      </c>
    </row>
    <row r="35">
      <c r="A35" s="19" t="inlineStr">
        <is>
          <t>MCAI</t>
        </is>
      </c>
      <c r="B35" s="20" t="n">
        <v>9128619</v>
      </c>
      <c r="C35" s="20" t="n">
        <v>9128619</v>
      </c>
      <c r="D35" s="20" t="inlineStr">
        <is>
          <t>0.002410</t>
        </is>
      </c>
      <c r="E35" s="20" t="inlineStr">
        <is>
          <t>1.645 SOL</t>
        </is>
      </c>
      <c r="F35" s="20" t="inlineStr">
        <is>
          <t>1.840 SOL</t>
        </is>
      </c>
      <c r="G35" s="22" t="inlineStr">
        <is>
          <t>0.192 SOL</t>
        </is>
      </c>
      <c r="H35" s="22" t="inlineStr">
        <is>
          <t>11.68%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30.10.2024 14:43:47</t>
        </is>
      </c>
      <c r="M35" s="18" t="inlineStr">
        <is>
          <t>9 sec</t>
        </is>
      </c>
      <c r="N35" s="20" t="inlineStr">
        <is>
          <t xml:space="preserve">         32K            35K             5K</t>
        </is>
      </c>
      <c r="O35" s="20" t="inlineStr">
        <is>
          <t>7hUmL7xHWmwpYGdtVfQckPXgGuKxEBhywqZF4WPB5da7</t>
        </is>
      </c>
      <c r="P35" s="20">
        <f>HYPERLINK("https://photon-sol.tinyastro.io/en/lp/7hUmL7xHWmwpYGdtVfQckPXgGuKxEBhywqZF4WPB5da7?handle=676050794bc1b1657a56b", "View")</f>
        <v/>
      </c>
    </row>
    <row r="36">
      <c r="A36" s="15" t="inlineStr">
        <is>
          <t>KITTN</t>
        </is>
      </c>
      <c r="B36" s="16" t="n">
        <v>97543524</v>
      </c>
      <c r="C36" s="16" t="n">
        <v>97543524</v>
      </c>
      <c r="D36" s="16" t="inlineStr">
        <is>
          <t>0.002410</t>
        </is>
      </c>
      <c r="E36" s="16" t="inlineStr">
        <is>
          <t>3.060 SOL</t>
        </is>
      </c>
      <c r="F36" s="16" t="inlineStr">
        <is>
          <t>4.585 SOL</t>
        </is>
      </c>
      <c r="G36" s="22" t="inlineStr">
        <is>
          <t>1.523 SOL</t>
        </is>
      </c>
      <c r="H36" s="22" t="inlineStr">
        <is>
          <t>49.72%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30.10.2024 14:33:34</t>
        </is>
      </c>
      <c r="M36" s="18" t="inlineStr">
        <is>
          <t>6 sec</t>
        </is>
      </c>
      <c r="N36" s="16" t="inlineStr">
        <is>
          <t xml:space="preserve">        N/A           N/A           N/A</t>
        </is>
      </c>
      <c r="O36" s="16" t="inlineStr">
        <is>
          <t>2vQrtUXvQGS6QYQJgM8j1BPZjKvG4udsYoCDqtejQDup</t>
        </is>
      </c>
      <c r="P36" s="16">
        <f>HYPERLINK("https://photon-sol.tinyastro.io/en/lp/2vQrtUXvQGS6QYQJgM8j1BPZjKvG4udsYoCDqtejQDup?handle=676050794bc1b1657a56b", "View")</f>
        <v/>
      </c>
    </row>
    <row r="37">
      <c r="A37" s="19" t="inlineStr">
        <is>
          <t>DOGE</t>
        </is>
      </c>
      <c r="B37" s="20" t="n">
        <v>97545455</v>
      </c>
      <c r="C37" s="20" t="n">
        <v>97545455</v>
      </c>
      <c r="D37" s="20" t="inlineStr">
        <is>
          <t>0.002410</t>
        </is>
      </c>
      <c r="E37" s="20" t="inlineStr">
        <is>
          <t>3.060 SOL</t>
        </is>
      </c>
      <c r="F37" s="20" t="inlineStr">
        <is>
          <t>4.704 SOL</t>
        </is>
      </c>
      <c r="G37" s="23" t="inlineStr">
        <is>
          <t>1.641 SOL</t>
        </is>
      </c>
      <c r="H37" s="23" t="inlineStr">
        <is>
          <t>53.59%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30.10.2024 14:32:42</t>
        </is>
      </c>
      <c r="M37" s="18" t="inlineStr">
        <is>
          <t>4 sec</t>
        </is>
      </c>
      <c r="N37" s="20" t="inlineStr">
        <is>
          <t xml:space="preserve">          5K             9K             5K</t>
        </is>
      </c>
      <c r="O37" s="20" t="inlineStr">
        <is>
          <t>8DFkc851in6yxnd7EzCz9cqx7xxnTPv6apJpism8pump</t>
        </is>
      </c>
      <c r="P37" s="20">
        <f>HYPERLINK("https://photon-sol.tinyastro.io/en/lp/8DFkc851in6yxnd7EzCz9cqx7xxnTPv6apJpism8pump?handle=676050794bc1b1657a56b", "View")</f>
        <v/>
      </c>
    </row>
    <row r="38">
      <c r="A38" s="15" t="inlineStr">
        <is>
          <t xml:space="preserve">Richard </t>
        </is>
      </c>
      <c r="B38" s="16" t="n">
        <v>97545455</v>
      </c>
      <c r="C38" s="16" t="n">
        <v>97545455</v>
      </c>
      <c r="D38" s="16" t="inlineStr">
        <is>
          <t>0.002410</t>
        </is>
      </c>
      <c r="E38" s="16" t="inlineStr">
        <is>
          <t>3.060 SOL</t>
        </is>
      </c>
      <c r="F38" s="16" t="inlineStr">
        <is>
          <t>3.888 SOL</t>
        </is>
      </c>
      <c r="G38" s="22" t="inlineStr">
        <is>
          <t>0.825 SOL</t>
        </is>
      </c>
      <c r="H38" s="22" t="inlineStr">
        <is>
          <t>26.95%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30.10.2024 14:31:39</t>
        </is>
      </c>
      <c r="M38" s="18" t="inlineStr">
        <is>
          <t>9 sec</t>
        </is>
      </c>
      <c r="N38" s="16" t="inlineStr">
        <is>
          <t xml:space="preserve">          5K             7K             5K</t>
        </is>
      </c>
      <c r="O38" s="16" t="inlineStr">
        <is>
          <t>FxEJtbWwUhLf6LzL6dc6ki8Gv3QYLaRvEjeriYJWpump</t>
        </is>
      </c>
      <c r="P38" s="16">
        <f>HYPERLINK("https://photon-sol.tinyastro.io/en/lp/FxEJtbWwUhLf6LzL6dc6ki8Gv3QYLaRvEjeriYJWpump?handle=676050794bc1b1657a56b", "View")</f>
        <v/>
      </c>
    </row>
    <row r="39">
      <c r="A39" s="19" t="inlineStr">
        <is>
          <t>🎃</t>
        </is>
      </c>
      <c r="B39" s="20" t="n">
        <v>126217067</v>
      </c>
      <c r="C39" s="20" t="n">
        <v>126217067</v>
      </c>
      <c r="D39" s="20" t="inlineStr">
        <is>
          <t>0.002410</t>
        </is>
      </c>
      <c r="E39" s="20" t="inlineStr">
        <is>
          <t>4.079 SOL</t>
        </is>
      </c>
      <c r="F39" s="20" t="inlineStr">
        <is>
          <t>5.374 SOL</t>
        </is>
      </c>
      <c r="G39" s="22" t="inlineStr">
        <is>
          <t>1.292 SOL</t>
        </is>
      </c>
      <c r="H39" s="22" t="inlineStr">
        <is>
          <t>31.66%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30.10.2024 14:29:39</t>
        </is>
      </c>
      <c r="M39" s="18" t="inlineStr">
        <is>
          <t>4 sec</t>
        </is>
      </c>
      <c r="N39" s="20" t="inlineStr">
        <is>
          <t xml:space="preserve">          5K             7K             5K</t>
        </is>
      </c>
      <c r="O39" s="20" t="inlineStr">
        <is>
          <t>GRQiHCwcEk9noS5QWWQsoyKRFTxzNiayFFWWk4nJpump</t>
        </is>
      </c>
      <c r="P39" s="20">
        <f>HYPERLINK("https://photon-sol.tinyastro.io/en/lp/GRQiHCwcEk9noS5QWWQsoyKRFTxzNiayFFWWk4nJpump?handle=676050794bc1b1657a56b", "View")</f>
        <v/>
      </c>
    </row>
    <row r="40">
      <c r="A40" s="15" t="inlineStr">
        <is>
          <t>SPARK</t>
        </is>
      </c>
      <c r="B40" s="16" t="n">
        <v>38222585</v>
      </c>
      <c r="C40" s="16" t="n">
        <v>38222585</v>
      </c>
      <c r="D40" s="16" t="inlineStr">
        <is>
          <t>0.002410</t>
        </is>
      </c>
      <c r="E40" s="16" t="inlineStr">
        <is>
          <t>1.281 SOL</t>
        </is>
      </c>
      <c r="F40" s="16" t="inlineStr">
        <is>
          <t>1.820 SOL</t>
        </is>
      </c>
      <c r="G40" s="22" t="inlineStr">
        <is>
          <t>0.537 SOL</t>
        </is>
      </c>
      <c r="H40" s="22" t="inlineStr">
        <is>
          <t>41.86%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30.10.2024 14:27:16</t>
        </is>
      </c>
      <c r="M40" s="18" t="inlineStr">
        <is>
          <t>9 sec</t>
        </is>
      </c>
      <c r="N40" s="16" t="inlineStr">
        <is>
          <t xml:space="preserve">          5K             9K             5K</t>
        </is>
      </c>
      <c r="O40" s="16" t="inlineStr">
        <is>
          <t>Gkgys4g2b2g729YnJ15xZo1tarKfDeudM28V7eeLpump</t>
        </is>
      </c>
      <c r="P40" s="16">
        <f>HYPERLINK("https://photon-sol.tinyastro.io/en/lp/Gkgys4g2b2g729YnJ15xZo1tarKfDeudM28V7eeLpump?handle=676050794bc1b1657a56b", "View")</f>
        <v/>
      </c>
    </row>
    <row r="41">
      <c r="A41" s="19" t="inlineStr">
        <is>
          <t>DORIME</t>
        </is>
      </c>
      <c r="B41" s="20" t="n">
        <v>58822513</v>
      </c>
      <c r="C41" s="20" t="n">
        <v>58822513</v>
      </c>
      <c r="D41" s="20" t="inlineStr">
        <is>
          <t>0.002410</t>
        </is>
      </c>
      <c r="E41" s="20" t="inlineStr">
        <is>
          <t>2.041 SOL</t>
        </is>
      </c>
      <c r="F41" s="20" t="inlineStr">
        <is>
          <t>2.854 SOL</t>
        </is>
      </c>
      <c r="G41" s="22" t="inlineStr">
        <is>
          <t>0.810 SOL</t>
        </is>
      </c>
      <c r="H41" s="22" t="inlineStr">
        <is>
          <t>39.66%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30.10.2024 14:23:39</t>
        </is>
      </c>
      <c r="M41" s="18" t="inlineStr">
        <is>
          <t>4 sec</t>
        </is>
      </c>
      <c r="N41" s="20" t="inlineStr">
        <is>
          <t xml:space="preserve">          5K             9K             5K</t>
        </is>
      </c>
      <c r="O41" s="20" t="inlineStr">
        <is>
          <t>CD6C6tM37MekusXnemC1P5CW2KXBJ7MvabXX9uptpump</t>
        </is>
      </c>
      <c r="P41" s="20">
        <f>HYPERLINK("https://photon-sol.tinyastro.io/en/lp/CD6C6tM37MekusXnemC1P5CW2KXBJ7MvabXX9uptpump?handle=676050794bc1b1657a56b", "View")</f>
        <v/>
      </c>
    </row>
    <row r="42">
      <c r="A42" s="15" t="inlineStr">
        <is>
          <t>APED</t>
        </is>
      </c>
      <c r="B42" s="16" t="n">
        <v>9817050</v>
      </c>
      <c r="C42" s="16" t="n">
        <v>9817050</v>
      </c>
      <c r="D42" s="16" t="inlineStr">
        <is>
          <t>0.041210</t>
        </is>
      </c>
      <c r="E42" s="16" t="inlineStr">
        <is>
          <t>2.108 SOL</t>
        </is>
      </c>
      <c r="F42" s="16" t="inlineStr">
        <is>
          <t>2.804 SOL</t>
        </is>
      </c>
      <c r="G42" s="22" t="inlineStr">
        <is>
          <t>0.654 SOL</t>
        </is>
      </c>
      <c r="H42" s="22" t="inlineStr">
        <is>
          <t>30.45%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30.10.2024 14:21:17</t>
        </is>
      </c>
      <c r="M42" s="18" t="inlineStr">
        <is>
          <t>16 sec</t>
        </is>
      </c>
      <c r="N42" s="16" t="inlineStr">
        <is>
          <t xml:space="preserve">         34K            48K            94K</t>
        </is>
      </c>
      <c r="O42" s="16" t="inlineStr">
        <is>
          <t>Ghp84ZTWgJhATi9UwnTSqzedihUsvup6Ejwiz4TaEA25</t>
        </is>
      </c>
      <c r="P42" s="16">
        <f>HYPERLINK("https://photon-sol.tinyastro.io/en/lp/Ghp84ZTWgJhATi9UwnTSqzedihUsvup6Ejwiz4TaEA25?handle=676050794bc1b1657a56b", "View")</f>
        <v/>
      </c>
    </row>
    <row r="43">
      <c r="A43" s="19" t="inlineStr">
        <is>
          <t xml:space="preserve">CT 100 </t>
        </is>
      </c>
      <c r="B43" s="20" t="n">
        <v>23373746</v>
      </c>
      <c r="C43" s="20" t="n">
        <v>23373746</v>
      </c>
      <c r="D43" s="20" t="inlineStr">
        <is>
          <t>0.041210</t>
        </is>
      </c>
      <c r="E43" s="20" t="inlineStr">
        <is>
          <t>2.041 SOL</t>
        </is>
      </c>
      <c r="F43" s="20" t="inlineStr">
        <is>
          <t>2.754 SOL</t>
        </is>
      </c>
      <c r="G43" s="22" t="inlineStr">
        <is>
          <t>0.672 SOL</t>
        </is>
      </c>
      <c r="H43" s="22" t="inlineStr">
        <is>
          <t>32.25%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30.10.2024 13:42:47</t>
        </is>
      </c>
      <c r="M43" s="18" t="inlineStr">
        <is>
          <t>9 sec</t>
        </is>
      </c>
      <c r="N43" s="20" t="inlineStr">
        <is>
          <t xml:space="preserve">         16K            21K             5K</t>
        </is>
      </c>
      <c r="O43" s="20" t="inlineStr">
        <is>
          <t>417vPY5yiAb3tLAZ8jhYqGLqpmahS2aVaRiZ241opump</t>
        </is>
      </c>
      <c r="P43" s="20">
        <f>HYPERLINK("https://photon-sol.tinyastro.io/en/lp/417vPY5yiAb3tLAZ8jhYqGLqpmahS2aVaRiZ241opump?handle=676050794bc1b1657a56b", "View")</f>
        <v/>
      </c>
    </row>
    <row r="44">
      <c r="A44" s="15" t="inlineStr">
        <is>
          <t>dCAT</t>
        </is>
      </c>
      <c r="B44" s="16" t="n">
        <v>83762390</v>
      </c>
      <c r="C44" s="16" t="n">
        <v>83762390</v>
      </c>
      <c r="D44" s="16" t="inlineStr">
        <is>
          <t>0.002410</t>
        </is>
      </c>
      <c r="E44" s="16" t="inlineStr">
        <is>
          <t>3.058 SOL</t>
        </is>
      </c>
      <c r="F44" s="16" t="inlineStr">
        <is>
          <t>3.861 SOL</t>
        </is>
      </c>
      <c r="G44" s="22" t="inlineStr">
        <is>
          <t>0.801 SOL</t>
        </is>
      </c>
      <c r="H44" s="22" t="inlineStr">
        <is>
          <t>26.16%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30.10.2024 13:42:08</t>
        </is>
      </c>
      <c r="M44" s="18" t="inlineStr">
        <is>
          <t>5 sec</t>
        </is>
      </c>
      <c r="N44" s="16" t="inlineStr">
        <is>
          <t xml:space="preserve">          7K             9K             5K</t>
        </is>
      </c>
      <c r="O44" s="16" t="inlineStr">
        <is>
          <t>7mLLFoQNf5wK1dUKyDSDASTZptv4gcSG27uF2m89pump</t>
        </is>
      </c>
      <c r="P44" s="16">
        <f>HYPERLINK("https://photon-sol.tinyastro.io/en/lp/7mLLFoQNf5wK1dUKyDSDASTZptv4gcSG27uF2m89pump?handle=676050794bc1b1657a56b", "View")</f>
        <v/>
      </c>
    </row>
    <row r="45">
      <c r="A45" s="19" t="inlineStr">
        <is>
          <t>AI</t>
        </is>
      </c>
      <c r="B45" s="20" t="n">
        <v>97545454</v>
      </c>
      <c r="C45" s="20" t="n">
        <v>97545454</v>
      </c>
      <c r="D45" s="20" t="inlineStr">
        <is>
          <t>0.002410</t>
        </is>
      </c>
      <c r="E45" s="20" t="inlineStr">
        <is>
          <t>3.060 SOL</t>
        </is>
      </c>
      <c r="F45" s="20" t="inlineStr">
        <is>
          <t>3.970 SOL</t>
        </is>
      </c>
      <c r="G45" s="22" t="inlineStr">
        <is>
          <t>0.907 SOL</t>
        </is>
      </c>
      <c r="H45" s="22" t="inlineStr">
        <is>
          <t>29.62%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30.10.2024 13:39:24</t>
        </is>
      </c>
      <c r="M45" s="18" t="inlineStr">
        <is>
          <t>6 sec</t>
        </is>
      </c>
      <c r="N45" s="20" t="inlineStr">
        <is>
          <t xml:space="preserve">        N/A           N/A           N/A</t>
        </is>
      </c>
      <c r="O45" s="20" t="inlineStr">
        <is>
          <t>Fe79bFVEUck4dzsE7v7Mxpr5Xv7KbF2Gbygn4tGnpump</t>
        </is>
      </c>
      <c r="P45" s="20">
        <f>HYPERLINK("https://photon-sol.tinyastro.io/en/lp/Fe79bFVEUck4dzsE7v7Mxpr5Xv7KbF2Gbygn4tGnpump?handle=676050794bc1b1657a56b", "View")</f>
        <v/>
      </c>
    </row>
    <row r="46">
      <c r="A46" s="15" t="inlineStr">
        <is>
          <t>vi</t>
        </is>
      </c>
      <c r="B46" s="16" t="n">
        <v>76920387</v>
      </c>
      <c r="C46" s="16" t="n">
        <v>76920387</v>
      </c>
      <c r="D46" s="16" t="inlineStr">
        <is>
          <t>0.002410</t>
        </is>
      </c>
      <c r="E46" s="16" t="inlineStr">
        <is>
          <t>3.060 SOL</t>
        </is>
      </c>
      <c r="F46" s="16" t="inlineStr">
        <is>
          <t>5.450 SOL</t>
        </is>
      </c>
      <c r="G46" s="23" t="inlineStr">
        <is>
          <t>2.387 SOL</t>
        </is>
      </c>
      <c r="H46" s="23" t="inlineStr">
        <is>
          <t>77.94%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30.10.2024 13:37:50</t>
        </is>
      </c>
      <c r="M46" s="18" t="inlineStr">
        <is>
          <t>5 sec</t>
        </is>
      </c>
      <c r="N46" s="16" t="inlineStr">
        <is>
          <t xml:space="preserve">          7K            12K             5K</t>
        </is>
      </c>
      <c r="O46" s="16" t="inlineStr">
        <is>
          <t>8DtKYUJrQc8epAP6U738TK8dveaJqmWb88qYqmG8pump</t>
        </is>
      </c>
      <c r="P46" s="16">
        <f>HYPERLINK("https://photon-sol.tinyastro.io/en/lp/8DtKYUJrQc8epAP6U738TK8dveaJqmWb88qYqmG8pump?handle=676050794bc1b1657a56b", "View")</f>
        <v/>
      </c>
    </row>
    <row r="47">
      <c r="A47" s="19" t="inlineStr">
        <is>
          <t>PINO</t>
        </is>
      </c>
      <c r="B47" s="20" t="n">
        <v>96529754</v>
      </c>
      <c r="C47" s="20" t="n">
        <v>96529754</v>
      </c>
      <c r="D47" s="20" t="inlineStr">
        <is>
          <t>0.002410</t>
        </is>
      </c>
      <c r="E47" s="20" t="inlineStr">
        <is>
          <t>3.060 SOL</t>
        </is>
      </c>
      <c r="F47" s="20" t="inlineStr">
        <is>
          <t>5.646 SOL</t>
        </is>
      </c>
      <c r="G47" s="23" t="inlineStr">
        <is>
          <t>2.584 SOL</t>
        </is>
      </c>
      <c r="H47" s="23" t="inlineStr">
        <is>
          <t>84.36%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30.10.2024 13:30:49</t>
        </is>
      </c>
      <c r="M47" s="18" t="inlineStr">
        <is>
          <t>6 sec</t>
        </is>
      </c>
      <c r="N47" s="20" t="inlineStr">
        <is>
          <t xml:space="preserve">        N/A           N/A           N/A</t>
        </is>
      </c>
      <c r="O47" s="20" t="inlineStr">
        <is>
          <t>3e9EhfMeTvyyXreT8kYaS4ujyfkfpvfxs7dHZKjNpump</t>
        </is>
      </c>
      <c r="P47" s="20">
        <f>HYPERLINK("https://photon-sol.tinyastro.io/en/lp/3e9EhfMeTvyyXreT8kYaS4ujyfkfpvfxs7dHZKjNpump?handle=676050794bc1b1657a56b", "View")</f>
        <v/>
      </c>
    </row>
    <row r="48">
      <c r="A48" s="15" t="inlineStr">
        <is>
          <t>Nillion</t>
        </is>
      </c>
      <c r="B48" s="16" t="n">
        <v>51410020</v>
      </c>
      <c r="C48" s="16" t="n">
        <v>51410020</v>
      </c>
      <c r="D48" s="16" t="inlineStr">
        <is>
          <t>0.080010</t>
        </is>
      </c>
      <c r="E48" s="16" t="inlineStr">
        <is>
          <t>2.680 SOL</t>
        </is>
      </c>
      <c r="F48" s="16" t="inlineStr">
        <is>
          <t>2.574 SOL</t>
        </is>
      </c>
      <c r="G48" s="21" t="inlineStr">
        <is>
          <t>-0.185 SOL</t>
        </is>
      </c>
      <c r="H48" s="21" t="inlineStr">
        <is>
          <t>-6.72%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30.10.2024 13:29:47</t>
        </is>
      </c>
      <c r="M48" s="18" t="inlineStr">
        <is>
          <t>22 sec</t>
        </is>
      </c>
      <c r="N48" s="16" t="inlineStr">
        <is>
          <t xml:space="preserve">          9K             9K             5K</t>
        </is>
      </c>
      <c r="O48" s="16" t="inlineStr">
        <is>
          <t>GF4Ga1KdkFc1mm4usWjjr6jFS54VKiUd4ARUVMPPpump</t>
        </is>
      </c>
      <c r="P48" s="16">
        <f>HYPERLINK("https://photon-sol.tinyastro.io/en/lp/GF4Ga1KdkFc1mm4usWjjr6jFS54VKiUd4ARUVMPPpump?handle=676050794bc1b1657a56b", "View")</f>
        <v/>
      </c>
    </row>
    <row r="49">
      <c r="A49" s="19" t="inlineStr">
        <is>
          <t>HOME</t>
        </is>
      </c>
      <c r="B49" s="20" t="n">
        <v>28873037</v>
      </c>
      <c r="C49" s="20" t="n">
        <v>28873037</v>
      </c>
      <c r="D49" s="20" t="inlineStr">
        <is>
          <t>0.041210</t>
        </is>
      </c>
      <c r="E49" s="20" t="inlineStr">
        <is>
          <t>2.684 SOL</t>
        </is>
      </c>
      <c r="F49" s="20" t="inlineStr">
        <is>
          <t>3.907 SOL</t>
        </is>
      </c>
      <c r="G49" s="22" t="inlineStr">
        <is>
          <t>1.181 SOL</t>
        </is>
      </c>
      <c r="H49" s="22" t="inlineStr">
        <is>
          <t>43.34%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30.10.2024 13:26:21</t>
        </is>
      </c>
      <c r="M49" s="18" t="inlineStr">
        <is>
          <t>27 sec</t>
        </is>
      </c>
      <c r="N49" s="20" t="inlineStr">
        <is>
          <t xml:space="preserve">         16K            25K             5K</t>
        </is>
      </c>
      <c r="O49" s="20" t="inlineStr">
        <is>
          <t>HEa8nhUd75NoW7cQM44JqQC3ojwxgCpUpiNr1vmiXCju</t>
        </is>
      </c>
      <c r="P49" s="20">
        <f>HYPERLINK("https://photon-sol.tinyastro.io/en/lp/HEa8nhUd75NoW7cQM44JqQC3ojwxgCpUpiNr1vmiXCju?handle=676050794bc1b1657a56b", "View")</f>
        <v/>
      </c>
    </row>
    <row r="50">
      <c r="A50" s="15" t="inlineStr">
        <is>
          <t>AIGOAT</t>
        </is>
      </c>
      <c r="B50" s="16" t="n">
        <v>97535039</v>
      </c>
      <c r="C50" s="16" t="n">
        <v>97535039</v>
      </c>
      <c r="D50" s="16" t="inlineStr">
        <is>
          <t>0.002410</t>
        </is>
      </c>
      <c r="E50" s="16" t="inlineStr">
        <is>
          <t>3.060 SOL</t>
        </is>
      </c>
      <c r="F50" s="16" t="inlineStr">
        <is>
          <t>5.333 SOL</t>
        </is>
      </c>
      <c r="G50" s="23" t="inlineStr">
        <is>
          <t>2.271 SOL</t>
        </is>
      </c>
      <c r="H50" s="23" t="inlineStr">
        <is>
          <t>74.14%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30.10.2024 13:19:19</t>
        </is>
      </c>
      <c r="M50" s="18" t="inlineStr">
        <is>
          <t>6 sec</t>
        </is>
      </c>
      <c r="N50" s="16" t="inlineStr">
        <is>
          <t xml:space="preserve">          5K             9K             5K</t>
        </is>
      </c>
      <c r="O50" s="16" t="inlineStr">
        <is>
          <t>2HvtYwEU4zu34XHgtLEfECkSGjYDC23rM7WGACSBpump</t>
        </is>
      </c>
      <c r="P50" s="16">
        <f>HYPERLINK("https://photon-sol.tinyastro.io/en/lp/2HvtYwEU4zu34XHgtLEfECkSGjYDC23rM7WGACSBpump?handle=676050794bc1b1657a56b", "View")</f>
        <v/>
      </c>
    </row>
    <row r="51">
      <c r="A51" s="19" t="inlineStr">
        <is>
          <t>$GPP</t>
        </is>
      </c>
      <c r="B51" s="20" t="n">
        <v>93668771</v>
      </c>
      <c r="C51" s="20" t="n">
        <v>93668771</v>
      </c>
      <c r="D51" s="20" t="inlineStr">
        <is>
          <t>0.002410</t>
        </is>
      </c>
      <c r="E51" s="20" t="inlineStr">
        <is>
          <t>3.060 SOL</t>
        </is>
      </c>
      <c r="F51" s="20" t="inlineStr">
        <is>
          <t>4.901 SOL</t>
        </is>
      </c>
      <c r="G51" s="23" t="inlineStr">
        <is>
          <t>1.839 SOL</t>
        </is>
      </c>
      <c r="H51" s="23" t="inlineStr">
        <is>
          <t>60.03%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30.10.2024 13:18:32</t>
        </is>
      </c>
      <c r="M51" s="18" t="inlineStr">
        <is>
          <t>4 sec</t>
        </is>
      </c>
      <c r="N51" s="20" t="inlineStr">
        <is>
          <t xml:space="preserve">          5K             9K             5K</t>
        </is>
      </c>
      <c r="O51" s="20" t="inlineStr">
        <is>
          <t>4JmHmBwxfqu6oowD4UwEn6kCZUWUpeKpAxyXNx2fpump</t>
        </is>
      </c>
      <c r="P51" s="20">
        <f>HYPERLINK("https://photon-sol.tinyastro.io/en/lp/4JmHmBwxfqu6oowD4UwEn6kCZUWUpeKpAxyXNx2fpump?handle=676050794bc1b1657a56b", "View")</f>
        <v/>
      </c>
    </row>
    <row r="52">
      <c r="A52" s="15" t="inlineStr">
        <is>
          <t>sense</t>
        </is>
      </c>
      <c r="B52" s="16" t="n">
        <v>94090727</v>
      </c>
      <c r="C52" s="16" t="n">
        <v>94090727</v>
      </c>
      <c r="D52" s="16" t="inlineStr">
        <is>
          <t>0.002410</t>
        </is>
      </c>
      <c r="E52" s="16" t="inlineStr">
        <is>
          <t>3.060 SOL</t>
        </is>
      </c>
      <c r="F52" s="16" t="inlineStr">
        <is>
          <t>5.319 SOL</t>
        </is>
      </c>
      <c r="G52" s="23" t="inlineStr">
        <is>
          <t>2.257 SOL</t>
        </is>
      </c>
      <c r="H52" s="23" t="inlineStr">
        <is>
          <t>73.68%</t>
        </is>
      </c>
      <c r="I52" s="16" t="inlineStr">
        <is>
          <t>N/A</t>
        </is>
      </c>
      <c r="J52" s="16" t="n">
        <v>1</v>
      </c>
      <c r="K52" s="16" t="n">
        <v>1</v>
      </c>
      <c r="L52" s="16" t="inlineStr">
        <is>
          <t>30.10.2024 13:17:49</t>
        </is>
      </c>
      <c r="M52" s="18" t="inlineStr">
        <is>
          <t>6 sec</t>
        </is>
      </c>
      <c r="N52" s="16" t="inlineStr">
        <is>
          <t xml:space="preserve">          5K            11K             5K</t>
        </is>
      </c>
      <c r="O52" s="16" t="inlineStr">
        <is>
          <t>54VXYQW2TuGi2KnAmpGcg9EbJ9vBDVGG7Ne16gJypump</t>
        </is>
      </c>
      <c r="P52" s="16">
        <f>HYPERLINK("https://photon-sol.tinyastro.io/en/lp/54VXYQW2TuGi2KnAmpGcg9EbJ9vBDVGG7Ne16gJypump?handle=676050794bc1b1657a56b", "View")</f>
        <v/>
      </c>
    </row>
    <row r="53">
      <c r="A53" s="19" t="inlineStr">
        <is>
          <t>Tardigrade</t>
        </is>
      </c>
      <c r="B53" s="20" t="n">
        <v>45662418</v>
      </c>
      <c r="C53" s="20" t="n">
        <v>45662418</v>
      </c>
      <c r="D53" s="20" t="inlineStr">
        <is>
          <t>0.002410</t>
        </is>
      </c>
      <c r="E53" s="20" t="inlineStr">
        <is>
          <t>2.041 SOL</t>
        </is>
      </c>
      <c r="F53" s="20" t="inlineStr">
        <is>
          <t>2.356 SOL</t>
        </is>
      </c>
      <c r="G53" s="22" t="inlineStr">
        <is>
          <t>0.312 SOL</t>
        </is>
      </c>
      <c r="H53" s="22" t="inlineStr">
        <is>
          <t>15.27%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30.10.2024 09:04:16</t>
        </is>
      </c>
      <c r="M53" s="18" t="inlineStr">
        <is>
          <t>5 sec</t>
        </is>
      </c>
      <c r="N53" s="20" t="inlineStr">
        <is>
          <t xml:space="preserve">        N/A           N/A           N/A</t>
        </is>
      </c>
      <c r="O53" s="20" t="inlineStr">
        <is>
          <t>8MwAiGhNEwETMy8EajjYaWfqxNyAKea3Z5cMyHcopump</t>
        </is>
      </c>
      <c r="P53" s="20">
        <f>HYPERLINK("https://photon-sol.tinyastro.io/en/lp/8MwAiGhNEwETMy8EajjYaWfqxNyAKea3Z5cMyHcopump?handle=676050794bc1b1657a56b", "View")</f>
        <v/>
      </c>
    </row>
    <row r="54">
      <c r="A54" s="15" t="inlineStr">
        <is>
          <t>Luckshury</t>
        </is>
      </c>
      <c r="B54" s="16" t="n">
        <v>88119397</v>
      </c>
      <c r="C54" s="16" t="n">
        <v>88119397</v>
      </c>
      <c r="D54" s="16" t="inlineStr">
        <is>
          <t>0.002410</t>
        </is>
      </c>
      <c r="E54" s="16" t="inlineStr">
        <is>
          <t>3.060 SOL</t>
        </is>
      </c>
      <c r="F54" s="16" t="inlineStr">
        <is>
          <t>4.067 SOL</t>
        </is>
      </c>
      <c r="G54" s="22" t="inlineStr">
        <is>
          <t>1.005 SOL</t>
        </is>
      </c>
      <c r="H54" s="22" t="inlineStr">
        <is>
          <t>32.80%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30.10.2024 09:03:06</t>
        </is>
      </c>
      <c r="M54" s="18" t="inlineStr">
        <is>
          <t>8 sec</t>
        </is>
      </c>
      <c r="N54" s="16" t="inlineStr">
        <is>
          <t xml:space="preserve">          5K             9K             5K</t>
        </is>
      </c>
      <c r="O54" s="16" t="inlineStr">
        <is>
          <t>AypDsxqkWFz5HSdAEAMZQHEvCdsYr57saPPi5gHSpump</t>
        </is>
      </c>
      <c r="P54" s="16">
        <f>HYPERLINK("https://photon-sol.tinyastro.io/en/lp/AypDsxqkWFz5HSdAEAMZQHEvCdsYr57saPPi5gHSpump?handle=676050794bc1b1657a56b", "View")</f>
        <v/>
      </c>
    </row>
    <row r="55">
      <c r="A55" s="19" t="inlineStr">
        <is>
          <t>TEE</t>
        </is>
      </c>
      <c r="B55" s="20" t="n">
        <v>96920087</v>
      </c>
      <c r="C55" s="20" t="n">
        <v>96920087</v>
      </c>
      <c r="D55" s="20" t="inlineStr">
        <is>
          <t>0.002410</t>
        </is>
      </c>
      <c r="E55" s="20" t="inlineStr">
        <is>
          <t>3.060 SOL</t>
        </is>
      </c>
      <c r="F55" s="20" t="inlineStr">
        <is>
          <t>4.225 SOL</t>
        </is>
      </c>
      <c r="G55" s="22" t="inlineStr">
        <is>
          <t>1.162 SOL</t>
        </is>
      </c>
      <c r="H55" s="22" t="inlineStr">
        <is>
          <t>37.95%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30.10.2024 09:02:22</t>
        </is>
      </c>
      <c r="M55" s="18" t="inlineStr">
        <is>
          <t>7 sec</t>
        </is>
      </c>
      <c r="N55" s="20" t="inlineStr">
        <is>
          <t xml:space="preserve">          5K             7K             5K</t>
        </is>
      </c>
      <c r="O55" s="20" t="inlineStr">
        <is>
          <t>8naxeTgCHAyFTLcJmwA5xhtvNGEhMD15T95TyBoZpump</t>
        </is>
      </c>
      <c r="P55" s="20">
        <f>HYPERLINK("https://photon-sol.tinyastro.io/en/lp/8naxeTgCHAyFTLcJmwA5xhtvNGEhMD15T95TyBoZpump?handle=676050794bc1b1657a56b", "View")</f>
        <v/>
      </c>
    </row>
    <row r="56">
      <c r="A56" s="15" t="inlineStr">
        <is>
          <t>FOFF</t>
        </is>
      </c>
      <c r="B56" s="16" t="n">
        <v>126107433</v>
      </c>
      <c r="C56" s="16" t="n">
        <v>126107433</v>
      </c>
      <c r="D56" s="16" t="inlineStr">
        <is>
          <t>0.002410</t>
        </is>
      </c>
      <c r="E56" s="16" t="inlineStr">
        <is>
          <t>4.079 SOL</t>
        </is>
      </c>
      <c r="F56" s="16" t="inlineStr">
        <is>
          <t>4.127 SOL</t>
        </is>
      </c>
      <c r="G56" s="22" t="inlineStr">
        <is>
          <t>0.046 SOL</t>
        </is>
      </c>
      <c r="H56" s="22" t="inlineStr">
        <is>
          <t>1.12%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30.10.2024 09:01:43</t>
        </is>
      </c>
      <c r="M56" s="18" t="inlineStr">
        <is>
          <t>8 sec</t>
        </is>
      </c>
      <c r="N56" s="16" t="inlineStr">
        <is>
          <t xml:space="preserve">          5K             5K             5K</t>
        </is>
      </c>
      <c r="O56" s="16" t="inlineStr">
        <is>
          <t>GDme6Wu2g7NJX64Vh9UM6bRZfkidF3EJQHLuM1sMpump</t>
        </is>
      </c>
      <c r="P56" s="16">
        <f>HYPERLINK("https://photon-sol.tinyastro.io/en/lp/GDme6Wu2g7NJX64Vh9UM6bRZfkidF3EJQHLuM1sMpump?handle=676050794bc1b1657a56b", "View")</f>
        <v/>
      </c>
    </row>
    <row r="57">
      <c r="A57" s="19" t="inlineStr">
        <is>
          <t>Quoa</t>
        </is>
      </c>
      <c r="B57" s="20" t="n">
        <v>96856254</v>
      </c>
      <c r="C57" s="20" t="n">
        <v>96856254</v>
      </c>
      <c r="D57" s="20" t="inlineStr">
        <is>
          <t>0.002110</t>
        </is>
      </c>
      <c r="E57" s="20" t="inlineStr">
        <is>
          <t>3.060 SOL</t>
        </is>
      </c>
      <c r="F57" s="20" t="inlineStr">
        <is>
          <t>4.533 SOL</t>
        </is>
      </c>
      <c r="G57" s="22" t="inlineStr">
        <is>
          <t>1.471 SOL</t>
        </is>
      </c>
      <c r="H57" s="22" t="inlineStr">
        <is>
          <t>48.05%</t>
        </is>
      </c>
      <c r="I57" s="20" t="inlineStr">
        <is>
          <t>N/A</t>
        </is>
      </c>
      <c r="J57" s="20" t="n">
        <v>1</v>
      </c>
      <c r="K57" s="20" t="n">
        <v>1</v>
      </c>
      <c r="L57" s="20" t="inlineStr">
        <is>
          <t>30.10.2024 08:59:11</t>
        </is>
      </c>
      <c r="M57" s="18" t="inlineStr">
        <is>
          <t>6 sec</t>
        </is>
      </c>
      <c r="N57" s="20" t="inlineStr">
        <is>
          <t xml:space="preserve">          5K             9K             5K</t>
        </is>
      </c>
      <c r="O57" s="20" t="inlineStr">
        <is>
          <t>4DYx3C58Ms7zTAAd72wVdYsGBUYLf66H9aVSryhDpump</t>
        </is>
      </c>
      <c r="P57" s="20">
        <f>HYPERLINK("https://photon-sol.tinyastro.io/en/lp/4DYx3C58Ms7zTAAd72wVdYsGBUYLf66H9aVSryhDpump?handle=676050794bc1b1657a56b", "View")</f>
        <v/>
      </c>
    </row>
    <row r="58">
      <c r="A58" s="15" t="inlineStr">
        <is>
          <t>LYRRVVUN</t>
        </is>
      </c>
      <c r="B58" s="16" t="n">
        <v>97540489</v>
      </c>
      <c r="C58" s="16" t="n">
        <v>97540489</v>
      </c>
      <c r="D58" s="16" t="inlineStr">
        <is>
          <t>0.002110</t>
        </is>
      </c>
      <c r="E58" s="16" t="inlineStr">
        <is>
          <t>3.060 SOL</t>
        </is>
      </c>
      <c r="F58" s="16" t="inlineStr">
        <is>
          <t>5.091 SOL</t>
        </is>
      </c>
      <c r="G58" s="23" t="inlineStr">
        <is>
          <t>2.029 SOL</t>
        </is>
      </c>
      <c r="H58" s="23" t="inlineStr">
        <is>
          <t>66.26%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30.10.2024 08:57:31</t>
        </is>
      </c>
      <c r="M58" s="18" t="inlineStr">
        <is>
          <t>5 sec</t>
        </is>
      </c>
      <c r="N58" s="16" t="inlineStr">
        <is>
          <t xml:space="preserve">          5K             9K             5K</t>
        </is>
      </c>
      <c r="O58" s="16" t="inlineStr">
        <is>
          <t>FYgQGbRGEsbrsoGZ4wb7rFhtGMhm78ipu8L28nq6pump</t>
        </is>
      </c>
      <c r="P58" s="16">
        <f>HYPERLINK("https://photon-sol.tinyastro.io/en/lp/FYgQGbRGEsbrsoGZ4wb7rFhtGMhm78ipu8L28nq6pump?handle=676050794bc1b1657a56b", "View")</f>
        <v/>
      </c>
    </row>
    <row r="59">
      <c r="A59" s="19" t="inlineStr">
        <is>
          <t>VOID</t>
        </is>
      </c>
      <c r="B59" s="20" t="n">
        <v>18633142</v>
      </c>
      <c r="C59" s="20" t="n">
        <v>18633142</v>
      </c>
      <c r="D59" s="20" t="inlineStr">
        <is>
          <t>0.002110</t>
        </is>
      </c>
      <c r="E59" s="20" t="inlineStr">
        <is>
          <t>2.183 SOL</t>
        </is>
      </c>
      <c r="F59" s="20" t="inlineStr">
        <is>
          <t>3.104 SOL</t>
        </is>
      </c>
      <c r="G59" s="22" t="inlineStr">
        <is>
          <t>0.919 SOL</t>
        </is>
      </c>
      <c r="H59" s="22" t="inlineStr">
        <is>
          <t>42.04%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30.10.2024 08:49:45</t>
        </is>
      </c>
      <c r="M59" s="18" t="inlineStr">
        <is>
          <t>40 sec</t>
        </is>
      </c>
      <c r="N59" s="20" t="inlineStr">
        <is>
          <t xml:space="preserve">         21K            30K             5K</t>
        </is>
      </c>
      <c r="O59" s="20" t="inlineStr">
        <is>
          <t>ANU3w8EQAXxbjxPyseChSB1QiUKT8ST5VYpYQEc5pump</t>
        </is>
      </c>
      <c r="P59" s="20">
        <f>HYPERLINK("https://photon-sol.tinyastro.io/en/lp/ANU3w8EQAXxbjxPyseChSB1QiUKT8ST5VYpYQEc5pump?handle=676050794bc1b1657a56b", "View")</f>
        <v/>
      </c>
    </row>
    <row r="60">
      <c r="A60" s="15" t="inlineStr">
        <is>
          <t>BUN</t>
        </is>
      </c>
      <c r="B60" s="16" t="n">
        <v>95938483</v>
      </c>
      <c r="C60" s="16" t="n">
        <v>95938483</v>
      </c>
      <c r="D60" s="16" t="inlineStr">
        <is>
          <t>0.002110</t>
        </is>
      </c>
      <c r="E60" s="16" t="inlineStr">
        <is>
          <t>3.060 SOL</t>
        </is>
      </c>
      <c r="F60" s="16" t="inlineStr">
        <is>
          <t>4.531 SOL</t>
        </is>
      </c>
      <c r="G60" s="22" t="inlineStr">
        <is>
          <t>1.469 SOL</t>
        </is>
      </c>
      <c r="H60" s="22" t="inlineStr">
        <is>
          <t>47.96%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30.10.2024 08:47:18</t>
        </is>
      </c>
      <c r="M60" s="18" t="inlineStr">
        <is>
          <t>5 sec</t>
        </is>
      </c>
      <c r="N60" s="16" t="inlineStr">
        <is>
          <t xml:space="preserve">          5K             5K             5K</t>
        </is>
      </c>
      <c r="O60" s="16" t="inlineStr">
        <is>
          <t>BmfDofkf75QfK3rP7HnQitZCkYfe8XCJtSiPob54pump</t>
        </is>
      </c>
      <c r="P60" s="16">
        <f>HYPERLINK("https://photon-sol.tinyastro.io/en/lp/BmfDofkf75QfK3rP7HnQitZCkYfe8XCJtSiPob54pump?handle=676050794bc1b1657a56b", "View")</f>
        <v/>
      </c>
    </row>
    <row r="61">
      <c r="A61" s="19" t="inlineStr">
        <is>
          <t>BUSO</t>
        </is>
      </c>
      <c r="B61" s="20" t="n">
        <v>67056492</v>
      </c>
      <c r="C61" s="20" t="n">
        <v>67056492</v>
      </c>
      <c r="D61" s="20" t="inlineStr">
        <is>
          <t>0.002110</t>
        </is>
      </c>
      <c r="E61" s="20" t="inlineStr">
        <is>
          <t>2.041 SOL</t>
        </is>
      </c>
      <c r="F61" s="20" t="inlineStr">
        <is>
          <t>2.859 SOL</t>
        </is>
      </c>
      <c r="G61" s="22" t="inlineStr">
        <is>
          <t>0.815 SOL</t>
        </is>
      </c>
      <c r="H61" s="22" t="inlineStr">
        <is>
          <t>39.91%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30.10.2024 08:46:24</t>
        </is>
      </c>
      <c r="M61" s="18" t="inlineStr">
        <is>
          <t>6 sec</t>
        </is>
      </c>
      <c r="N61" s="20" t="inlineStr">
        <is>
          <t xml:space="preserve">          5K             7K             5K</t>
        </is>
      </c>
      <c r="O61" s="20" t="inlineStr">
        <is>
          <t>92Zy153QWkoFUGNzx1eamAGoG1MtSA3fbVxYkeR5pump</t>
        </is>
      </c>
      <c r="P61" s="20">
        <f>HYPERLINK("https://photon-sol.tinyastro.io/en/lp/92Zy153QWkoFUGNzx1eamAGoG1MtSA3fbVxYkeR5pump?handle=676050794bc1b1657a56b", "View")</f>
        <v/>
      </c>
    </row>
    <row r="62">
      <c r="A62" s="15" t="inlineStr">
        <is>
          <t>🌀</t>
        </is>
      </c>
      <c r="B62" s="16" t="n">
        <v>17107555</v>
      </c>
      <c r="C62" s="16" t="n">
        <v>17107555</v>
      </c>
      <c r="D62" s="16" t="inlineStr">
        <is>
          <t>0.002110</t>
        </is>
      </c>
      <c r="E62" s="16" t="inlineStr">
        <is>
          <t>1.641 SOL</t>
        </is>
      </c>
      <c r="F62" s="16" t="inlineStr">
        <is>
          <t>1.401 SOL</t>
        </is>
      </c>
      <c r="G62" s="21" t="inlineStr">
        <is>
          <t>-0.242 SOL</t>
        </is>
      </c>
      <c r="H62" s="21" t="inlineStr">
        <is>
          <t>-14.75%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30.10.2024 08:40:33</t>
        </is>
      </c>
      <c r="M62" s="18" t="inlineStr">
        <is>
          <t>11 sec</t>
        </is>
      </c>
      <c r="N62" s="16" t="inlineStr">
        <is>
          <t xml:space="preserve">         18K            14K             4K</t>
        </is>
      </c>
      <c r="O62" s="16" t="inlineStr">
        <is>
          <t>F5KgUWUkQSMyrcoqrP53MFvuyjU8ovhkdojs4LyFpump</t>
        </is>
      </c>
      <c r="P62" s="16">
        <f>HYPERLINK("https://photon-sol.tinyastro.io/en/lp/F5KgUWUkQSMyrcoqrP53MFvuyjU8ovhkdojs4LyFpump?handle=676050794bc1b1657a56b", "View")</f>
        <v/>
      </c>
    </row>
    <row r="63">
      <c r="A63" s="19" t="inlineStr">
        <is>
          <t>Luceus</t>
        </is>
      </c>
      <c r="B63" s="20" t="n">
        <v>53106485</v>
      </c>
      <c r="C63" s="20" t="n">
        <v>53106485</v>
      </c>
      <c r="D63" s="20" t="inlineStr">
        <is>
          <t>0.004220</t>
        </is>
      </c>
      <c r="E63" s="20" t="inlineStr">
        <is>
          <t>4.118 SOL</t>
        </is>
      </c>
      <c r="F63" s="20" t="inlineStr">
        <is>
          <t>5.093 SOL</t>
        </is>
      </c>
      <c r="G63" s="22" t="inlineStr">
        <is>
          <t>0.971 SOL</t>
        </is>
      </c>
      <c r="H63" s="22" t="inlineStr">
        <is>
          <t>23.54%</t>
        </is>
      </c>
      <c r="I63" s="20" t="inlineStr">
        <is>
          <t>N/A</t>
        </is>
      </c>
      <c r="J63" s="20" t="n">
        <v>2</v>
      </c>
      <c r="K63" s="20" t="n">
        <v>2</v>
      </c>
      <c r="L63" s="20" t="inlineStr">
        <is>
          <t>30.10.2024 08:02:02</t>
        </is>
      </c>
      <c r="M63" s="20" t="inlineStr">
        <is>
          <t>7 min</t>
        </is>
      </c>
      <c r="N63" s="20" t="inlineStr">
        <is>
          <t xml:space="preserve">         12K            18K             7K</t>
        </is>
      </c>
      <c r="O63" s="20" t="inlineStr">
        <is>
          <t>Hawt2TYkEr4AsLx6Gveo8scbm37mUUZMJyaPzj6Tpump</t>
        </is>
      </c>
      <c r="P63" s="20">
        <f>HYPERLINK("https://photon-sol.tinyastro.io/en/lp/Hawt2TYkEr4AsLx6Gveo8scbm37mUUZMJyaPzj6Tpump?handle=676050794bc1b1657a56b", "View")</f>
        <v/>
      </c>
    </row>
    <row r="64">
      <c r="A64" s="15" t="inlineStr">
        <is>
          <t>Kira</t>
        </is>
      </c>
      <c r="B64" s="16" t="n">
        <v>126235294</v>
      </c>
      <c r="C64" s="16" t="n">
        <v>126235294</v>
      </c>
      <c r="D64" s="16" t="inlineStr">
        <is>
          <t>0.036060</t>
        </is>
      </c>
      <c r="E64" s="16" t="inlineStr">
        <is>
          <t>4.079 SOL</t>
        </is>
      </c>
      <c r="F64" s="16" t="inlineStr">
        <is>
          <t>5.598 SOL</t>
        </is>
      </c>
      <c r="G64" s="22" t="inlineStr">
        <is>
          <t>1.483 SOL</t>
        </is>
      </c>
      <c r="H64" s="22" t="inlineStr">
        <is>
          <t>36.03%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30.10.2024 07:43:15</t>
        </is>
      </c>
      <c r="M64" s="18" t="inlineStr">
        <is>
          <t>13 sec</t>
        </is>
      </c>
      <c r="N64" s="16" t="inlineStr">
        <is>
          <t xml:space="preserve">          5K             7K             5K</t>
        </is>
      </c>
      <c r="O64" s="16" t="inlineStr">
        <is>
          <t>FkNnig1qjuxk4uyiQdDFAyymQspx6iFFvNK2CvYpump</t>
        </is>
      </c>
      <c r="P64" s="16">
        <f>HYPERLINK("https://photon-sol.tinyastro.io/en/lp/FkNnig1qjuxk4uyiQdDFAyymQspx6iFFvNK2CvYpump?handle=676050794bc1b1657a56b", "View")</f>
        <v/>
      </c>
    </row>
    <row r="65">
      <c r="A65" s="19" t="inlineStr">
        <is>
          <t>milly</t>
        </is>
      </c>
      <c r="B65" s="20" t="n">
        <v>126130098</v>
      </c>
      <c r="C65" s="20" t="n">
        <v>126130098</v>
      </c>
      <c r="D65" s="20" t="inlineStr">
        <is>
          <t>0.002110</t>
        </is>
      </c>
      <c r="E65" s="20" t="inlineStr">
        <is>
          <t>4.079 SOL</t>
        </is>
      </c>
      <c r="F65" s="20" t="inlineStr">
        <is>
          <t>5.609 SOL</t>
        </is>
      </c>
      <c r="G65" s="22" t="inlineStr">
        <is>
          <t>1.528 SOL</t>
        </is>
      </c>
      <c r="H65" s="22" t="inlineStr">
        <is>
          <t>37.44%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30.10.2024 07:41:58</t>
        </is>
      </c>
      <c r="M65" s="18" t="inlineStr">
        <is>
          <t>5 sec</t>
        </is>
      </c>
      <c r="N65" s="20" t="inlineStr">
        <is>
          <t xml:space="preserve">        N/A           N/A           N/A</t>
        </is>
      </c>
      <c r="O65" s="20" t="inlineStr">
        <is>
          <t>DSeRbHfRDzAv4sz4QPkubfeyMk6jAx1Egc9zpu2y3up</t>
        </is>
      </c>
      <c r="P65" s="20">
        <f>HYPERLINK("https://photon-sol.tinyastro.io/en/lp/DSeRbHfRDzAv4sz4QPkubfeyMk6jAx1Egc9zpu2y3up?handle=676050794bc1b1657a56b", "View")</f>
        <v/>
      </c>
    </row>
    <row r="66">
      <c r="A66" s="15" t="inlineStr">
        <is>
          <t>NUNYU</t>
        </is>
      </c>
      <c r="B66" s="16" t="n">
        <v>126235294</v>
      </c>
      <c r="C66" s="16" t="n">
        <v>126235294</v>
      </c>
      <c r="D66" s="16" t="inlineStr">
        <is>
          <t>0.002110</t>
        </is>
      </c>
      <c r="E66" s="16" t="inlineStr">
        <is>
          <t>4.079 SOL</t>
        </is>
      </c>
      <c r="F66" s="16" t="inlineStr">
        <is>
          <t>5.887 SOL</t>
        </is>
      </c>
      <c r="G66" s="22" t="inlineStr">
        <is>
          <t>1.805 SOL</t>
        </is>
      </c>
      <c r="H66" s="22" t="inlineStr">
        <is>
          <t>44.24%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30.10.2024 07:40:57</t>
        </is>
      </c>
      <c r="M66" s="18" t="inlineStr">
        <is>
          <t>6 sec</t>
        </is>
      </c>
      <c r="N66" s="16" t="inlineStr">
        <is>
          <t xml:space="preserve">          5K             9K             5K</t>
        </is>
      </c>
      <c r="O66" s="16" t="inlineStr">
        <is>
          <t>Aadi8zAmMkR3XchRBsAidGbLB6aTaoxUUAwBaciLpump</t>
        </is>
      </c>
      <c r="P66" s="16">
        <f>HYPERLINK("https://photon-sol.tinyastro.io/en/lp/Aadi8zAmMkR3XchRBsAidGbLB6aTaoxUUAwBaciLpump?handle=676050794bc1b1657a56b", "View")</f>
        <v/>
      </c>
    </row>
    <row r="67">
      <c r="A67" s="19" t="inlineStr">
        <is>
          <t>mondo</t>
        </is>
      </c>
      <c r="B67" s="20" t="n">
        <v>7853508</v>
      </c>
      <c r="C67" s="20" t="n">
        <v>7853508</v>
      </c>
      <c r="D67" s="20" t="inlineStr">
        <is>
          <t>0.003170</t>
        </is>
      </c>
      <c r="E67" s="20" t="inlineStr">
        <is>
          <t>2.113 SOL</t>
        </is>
      </c>
      <c r="F67" s="20" t="inlineStr">
        <is>
          <t>2.006 SOL</t>
        </is>
      </c>
      <c r="G67" s="21" t="inlineStr">
        <is>
          <t>-0.110 SOL</t>
        </is>
      </c>
      <c r="H67" s="21" t="inlineStr">
        <is>
          <t>-5.22%</t>
        </is>
      </c>
      <c r="I67" s="20" t="inlineStr">
        <is>
          <t>N/A</t>
        </is>
      </c>
      <c r="J67" s="20" t="n">
        <v>1</v>
      </c>
      <c r="K67" s="20" t="n">
        <v>2</v>
      </c>
      <c r="L67" s="20" t="inlineStr">
        <is>
          <t>30.10.2024 07:39:47</t>
        </is>
      </c>
      <c r="M67" s="20" t="inlineStr">
        <is>
          <t>3 min</t>
        </is>
      </c>
      <c r="N67" s="20" t="inlineStr">
        <is>
          <t xml:space="preserve">         47K            45K             1M</t>
        </is>
      </c>
      <c r="O67" s="20" t="inlineStr">
        <is>
          <t>3Wp5z1GtPqKwyiaicXa7nyXhBVJJ5JgAwzWXuPXqpump</t>
        </is>
      </c>
      <c r="P67" s="20">
        <f>HYPERLINK("https://photon-sol.tinyastro.io/en/lp/3Wp5z1GtPqKwyiaicXa7nyXhBVJJ5JgAwzWXuPXqpump?handle=676050794bc1b1657a56b", "View")</f>
        <v/>
      </c>
    </row>
    <row r="68">
      <c r="A68" s="15" t="inlineStr">
        <is>
          <t>PRESIDENT</t>
        </is>
      </c>
      <c r="B68" s="16" t="n">
        <v>96987759</v>
      </c>
      <c r="C68" s="16" t="n">
        <v>96987759</v>
      </c>
      <c r="D68" s="16" t="inlineStr">
        <is>
          <t>0.002110</t>
        </is>
      </c>
      <c r="E68" s="16" t="inlineStr">
        <is>
          <t>3.060 SOL</t>
        </is>
      </c>
      <c r="F68" s="16" t="inlineStr">
        <is>
          <t>4.711 SOL</t>
        </is>
      </c>
      <c r="G68" s="23" t="inlineStr">
        <is>
          <t>1.649 SOL</t>
        </is>
      </c>
      <c r="H68" s="23" t="inlineStr">
        <is>
          <t>53.86%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30.10.2024 07:37:40</t>
        </is>
      </c>
      <c r="M68" s="18" t="inlineStr">
        <is>
          <t>16 sec</t>
        </is>
      </c>
      <c r="N68" s="16" t="inlineStr">
        <is>
          <t xml:space="preserve">          5K             9K             5K</t>
        </is>
      </c>
      <c r="O68" s="16" t="inlineStr">
        <is>
          <t>2STJwZzm2dAmi3Z6yo9tkFn86huoey1ExGtFn8RDpump</t>
        </is>
      </c>
      <c r="P68" s="16">
        <f>HYPERLINK("https://photon-sol.tinyastro.io/en/lp/2STJwZzm2dAmi3Z6yo9tkFn86huoey1ExGtFn8RDpump?handle=676050794bc1b1657a56b", "View")</f>
        <v/>
      </c>
    </row>
    <row r="69">
      <c r="A69" s="19" t="inlineStr">
        <is>
          <t>DPM</t>
        </is>
      </c>
      <c r="B69" s="20" t="n">
        <v>37760902</v>
      </c>
      <c r="C69" s="20" t="n">
        <v>37760902</v>
      </c>
      <c r="D69" s="20" t="inlineStr">
        <is>
          <t>0.002110</t>
        </is>
      </c>
      <c r="E69" s="20" t="inlineStr">
        <is>
          <t>2.183 SOL</t>
        </is>
      </c>
      <c r="F69" s="20" t="inlineStr">
        <is>
          <t>3.494 SOL</t>
        </is>
      </c>
      <c r="G69" s="23" t="inlineStr">
        <is>
          <t>1.309 SOL</t>
        </is>
      </c>
      <c r="H69" s="23" t="inlineStr">
        <is>
          <t>59.90%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30.10.2024 07:34:21</t>
        </is>
      </c>
      <c r="M69" s="18" t="inlineStr">
        <is>
          <t>14 sec</t>
        </is>
      </c>
      <c r="N69" s="20" t="inlineStr">
        <is>
          <t xml:space="preserve">         11K            16K             6K</t>
        </is>
      </c>
      <c r="O69" s="20" t="inlineStr">
        <is>
          <t>5owE5t3TuCYkftj6arJkm9UmiGCtbz9qRJeBFuUMpump</t>
        </is>
      </c>
      <c r="P69" s="20">
        <f>HYPERLINK("https://photon-sol.tinyastro.io/en/lp/5owE5t3TuCYkftj6arJkm9UmiGCtbz9qRJeBFuUMpump?handle=676050794bc1b1657a56b", "View")</f>
        <v/>
      </c>
    </row>
    <row r="70">
      <c r="A70" s="15" t="inlineStr">
        <is>
          <t>DOAT</t>
        </is>
      </c>
      <c r="B70" s="16" t="n">
        <v>97540804</v>
      </c>
      <c r="C70" s="16" t="n">
        <v>97540804</v>
      </c>
      <c r="D70" s="16" t="inlineStr">
        <is>
          <t>0.002110</t>
        </is>
      </c>
      <c r="E70" s="16" t="inlineStr">
        <is>
          <t>3.060 SOL</t>
        </is>
      </c>
      <c r="F70" s="16" t="inlineStr">
        <is>
          <t>5.300 SOL</t>
        </is>
      </c>
      <c r="G70" s="23" t="inlineStr">
        <is>
          <t>2.238 SOL</t>
        </is>
      </c>
      <c r="H70" s="23" t="inlineStr">
        <is>
          <t>73.08%</t>
        </is>
      </c>
      <c r="I70" s="16" t="inlineStr">
        <is>
          <t>N/A</t>
        </is>
      </c>
      <c r="J70" s="16" t="n">
        <v>1</v>
      </c>
      <c r="K70" s="16" t="n">
        <v>1</v>
      </c>
      <c r="L70" s="16" t="inlineStr">
        <is>
          <t>30.10.2024 07:33:22</t>
        </is>
      </c>
      <c r="M70" s="18" t="inlineStr">
        <is>
          <t>6 sec</t>
        </is>
      </c>
      <c r="N70" s="16" t="inlineStr">
        <is>
          <t xml:space="preserve">          5K             9K             5K</t>
        </is>
      </c>
      <c r="O70" s="16" t="inlineStr">
        <is>
          <t>BVdBK97BpVV2UM2Ekio7yfFz4rvK8Gwnc5zZ767Ppump</t>
        </is>
      </c>
      <c r="P70" s="16">
        <f>HYPERLINK("https://photon-sol.tinyastro.io/en/lp/BVdBK97BpVV2UM2Ekio7yfFz4rvK8Gwnc5zZ767Ppump?handle=676050794bc1b1657a56b", "View")</f>
        <v/>
      </c>
    </row>
    <row r="71">
      <c r="A71" s="19" t="inlineStr">
        <is>
          <t>LUCEAI</t>
        </is>
      </c>
      <c r="B71" s="20" t="n">
        <v>23814467</v>
      </c>
      <c r="C71" s="20" t="n">
        <v>23814467</v>
      </c>
      <c r="D71" s="20" t="inlineStr">
        <is>
          <t>0.002110</t>
        </is>
      </c>
      <c r="E71" s="20" t="inlineStr">
        <is>
          <t>1.532 SOL</t>
        </is>
      </c>
      <c r="F71" s="20" t="inlineStr">
        <is>
          <t>1.715 SOL</t>
        </is>
      </c>
      <c r="G71" s="22" t="inlineStr">
        <is>
          <t>0.181 SOL</t>
        </is>
      </c>
      <c r="H71" s="22" t="inlineStr">
        <is>
          <t>11.81%</t>
        </is>
      </c>
      <c r="I71" s="20" t="inlineStr">
        <is>
          <t>N/A</t>
        </is>
      </c>
      <c r="J71" s="20" t="n">
        <v>1</v>
      </c>
      <c r="K71" s="20" t="n">
        <v>1</v>
      </c>
      <c r="L71" s="20" t="inlineStr">
        <is>
          <t>30.10.2024 07:31:02</t>
        </is>
      </c>
      <c r="M71" s="18" t="inlineStr">
        <is>
          <t>24 sec</t>
        </is>
      </c>
      <c r="N71" s="20" t="inlineStr">
        <is>
          <t xml:space="preserve">         11K            12K             5K</t>
        </is>
      </c>
      <c r="O71" s="20" t="inlineStr">
        <is>
          <t>8MaG6DxAiQKiNvH3sfG43behq8AUu4eC4vX8r1WBfh6E</t>
        </is>
      </c>
      <c r="P71" s="20">
        <f>HYPERLINK("https://photon-sol.tinyastro.io/en/lp/8MaG6DxAiQKiNvH3sfG43behq8AUu4eC4vX8r1WBfh6E?handle=676050794bc1b1657a56b", "View")</f>
        <v/>
      </c>
    </row>
    <row r="72">
      <c r="A72" s="15" t="inlineStr">
        <is>
          <t>MOFA</t>
        </is>
      </c>
      <c r="B72" s="16" t="n">
        <v>19702385</v>
      </c>
      <c r="C72" s="16" t="n">
        <v>19702385</v>
      </c>
      <c r="D72" s="16" t="inlineStr">
        <is>
          <t>0.039230</t>
        </is>
      </c>
      <c r="E72" s="16" t="inlineStr">
        <is>
          <t>1.503 SOL</t>
        </is>
      </c>
      <c r="F72" s="16" t="inlineStr">
        <is>
          <t>5.729 SOL</t>
        </is>
      </c>
      <c r="G72" s="23" t="inlineStr">
        <is>
          <t>4.187 SOL</t>
        </is>
      </c>
      <c r="H72" s="23" t="inlineStr">
        <is>
          <t>271.49%</t>
        </is>
      </c>
      <c r="I72" s="16" t="inlineStr">
        <is>
          <t>N/A</t>
        </is>
      </c>
      <c r="J72" s="16" t="n">
        <v>1</v>
      </c>
      <c r="K72" s="16" t="n">
        <v>4</v>
      </c>
      <c r="L72" s="16" t="inlineStr">
        <is>
          <t>30.10.2024 03:19:04</t>
        </is>
      </c>
      <c r="M72" s="16" t="inlineStr">
        <is>
          <t>5 min</t>
        </is>
      </c>
      <c r="N72" s="16" t="inlineStr">
        <is>
          <t xml:space="preserve">         14K            35K             3K</t>
        </is>
      </c>
      <c r="O72" s="16" t="inlineStr">
        <is>
          <t>9tuS2A2fjvrHE3ECHVXnTT58UzJtoVtWzLHHz5SMpump</t>
        </is>
      </c>
      <c r="P72" s="16">
        <f>HYPERLINK("https://photon-sol.tinyastro.io/en/lp/9tuS2A2fjvrHE3ECHVXnTT58UzJtoVtWzLHHz5SMpump?handle=676050794bc1b1657a56b", "View")</f>
        <v/>
      </c>
    </row>
    <row r="73">
      <c r="A73" s="19" t="inlineStr">
        <is>
          <t>EAGLE</t>
        </is>
      </c>
      <c r="B73" s="20" t="n">
        <v>12856246</v>
      </c>
      <c r="C73" s="20" t="n">
        <v>12856246</v>
      </c>
      <c r="D73" s="20" t="inlineStr">
        <is>
          <t>0.004220</t>
        </is>
      </c>
      <c r="E73" s="20" t="inlineStr">
        <is>
          <t>1.645 SOL</t>
        </is>
      </c>
      <c r="F73" s="20" t="inlineStr">
        <is>
          <t>4.365 SOL</t>
        </is>
      </c>
      <c r="G73" s="23" t="inlineStr">
        <is>
          <t>2.716 SOL</t>
        </is>
      </c>
      <c r="H73" s="23" t="inlineStr">
        <is>
          <t>164.66%</t>
        </is>
      </c>
      <c r="I73" s="20" t="inlineStr">
        <is>
          <t>N/A</t>
        </is>
      </c>
      <c r="J73" s="20" t="n">
        <v>1</v>
      </c>
      <c r="K73" s="20" t="n">
        <v>3</v>
      </c>
      <c r="L73" s="20" t="inlineStr">
        <is>
          <t>30.10.2024 03:07:32</t>
        </is>
      </c>
      <c r="M73" s="20" t="inlineStr">
        <is>
          <t>3 min</t>
        </is>
      </c>
      <c r="N73" s="20" t="inlineStr">
        <is>
          <t xml:space="preserve">         23K            39K             6K</t>
        </is>
      </c>
      <c r="O73" s="20" t="inlineStr">
        <is>
          <t>AvtvsN1637RbMeRvZ2oagd5R5GVNfhj6jQubHcxjpump</t>
        </is>
      </c>
      <c r="P73" s="20">
        <f>HYPERLINK("https://photon-sol.tinyastro.io/en/lp/AvtvsN1637RbMeRvZ2oagd5R5GVNfhj6jQubHcxjpump?handle=676050794bc1b1657a56b", "View")</f>
        <v/>
      </c>
    </row>
    <row r="74">
      <c r="A74" s="15" t="inlineStr">
        <is>
          <t>Les</t>
        </is>
      </c>
      <c r="B74" s="16" t="n">
        <v>9528690</v>
      </c>
      <c r="C74" s="16" t="n">
        <v>9528690</v>
      </c>
      <c r="D74" s="16" t="inlineStr">
        <is>
          <t>0.003170</t>
        </is>
      </c>
      <c r="E74" s="16" t="inlineStr">
        <is>
          <t>1.714 SOL</t>
        </is>
      </c>
      <c r="F74" s="16" t="inlineStr">
        <is>
          <t>3.816 SOL</t>
        </is>
      </c>
      <c r="G74" s="23" t="inlineStr">
        <is>
          <t>2.099 SOL</t>
        </is>
      </c>
      <c r="H74" s="23" t="inlineStr">
        <is>
          <t>122.27%</t>
        </is>
      </c>
      <c r="I74" s="16" t="inlineStr">
        <is>
          <t>N/A</t>
        </is>
      </c>
      <c r="J74" s="16" t="n">
        <v>1</v>
      </c>
      <c r="K74" s="16" t="n">
        <v>2</v>
      </c>
      <c r="L74" s="16" t="inlineStr">
        <is>
          <t>29.10.2024 19:54:57</t>
        </is>
      </c>
      <c r="M74" s="16" t="inlineStr">
        <is>
          <t>6 min</t>
        </is>
      </c>
      <c r="N74" s="16" t="inlineStr">
        <is>
          <t xml:space="preserve">         32K            65K            17K</t>
        </is>
      </c>
      <c r="O74" s="16" t="inlineStr">
        <is>
          <t>2STuxBNmKUtBkAzLwuN8hVKWYMGf6h3vVHSJJe74pump</t>
        </is>
      </c>
      <c r="P74" s="16">
        <f>HYPERLINK("https://photon-sol.tinyastro.io/en/lp/2STuxBNmKUtBkAzLwuN8hVKWYMGf6h3vVHSJJe74pump?handle=676050794bc1b1657a56b", "View")</f>
        <v/>
      </c>
    </row>
    <row r="75">
      <c r="A75" s="19" t="inlineStr">
        <is>
          <t>BREAD</t>
        </is>
      </c>
      <c r="B75" s="20" t="n">
        <v>7780674</v>
      </c>
      <c r="C75" s="20" t="n">
        <v>7780674</v>
      </c>
      <c r="D75" s="20" t="inlineStr">
        <is>
          <t>0.004220</t>
        </is>
      </c>
      <c r="E75" s="20" t="inlineStr">
        <is>
          <t>1.548 SOL</t>
        </is>
      </c>
      <c r="F75" s="20" t="inlineStr">
        <is>
          <t>2.922 SOL</t>
        </is>
      </c>
      <c r="G75" s="23" t="inlineStr">
        <is>
          <t>1.370 SOL</t>
        </is>
      </c>
      <c r="H75" s="23" t="inlineStr">
        <is>
          <t>88.23%</t>
        </is>
      </c>
      <c r="I75" s="20" t="inlineStr">
        <is>
          <t>N/A</t>
        </is>
      </c>
      <c r="J75" s="20" t="n">
        <v>1</v>
      </c>
      <c r="K75" s="20" t="n">
        <v>3</v>
      </c>
      <c r="L75" s="20" t="inlineStr">
        <is>
          <t>29.10.2024 19:45:49</t>
        </is>
      </c>
      <c r="M75" s="20" t="inlineStr">
        <is>
          <t>4 min</t>
        </is>
      </c>
      <c r="N75" s="20" t="inlineStr">
        <is>
          <t xml:space="preserve">         35K            35K             5K</t>
        </is>
      </c>
      <c r="O75" s="20" t="inlineStr">
        <is>
          <t>3R49ZACNKMPdzwtRb5eXfqNRmcHp9R4NppNhKtRhpump</t>
        </is>
      </c>
      <c r="P75" s="20">
        <f>HYPERLINK("https://photon-sol.tinyastro.io/en/lp/3R49ZACNKMPdzwtRb5eXfqNRmcHp9R4NppNhKtRhpump?handle=676050794bc1b1657a56b", "View")</f>
        <v/>
      </c>
    </row>
    <row r="76">
      <c r="A76" s="15" t="inlineStr">
        <is>
          <t>Gluon</t>
        </is>
      </c>
      <c r="B76" s="16" t="n">
        <v>15310352</v>
      </c>
      <c r="C76" s="16" t="n">
        <v>15310352</v>
      </c>
      <c r="D76" s="16" t="inlineStr">
        <is>
          <t>0.002110</t>
        </is>
      </c>
      <c r="E76" s="16" t="inlineStr">
        <is>
          <t>1.778 SOL</t>
        </is>
      </c>
      <c r="F76" s="16" t="inlineStr">
        <is>
          <t>2.689 SOL</t>
        </is>
      </c>
      <c r="G76" s="23" t="inlineStr">
        <is>
          <t>0.909 SOL</t>
        </is>
      </c>
      <c r="H76" s="23" t="inlineStr">
        <is>
          <t>51.07%</t>
        </is>
      </c>
      <c r="I76" s="16" t="inlineStr">
        <is>
          <t>N/A</t>
        </is>
      </c>
      <c r="J76" s="16" t="n">
        <v>1</v>
      </c>
      <c r="K76" s="16" t="n">
        <v>1</v>
      </c>
      <c r="L76" s="16" t="inlineStr">
        <is>
          <t>29.10.2024 19:44:15</t>
        </is>
      </c>
      <c r="M76" s="18" t="inlineStr">
        <is>
          <t>16 sec</t>
        </is>
      </c>
      <c r="N76" s="16" t="inlineStr">
        <is>
          <t xml:space="preserve">         21K            32K             4K</t>
        </is>
      </c>
      <c r="O76" s="16" t="inlineStr">
        <is>
          <t>FJq2ZhJJMCZmdqQdkbBRBc48bmuTPLHwyQjamQCSpump</t>
        </is>
      </c>
      <c r="P76" s="16">
        <f>HYPERLINK("https://photon-sol.tinyastro.io/en/lp/FJq2ZhJJMCZmdqQdkbBRBc48bmuTPLHwyQjamQCSpump?handle=676050794bc1b1657a56b", "View")</f>
        <v/>
      </c>
    </row>
    <row r="77">
      <c r="A77" s="19" t="inlineStr">
        <is>
          <t>DJT4700</t>
        </is>
      </c>
      <c r="B77" s="20" t="n">
        <v>13910566</v>
      </c>
      <c r="C77" s="20" t="n">
        <v>13910566</v>
      </c>
      <c r="D77" s="20" t="inlineStr">
        <is>
          <t>0.002110</t>
        </is>
      </c>
      <c r="E77" s="20" t="inlineStr">
        <is>
          <t>1.532 SOL</t>
        </is>
      </c>
      <c r="F77" s="20" t="inlineStr">
        <is>
          <t>1.900 SOL</t>
        </is>
      </c>
      <c r="G77" s="22" t="inlineStr">
        <is>
          <t>0.366 SOL</t>
        </is>
      </c>
      <c r="H77" s="22" t="inlineStr">
        <is>
          <t>23.85%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29.10.2024 19:34:52</t>
        </is>
      </c>
      <c r="M77" s="18" t="inlineStr">
        <is>
          <t>49 sec</t>
        </is>
      </c>
      <c r="N77" s="20" t="inlineStr">
        <is>
          <t xml:space="preserve">         19K            25K             5K</t>
        </is>
      </c>
      <c r="O77" s="20" t="inlineStr">
        <is>
          <t>9wuetrYEh7PqhKb6ydephYk3ZoAKKHLerSPmdovmpump</t>
        </is>
      </c>
      <c r="P77" s="20">
        <f>HYPERLINK("https://photon-sol.tinyastro.io/en/lp/9wuetrYEh7PqhKb6ydephYk3ZoAKKHLerSPmdovmpump?handle=676050794bc1b1657a56b", "View")</f>
        <v/>
      </c>
    </row>
    <row r="78">
      <c r="A78" s="15" t="inlineStr">
        <is>
          <t>VERMIN</t>
        </is>
      </c>
      <c r="B78" s="16" t="n">
        <v>10976755</v>
      </c>
      <c r="C78" s="16" t="n">
        <v>10976755</v>
      </c>
      <c r="D78" s="16" t="inlineStr">
        <is>
          <t>0.002110</t>
        </is>
      </c>
      <c r="E78" s="16" t="inlineStr">
        <is>
          <t>1.827 SOL</t>
        </is>
      </c>
      <c r="F78" s="16" t="inlineStr">
        <is>
          <t>2.093 SOL</t>
        </is>
      </c>
      <c r="G78" s="22" t="inlineStr">
        <is>
          <t>0.264 SOL</t>
        </is>
      </c>
      <c r="H78" s="22" t="inlineStr">
        <is>
          <t>14.42%</t>
        </is>
      </c>
      <c r="I78" s="16" t="inlineStr">
        <is>
          <t>N/A</t>
        </is>
      </c>
      <c r="J78" s="16" t="n">
        <v>1</v>
      </c>
      <c r="K78" s="16" t="n">
        <v>1</v>
      </c>
      <c r="L78" s="16" t="inlineStr">
        <is>
          <t>29.10.2024 19:20:19</t>
        </is>
      </c>
      <c r="M78" s="16" t="inlineStr">
        <is>
          <t>1 min</t>
        </is>
      </c>
      <c r="N78" s="16" t="inlineStr">
        <is>
          <t xml:space="preserve">         30K            33K             4K</t>
        </is>
      </c>
      <c r="O78" s="16" t="inlineStr">
        <is>
          <t>4fMRncxv5XvsdpAmDxttpjw7pTqPLqKQpyD36jtNpump</t>
        </is>
      </c>
      <c r="P78" s="16">
        <f>HYPERLINK("https://photon-sol.tinyastro.io/en/lp/4fMRncxv5XvsdpAmDxttpjw7pTqPLqKQpyD36jtNpump?handle=676050794bc1b1657a56b", "View")</f>
        <v/>
      </c>
    </row>
    <row r="79">
      <c r="A79" s="19" t="inlineStr">
        <is>
          <t>DJT4700</t>
        </is>
      </c>
      <c r="B79" s="20" t="n">
        <v>24476019</v>
      </c>
      <c r="C79" s="20" t="n">
        <v>24476019</v>
      </c>
      <c r="D79" s="20" t="inlineStr">
        <is>
          <t>0.002110</t>
        </is>
      </c>
      <c r="E79" s="20" t="inlineStr">
        <is>
          <t>1.553 SOL</t>
        </is>
      </c>
      <c r="F79" s="20" t="inlineStr">
        <is>
          <t>3.159 SOL</t>
        </is>
      </c>
      <c r="G79" s="23" t="inlineStr">
        <is>
          <t>1.603 SOL</t>
        </is>
      </c>
      <c r="H79" s="23" t="inlineStr">
        <is>
          <t>103.08%</t>
        </is>
      </c>
      <c r="I79" s="20" t="inlineStr">
        <is>
          <t>N/A</t>
        </is>
      </c>
      <c r="J79" s="20" t="n">
        <v>1</v>
      </c>
      <c r="K79" s="20" t="n">
        <v>1</v>
      </c>
      <c r="L79" s="20" t="inlineStr">
        <is>
          <t>29.10.2024 19:17:55</t>
        </is>
      </c>
      <c r="M79" s="18" t="inlineStr">
        <is>
          <t>18 sec</t>
        </is>
      </c>
      <c r="N79" s="20" t="inlineStr">
        <is>
          <t xml:space="preserve">         11K            23K             5K</t>
        </is>
      </c>
      <c r="O79" s="20" t="inlineStr">
        <is>
          <t>wkDc7zmpRkiJv4WTFgsbBCUfzWmn6mDZ2VgMFhfURyb</t>
        </is>
      </c>
      <c r="P79" s="20">
        <f>HYPERLINK("https://photon-sol.tinyastro.io/en/lp/wkDc7zmpRkiJv4WTFgsbBCUfzWmn6mDZ2VgMFhfURyb?handle=676050794bc1b1657a56b", "View")</f>
        <v/>
      </c>
    </row>
    <row r="80">
      <c r="A80" s="15" t="inlineStr">
        <is>
          <t>INDAN</t>
        </is>
      </c>
      <c r="B80" s="16" t="n">
        <v>26383532</v>
      </c>
      <c r="C80" s="16" t="n">
        <v>26383532</v>
      </c>
      <c r="D80" s="16" t="inlineStr">
        <is>
          <t>0.002110</t>
        </is>
      </c>
      <c r="E80" s="16" t="inlineStr">
        <is>
          <t>1.532 SOL</t>
        </is>
      </c>
      <c r="F80" s="16" t="inlineStr">
        <is>
          <t>1.616 SOL</t>
        </is>
      </c>
      <c r="G80" s="22" t="inlineStr">
        <is>
          <t>0.082 SOL</t>
        </is>
      </c>
      <c r="H80" s="22" t="inlineStr">
        <is>
          <t>5.34%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29.10.2024 18:51:53</t>
        </is>
      </c>
      <c r="M80" s="18" t="inlineStr">
        <is>
          <t>16 sec</t>
        </is>
      </c>
      <c r="N80" s="16" t="inlineStr">
        <is>
          <t xml:space="preserve">         11K            11K             5K</t>
        </is>
      </c>
      <c r="O80" s="16" t="inlineStr">
        <is>
          <t>EyCskrS1nBgqb97WcN852DKM2QAf4L6DrpC1jFXb1UiQ</t>
        </is>
      </c>
      <c r="P80" s="16">
        <f>HYPERLINK("https://photon-sol.tinyastro.io/en/lp/EyCskrS1nBgqb97WcN852DKM2QAf4L6DrpC1jFXb1UiQ?handle=676050794bc1b1657a56b", "View")</f>
        <v/>
      </c>
    </row>
    <row r="81">
      <c r="A81" s="19" t="inlineStr">
        <is>
          <t>INDIAN</t>
        </is>
      </c>
      <c r="B81" s="20" t="n">
        <v>20823662</v>
      </c>
      <c r="C81" s="20" t="n">
        <v>20823662</v>
      </c>
      <c r="D81" s="20" t="inlineStr">
        <is>
          <t>0.002110</t>
        </is>
      </c>
      <c r="E81" s="20" t="inlineStr">
        <is>
          <t>1.581 SOL</t>
        </is>
      </c>
      <c r="F81" s="20" t="inlineStr">
        <is>
          <t>1.800 SOL</t>
        </is>
      </c>
      <c r="G81" s="22" t="inlineStr">
        <is>
          <t>0.217 SOL</t>
        </is>
      </c>
      <c r="H81" s="22" t="inlineStr">
        <is>
          <t>13.72%</t>
        </is>
      </c>
      <c r="I81" s="20" t="inlineStr">
        <is>
          <t>N/A</t>
        </is>
      </c>
      <c r="J81" s="20" t="n">
        <v>1</v>
      </c>
      <c r="K81" s="20" t="n">
        <v>1</v>
      </c>
      <c r="L81" s="20" t="inlineStr">
        <is>
          <t>29.10.2024 18:42:40</t>
        </is>
      </c>
      <c r="M81" s="18" t="inlineStr">
        <is>
          <t>24 sec</t>
        </is>
      </c>
      <c r="N81" s="20" t="inlineStr">
        <is>
          <t xml:space="preserve">         14K            14K             5K</t>
        </is>
      </c>
      <c r="O81" s="20" t="inlineStr">
        <is>
          <t>AasCvMBLXQd9v1qhN2Mw4YiyVrqutCXipF4ynm26kdPs</t>
        </is>
      </c>
      <c r="P81" s="20">
        <f>HYPERLINK("https://photon-sol.tinyastro.io/en/lp/AasCvMBLXQd9v1qhN2Mw4YiyVrqutCXipF4ynm26kdPs?handle=676050794bc1b1657a56b", "View")</f>
        <v/>
      </c>
    </row>
    <row r="82">
      <c r="A82" s="15" t="inlineStr">
        <is>
          <t>ECCO</t>
        </is>
      </c>
      <c r="B82" s="16" t="n">
        <v>24360647</v>
      </c>
      <c r="C82" s="16" t="n">
        <v>24360647</v>
      </c>
      <c r="D82" s="16" t="inlineStr">
        <is>
          <t>0.040280</t>
        </is>
      </c>
      <c r="E82" s="16" t="inlineStr">
        <is>
          <t>1.649 SOL</t>
        </is>
      </c>
      <c r="F82" s="16" t="inlineStr">
        <is>
          <t>14.427 SOL</t>
        </is>
      </c>
      <c r="G82" s="23" t="inlineStr">
        <is>
          <t>12.738 SOL</t>
        </is>
      </c>
      <c r="H82" s="23" t="inlineStr">
        <is>
          <t>754.23%</t>
        </is>
      </c>
      <c r="I82" s="16" t="inlineStr">
        <is>
          <t>N/A</t>
        </is>
      </c>
      <c r="J82" s="16" t="n">
        <v>1</v>
      </c>
      <c r="K82" s="16" t="n">
        <v>5</v>
      </c>
      <c r="L82" s="16" t="inlineStr">
        <is>
          <t>29.10.2024 18:31:48</t>
        </is>
      </c>
      <c r="M82" s="16" t="inlineStr">
        <is>
          <t>8 min</t>
        </is>
      </c>
      <c r="N82" s="16" t="inlineStr">
        <is>
          <t xml:space="preserve">         11K           105K             4K</t>
        </is>
      </c>
      <c r="O82" s="16" t="inlineStr">
        <is>
          <t>5hJHyZ9KtEiATroSrMMx9yjXJGHUJRzj5LZkLhE5JJnC</t>
        </is>
      </c>
      <c r="P82" s="16">
        <f>HYPERLINK("https://photon-sol.tinyastro.io/en/lp/5hJHyZ9KtEiATroSrMMx9yjXJGHUJRzj5LZkLhE5JJnC?handle=676050794bc1b1657a56b", "View")</f>
        <v/>
      </c>
    </row>
    <row r="83">
      <c r="A83" s="19" t="inlineStr">
        <is>
          <t>MOGGER</t>
        </is>
      </c>
      <c r="B83" s="20" t="n">
        <v>11192438</v>
      </c>
      <c r="C83" s="20" t="n">
        <v>11192438</v>
      </c>
      <c r="D83" s="20" t="inlineStr">
        <is>
          <t>0.002110</t>
        </is>
      </c>
      <c r="E83" s="20" t="inlineStr">
        <is>
          <t>1.537 SOL</t>
        </is>
      </c>
      <c r="F83" s="20" t="inlineStr">
        <is>
          <t>2.113 SOL</t>
        </is>
      </c>
      <c r="G83" s="22" t="inlineStr">
        <is>
          <t>0.574 SOL</t>
        </is>
      </c>
      <c r="H83" s="22" t="inlineStr">
        <is>
          <t>37.33%</t>
        </is>
      </c>
      <c r="I83" s="20" t="inlineStr">
        <is>
          <t>N/A</t>
        </is>
      </c>
      <c r="J83" s="20" t="n">
        <v>1</v>
      </c>
      <c r="K83" s="20" t="n">
        <v>1</v>
      </c>
      <c r="L83" s="20" t="inlineStr">
        <is>
          <t>29.10.2024 18:10:25</t>
        </is>
      </c>
      <c r="M83" s="18" t="inlineStr">
        <is>
          <t>26 sec</t>
        </is>
      </c>
      <c r="N83" s="20" t="inlineStr">
        <is>
          <t xml:space="preserve">         25K            33K            12K</t>
        </is>
      </c>
      <c r="O83" s="20" t="inlineStr">
        <is>
          <t>7WZzc9gh1gDW51zKT9Qso2hPUzwuporXqdbGQgtH2FqP</t>
        </is>
      </c>
      <c r="P83" s="20">
        <f>HYPERLINK("https://photon-sol.tinyastro.io/en/lp/7WZzc9gh1gDW51zKT9Qso2hPUzwuporXqdbGQgtH2FqP?handle=676050794bc1b1657a56b", "View")</f>
        <v/>
      </c>
    </row>
    <row r="84">
      <c r="A84" s="15" t="inlineStr">
        <is>
          <t>Retarduce</t>
        </is>
      </c>
      <c r="B84" s="16" t="n">
        <v>24276438</v>
      </c>
      <c r="C84" s="16" t="n">
        <v>24276438</v>
      </c>
      <c r="D84" s="16" t="inlineStr">
        <is>
          <t>0.002110</t>
        </is>
      </c>
      <c r="E84" s="16" t="inlineStr">
        <is>
          <t>1.671 SOL</t>
        </is>
      </c>
      <c r="F84" s="16" t="inlineStr">
        <is>
          <t>2.956 SOL</t>
        </is>
      </c>
      <c r="G84" s="23" t="inlineStr">
        <is>
          <t>1.283 SOL</t>
        </is>
      </c>
      <c r="H84" s="23" t="inlineStr">
        <is>
          <t>76.68%</t>
        </is>
      </c>
      <c r="I84" s="16" t="inlineStr">
        <is>
          <t>N/A</t>
        </is>
      </c>
      <c r="J84" s="16" t="n">
        <v>1</v>
      </c>
      <c r="K84" s="16" t="n">
        <v>1</v>
      </c>
      <c r="L84" s="16" t="inlineStr">
        <is>
          <t>29.10.2024 17:48:00</t>
        </is>
      </c>
      <c r="M84" s="18" t="inlineStr">
        <is>
          <t>15 sec</t>
        </is>
      </c>
      <c r="N84" s="16" t="inlineStr">
        <is>
          <t xml:space="preserve">         12K            12K             5K</t>
        </is>
      </c>
      <c r="O84" s="16" t="inlineStr">
        <is>
          <t>4iZjgmMufvNwwyBwkEuycHRthwnCp7hjdrj5aaJCpump</t>
        </is>
      </c>
      <c r="P84" s="16">
        <f>HYPERLINK("https://photon-sol.tinyastro.io/en/lp/4iZjgmMufvNwwyBwkEuycHRthwnCp7hjdrj5aaJCpump?handle=676050794bc1b1657a56b", "View")</f>
        <v/>
      </c>
    </row>
    <row r="85">
      <c r="A85" s="19" t="inlineStr">
        <is>
          <t>mppa</t>
        </is>
      </c>
      <c r="B85" s="20" t="n">
        <v>17257706</v>
      </c>
      <c r="C85" s="20" t="n">
        <v>17257706</v>
      </c>
      <c r="D85" s="20" t="inlineStr">
        <is>
          <t>0.002110</t>
        </is>
      </c>
      <c r="E85" s="20" t="inlineStr">
        <is>
          <t>1.225 SOL</t>
        </is>
      </c>
      <c r="F85" s="20" t="inlineStr">
        <is>
          <t>1.873 SOL</t>
        </is>
      </c>
      <c r="G85" s="23" t="inlineStr">
        <is>
          <t>0.646 SOL</t>
        </is>
      </c>
      <c r="H85" s="23" t="inlineStr">
        <is>
          <t>52.62%</t>
        </is>
      </c>
      <c r="I85" s="20" t="inlineStr">
        <is>
          <t>N/A</t>
        </is>
      </c>
      <c r="J85" s="20" t="n">
        <v>1</v>
      </c>
      <c r="K85" s="20" t="n">
        <v>1</v>
      </c>
      <c r="L85" s="20" t="inlineStr">
        <is>
          <t>29.10.2024 17:29:23</t>
        </is>
      </c>
      <c r="M85" s="18" t="inlineStr">
        <is>
          <t>39 sec</t>
        </is>
      </c>
      <c r="N85" s="20" t="inlineStr">
        <is>
          <t xml:space="preserve">         12K            19K             5K</t>
        </is>
      </c>
      <c r="O85" s="20" t="inlineStr">
        <is>
          <t>GSmHbnJx6MFvgLtUEMd4bbK7ebrXNpEErNiA3E8opump</t>
        </is>
      </c>
      <c r="P85" s="20">
        <f>HYPERLINK("https://photon-sol.tinyastro.io/en/lp/GSmHbnJx6MFvgLtUEMd4bbK7ebrXNpEErNiA3E8opump?handle=676050794bc1b1657a56b", "View")</f>
        <v/>
      </c>
    </row>
    <row r="86">
      <c r="A86" s="15" t="inlineStr">
        <is>
          <t>LEGACY</t>
        </is>
      </c>
      <c r="B86" s="16" t="n">
        <v>16048836</v>
      </c>
      <c r="C86" s="16" t="n">
        <v>16048836</v>
      </c>
      <c r="D86" s="16" t="inlineStr">
        <is>
          <t>0.002110</t>
        </is>
      </c>
      <c r="E86" s="16" t="inlineStr">
        <is>
          <t>1.543 SOL</t>
        </is>
      </c>
      <c r="F86" s="16" t="inlineStr">
        <is>
          <t>1.810 SOL</t>
        </is>
      </c>
      <c r="G86" s="22" t="inlineStr">
        <is>
          <t>0.264 SOL</t>
        </is>
      </c>
      <c r="H86" s="22" t="inlineStr">
        <is>
          <t>17.12%</t>
        </is>
      </c>
      <c r="I86" s="16" t="inlineStr">
        <is>
          <t>N/A</t>
        </is>
      </c>
      <c r="J86" s="16" t="n">
        <v>1</v>
      </c>
      <c r="K86" s="16" t="n">
        <v>1</v>
      </c>
      <c r="L86" s="16" t="inlineStr">
        <is>
          <t>29.10.2024 17:21:09</t>
        </is>
      </c>
      <c r="M86" s="18" t="inlineStr">
        <is>
          <t>19 sec</t>
        </is>
      </c>
      <c r="N86" s="16" t="inlineStr">
        <is>
          <t xml:space="preserve">         18K            19K             5K</t>
        </is>
      </c>
      <c r="O86" s="16" t="inlineStr">
        <is>
          <t>BkEhw32VvR6MMPjSVELqoeYG5599YxhcLrCkYqddpump</t>
        </is>
      </c>
      <c r="P86" s="16">
        <f>HYPERLINK("https://photon-sol.tinyastro.io/en/lp/BkEhw32VvR6MMPjSVELqoeYG5599YxhcLrCkYqddpump?handle=676050794bc1b1657a56b", "View")</f>
        <v/>
      </c>
    </row>
    <row r="87">
      <c r="A87" s="19" t="inlineStr">
        <is>
          <t>polaris126</t>
        </is>
      </c>
      <c r="B87" s="20" t="n">
        <v>23342846</v>
      </c>
      <c r="C87" s="20" t="n">
        <v>23342846</v>
      </c>
      <c r="D87" s="20" t="inlineStr">
        <is>
          <t>0.002110</t>
        </is>
      </c>
      <c r="E87" s="20" t="inlineStr">
        <is>
          <t>1.855 SOL</t>
        </is>
      </c>
      <c r="F87" s="20" t="inlineStr">
        <is>
          <t>1.695 SOL</t>
        </is>
      </c>
      <c r="G87" s="21" t="inlineStr">
        <is>
          <t>-0.162 SOL</t>
        </is>
      </c>
      <c r="H87" s="21" t="inlineStr">
        <is>
          <t>-8.71%</t>
        </is>
      </c>
      <c r="I87" s="20" t="inlineStr">
        <is>
          <t>N/A</t>
        </is>
      </c>
      <c r="J87" s="20" t="n">
        <v>1</v>
      </c>
      <c r="K87" s="20" t="n">
        <v>1</v>
      </c>
      <c r="L87" s="20" t="inlineStr">
        <is>
          <t>29.10.2024 17:07:45</t>
        </is>
      </c>
      <c r="M87" s="18" t="inlineStr">
        <is>
          <t>32 sec</t>
        </is>
      </c>
      <c r="N87" s="20" t="inlineStr">
        <is>
          <t xml:space="preserve">         14K            12K             5K</t>
        </is>
      </c>
      <c r="O87" s="20" t="inlineStr">
        <is>
          <t>3nNV4Xj2cQYDe7tkYJ8oCoKTiwMrq6kkz4bSCDNLpump</t>
        </is>
      </c>
      <c r="P87" s="20">
        <f>HYPERLINK("https://photon-sol.tinyastro.io/en/lp/3nNV4Xj2cQYDe7tkYJ8oCoKTiwMrq6kkz4bSCDNLpump?handle=676050794bc1b1657a56b", "View")</f>
        <v/>
      </c>
    </row>
    <row r="88">
      <c r="A88" s="15" t="inlineStr">
        <is>
          <t>LMPN</t>
        </is>
      </c>
      <c r="B88" s="16" t="n">
        <v>20179338</v>
      </c>
      <c r="C88" s="16" t="n">
        <v>20179338</v>
      </c>
      <c r="D88" s="16" t="inlineStr">
        <is>
          <t>0.002110</t>
        </is>
      </c>
      <c r="E88" s="16" t="inlineStr">
        <is>
          <t>1.422 SOL</t>
        </is>
      </c>
      <c r="F88" s="16" t="inlineStr">
        <is>
          <t>1.199 SOL</t>
        </is>
      </c>
      <c r="G88" s="21" t="inlineStr">
        <is>
          <t>-0.225 SOL</t>
        </is>
      </c>
      <c r="H88" s="21" t="inlineStr">
        <is>
          <t>-15.81%</t>
        </is>
      </c>
      <c r="I88" s="16" t="inlineStr">
        <is>
          <t>N/A</t>
        </is>
      </c>
      <c r="J88" s="16" t="n">
        <v>1</v>
      </c>
      <c r="K88" s="16" t="n">
        <v>1</v>
      </c>
      <c r="L88" s="16" t="inlineStr">
        <is>
          <t>29.10.2024 17:04:29</t>
        </is>
      </c>
      <c r="M88" s="18" t="inlineStr">
        <is>
          <t>16 sec</t>
        </is>
      </c>
      <c r="N88" s="16" t="inlineStr">
        <is>
          <t xml:space="preserve">         12K            11K             5K</t>
        </is>
      </c>
      <c r="O88" s="16" t="inlineStr">
        <is>
          <t>2fhp4Y1DYq7i5AomXJsCvpDBhwhV6vcWuv4M4jugpump</t>
        </is>
      </c>
      <c r="P88" s="16">
        <f>HYPERLINK("https://photon-sol.tinyastro.io/en/lp/2fhp4Y1DYq7i5AomXJsCvpDBhwhV6vcWuv4M4jugpump?handle=676050794bc1b1657a56b", "View")</f>
        <v/>
      </c>
    </row>
    <row r="89">
      <c r="A89" s="19" t="inlineStr">
        <is>
          <t>BOO</t>
        </is>
      </c>
      <c r="B89" s="20" t="n">
        <v>13560925</v>
      </c>
      <c r="C89" s="20" t="n">
        <v>13560925</v>
      </c>
      <c r="D89" s="20" t="inlineStr">
        <is>
          <t>0.002110</t>
        </is>
      </c>
      <c r="E89" s="20" t="inlineStr">
        <is>
          <t>1.430 SOL</t>
        </is>
      </c>
      <c r="F89" s="20" t="inlineStr">
        <is>
          <t>1.157 SOL</t>
        </is>
      </c>
      <c r="G89" s="21" t="inlineStr">
        <is>
          <t>-0.275 SOL</t>
        </is>
      </c>
      <c r="H89" s="21" t="inlineStr">
        <is>
          <t>-19.19%</t>
        </is>
      </c>
      <c r="I89" s="20" t="inlineStr">
        <is>
          <t>N/A</t>
        </is>
      </c>
      <c r="J89" s="20" t="n">
        <v>1</v>
      </c>
      <c r="K89" s="20" t="n">
        <v>1</v>
      </c>
      <c r="L89" s="20" t="inlineStr">
        <is>
          <t>29.10.2024 17:00:46</t>
        </is>
      </c>
      <c r="M89" s="18" t="inlineStr">
        <is>
          <t>30 sec</t>
        </is>
      </c>
      <c r="N89" s="20" t="inlineStr">
        <is>
          <t xml:space="preserve">        N/A           N/A           N/A</t>
        </is>
      </c>
      <c r="O89" s="20" t="inlineStr">
        <is>
          <t>B7FJAam83UYGtsicZ2b8PtVCsH5tbodF3onrHvqJpump</t>
        </is>
      </c>
      <c r="P89" s="20">
        <f>HYPERLINK("https://photon-sol.tinyastro.io/en/lp/B7FJAam83UYGtsicZ2b8PtVCsH5tbodF3onrHvqJpump?handle=676050794bc1b1657a56b", "View")</f>
        <v/>
      </c>
    </row>
    <row r="90">
      <c r="A90" s="15" t="inlineStr">
        <is>
          <t>Hysteria</t>
        </is>
      </c>
      <c r="B90" s="16" t="n">
        <v>20941940</v>
      </c>
      <c r="C90" s="16" t="n">
        <v>20941940</v>
      </c>
      <c r="D90" s="16" t="inlineStr">
        <is>
          <t>0.002110</t>
        </is>
      </c>
      <c r="E90" s="16" t="inlineStr">
        <is>
          <t>1.532 SOL</t>
        </is>
      </c>
      <c r="F90" s="16" t="inlineStr">
        <is>
          <t>1.550 SOL</t>
        </is>
      </c>
      <c r="G90" s="22" t="inlineStr">
        <is>
          <t>0.016 SOL</t>
        </is>
      </c>
      <c r="H90" s="22" t="inlineStr">
        <is>
          <t>1.07%</t>
        </is>
      </c>
      <c r="I90" s="16" t="inlineStr">
        <is>
          <t>N/A</t>
        </is>
      </c>
      <c r="J90" s="16" t="n">
        <v>1</v>
      </c>
      <c r="K90" s="16" t="n">
        <v>1</v>
      </c>
      <c r="L90" s="16" t="inlineStr">
        <is>
          <t>29.10.2024 16:55:55</t>
        </is>
      </c>
      <c r="M90" s="18" t="inlineStr">
        <is>
          <t>11 sec</t>
        </is>
      </c>
      <c r="N90" s="16" t="inlineStr">
        <is>
          <t xml:space="preserve">         12K            12K             5K</t>
        </is>
      </c>
      <c r="O90" s="16" t="inlineStr">
        <is>
          <t>63Uy4uRX6aEbf3VHvJ75yH729aqDDA4xELdKq2M396Sm</t>
        </is>
      </c>
      <c r="P90" s="16">
        <f>HYPERLINK("https://photon-sol.tinyastro.io/en/lp/63Uy4uRX6aEbf3VHvJ75yH729aqDDA4xELdKq2M396Sm?handle=676050794bc1b1657a56b", "View")</f>
        <v/>
      </c>
    </row>
    <row r="91">
      <c r="A91" s="19" t="inlineStr">
        <is>
          <t>udoge</t>
        </is>
      </c>
      <c r="B91" s="20" t="n">
        <v>24439277</v>
      </c>
      <c r="C91" s="20" t="n">
        <v>24439277</v>
      </c>
      <c r="D91" s="20" t="inlineStr">
        <is>
          <t>0.002110</t>
        </is>
      </c>
      <c r="E91" s="20" t="inlineStr">
        <is>
          <t>1.532 SOL</t>
        </is>
      </c>
      <c r="F91" s="20" t="inlineStr">
        <is>
          <t>2.792 SOL</t>
        </is>
      </c>
      <c r="G91" s="23" t="inlineStr">
        <is>
          <t>1.258 SOL</t>
        </is>
      </c>
      <c r="H91" s="23" t="inlineStr">
        <is>
          <t>82.02%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29.10.2024 16:55:26</t>
        </is>
      </c>
      <c r="M91" s="18" t="inlineStr">
        <is>
          <t>17 sec</t>
        </is>
      </c>
      <c r="N91" s="20" t="inlineStr">
        <is>
          <t xml:space="preserve">         10K            19K             6K</t>
        </is>
      </c>
      <c r="O91" s="20" t="inlineStr">
        <is>
          <t>6tK5UeNKsCbXTu2avUrV4tRpjX86tFpWPYRk6AWodYF5</t>
        </is>
      </c>
      <c r="P91" s="20">
        <f>HYPERLINK("https://photon-sol.tinyastro.io/en/lp/6tK5UeNKsCbXTu2avUrV4tRpjX86tFpWPYRk6AWodYF5?handle=676050794bc1b1657a56b", "View")</f>
        <v/>
      </c>
    </row>
    <row r="92">
      <c r="A92" s="15" t="inlineStr">
        <is>
          <t>BILL</t>
        </is>
      </c>
      <c r="B92" s="16" t="n">
        <v>22978456</v>
      </c>
      <c r="C92" s="16" t="n">
        <v>22978456</v>
      </c>
      <c r="D92" s="16" t="inlineStr">
        <is>
          <t>0.040280</t>
        </is>
      </c>
      <c r="E92" s="16" t="inlineStr">
        <is>
          <t>1.599 SOL</t>
        </is>
      </c>
      <c r="F92" s="16" t="inlineStr">
        <is>
          <t>15.053 SOL</t>
        </is>
      </c>
      <c r="G92" s="23" t="inlineStr">
        <is>
          <t>13.413 SOL</t>
        </is>
      </c>
      <c r="H92" s="23" t="inlineStr">
        <is>
          <t>818.08%</t>
        </is>
      </c>
      <c r="I92" s="16" t="inlineStr">
        <is>
          <t>N/A</t>
        </is>
      </c>
      <c r="J92" s="16" t="n">
        <v>1</v>
      </c>
      <c r="K92" s="16" t="n">
        <v>5</v>
      </c>
      <c r="L92" s="16" t="inlineStr">
        <is>
          <t>29.10.2024 15:37:12</t>
        </is>
      </c>
      <c r="M92" s="16" t="inlineStr">
        <is>
          <t>4 min</t>
        </is>
      </c>
      <c r="N92" s="16" t="inlineStr">
        <is>
          <t xml:space="preserve">         12K            12K             7K</t>
        </is>
      </c>
      <c r="O92" s="16" t="inlineStr">
        <is>
          <t>Ca8AnVoDbwv31gddMHVyNLpHWYkGRRQFoXCcfe4gpump</t>
        </is>
      </c>
      <c r="P92" s="16">
        <f>HYPERLINK("https://photon-sol.tinyastro.io/en/lp/Ca8AnVoDbwv31gddMHVyNLpHWYkGRRQFoXCcfe4gpump?handle=676050794bc1b1657a56b", "View")</f>
        <v/>
      </c>
    </row>
    <row r="93">
      <c r="A93" s="19" t="inlineStr">
        <is>
          <t>UDoge</t>
        </is>
      </c>
      <c r="B93" s="20" t="n">
        <v>25512314</v>
      </c>
      <c r="C93" s="20" t="n">
        <v>25512314</v>
      </c>
      <c r="D93" s="20" t="inlineStr">
        <is>
          <t>0.002110</t>
        </is>
      </c>
      <c r="E93" s="20" t="inlineStr">
        <is>
          <t>1.606 SOL</t>
        </is>
      </c>
      <c r="F93" s="20" t="inlineStr">
        <is>
          <t>1.495 SOL</t>
        </is>
      </c>
      <c r="G93" s="21" t="inlineStr">
        <is>
          <t>-0.113 SOL</t>
        </is>
      </c>
      <c r="H93" s="21" t="inlineStr">
        <is>
          <t>-7.02%</t>
        </is>
      </c>
      <c r="I93" s="20" t="inlineStr">
        <is>
          <t>N/A</t>
        </is>
      </c>
      <c r="J93" s="20" t="n">
        <v>1</v>
      </c>
      <c r="K93" s="20" t="n">
        <v>1</v>
      </c>
      <c r="L93" s="20" t="inlineStr">
        <is>
          <t>29.10.2024 15:30:56</t>
        </is>
      </c>
      <c r="M93" s="18" t="inlineStr">
        <is>
          <t>23 sec</t>
        </is>
      </c>
      <c r="N93" s="20" t="inlineStr">
        <is>
          <t xml:space="preserve">         11K            11K             5K</t>
        </is>
      </c>
      <c r="O93" s="20" t="inlineStr">
        <is>
          <t>2HayFa72NdgiARnfrXWf7v6EYjjz7FrxcMPcYEQepump</t>
        </is>
      </c>
      <c r="P93" s="20">
        <f>HYPERLINK("https://photon-sol.tinyastro.io/en/lp/2HayFa72NdgiARnfrXWf7v6EYjjz7FrxcMPcYEQepump?handle=676050794bc1b1657a56b", "View")</f>
        <v/>
      </c>
    </row>
    <row r="94">
      <c r="A94" s="15" t="inlineStr">
        <is>
          <t>$LUCEUS</t>
        </is>
      </c>
      <c r="B94" s="16" t="n">
        <v>30589219</v>
      </c>
      <c r="C94" s="16" t="n">
        <v>30589219</v>
      </c>
      <c r="D94" s="16" t="inlineStr">
        <is>
          <t>0.002110</t>
        </is>
      </c>
      <c r="E94" s="16" t="inlineStr">
        <is>
          <t>1.651 SOL</t>
        </is>
      </c>
      <c r="F94" s="16" t="inlineStr">
        <is>
          <t>2.388 SOL</t>
        </is>
      </c>
      <c r="G94" s="22" t="inlineStr">
        <is>
          <t>0.735 SOL</t>
        </is>
      </c>
      <c r="H94" s="22" t="inlineStr">
        <is>
          <t>44.47%</t>
        </is>
      </c>
      <c r="I94" s="16" t="inlineStr">
        <is>
          <t>N/A</t>
        </is>
      </c>
      <c r="J94" s="16" t="n">
        <v>1</v>
      </c>
      <c r="K94" s="16" t="n">
        <v>1</v>
      </c>
      <c r="L94" s="16" t="inlineStr">
        <is>
          <t>29.10.2024 15:27:43</t>
        </is>
      </c>
      <c r="M94" s="18" t="inlineStr">
        <is>
          <t>20 sec</t>
        </is>
      </c>
      <c r="N94" s="16" t="inlineStr">
        <is>
          <t xml:space="preserve">          9K            14K             5K</t>
        </is>
      </c>
      <c r="O94" s="16" t="inlineStr">
        <is>
          <t>5YjD3PdMcJhWvTHMZfiewmEMFFKBQhnsBTvTAAuspump</t>
        </is>
      </c>
      <c r="P94" s="16">
        <f>HYPERLINK("https://photon-sol.tinyastro.io/en/lp/5YjD3PdMcJhWvTHMZfiewmEMFFKBQhnsBTvTAAuspump?handle=676050794bc1b1657a56b", "View")</f>
        <v/>
      </c>
    </row>
    <row r="95">
      <c r="A95" s="19" t="inlineStr">
        <is>
          <t>UDOGE</t>
        </is>
      </c>
      <c r="B95" s="20" t="n">
        <v>25992784</v>
      </c>
      <c r="C95" s="20" t="n">
        <v>25992784</v>
      </c>
      <c r="D95" s="20" t="inlineStr">
        <is>
          <t>0.002110</t>
        </is>
      </c>
      <c r="E95" s="20" t="inlineStr">
        <is>
          <t>1.591 SOL</t>
        </is>
      </c>
      <c r="F95" s="20" t="inlineStr">
        <is>
          <t>2.364 SOL</t>
        </is>
      </c>
      <c r="G95" s="22" t="inlineStr">
        <is>
          <t>0.770 SOL</t>
        </is>
      </c>
      <c r="H95" s="22" t="inlineStr">
        <is>
          <t>48.35%</t>
        </is>
      </c>
      <c r="I95" s="20" t="inlineStr">
        <is>
          <t>N/A</t>
        </is>
      </c>
      <c r="J95" s="20" t="n">
        <v>1</v>
      </c>
      <c r="K95" s="20" t="n">
        <v>1</v>
      </c>
      <c r="L95" s="20" t="inlineStr">
        <is>
          <t>29.10.2024 15:12:32</t>
        </is>
      </c>
      <c r="M95" s="18" t="inlineStr">
        <is>
          <t>57 sec</t>
        </is>
      </c>
      <c r="N95" s="20" t="inlineStr">
        <is>
          <t xml:space="preserve">         11K            16K             5K</t>
        </is>
      </c>
      <c r="O95" s="20" t="inlineStr">
        <is>
          <t>3wvP4JD2QzV9uQP115QZVdhscqac3HrC5pnNSz6vpump</t>
        </is>
      </c>
      <c r="P95" s="20">
        <f>HYPERLINK("https://photon-sol.tinyastro.io/en/lp/3wvP4JD2QzV9uQP115QZVdhscqac3HrC5pnNSz6vpump?handle=676050794bc1b1657a56b", "View")</f>
        <v/>
      </c>
    </row>
    <row r="96">
      <c r="A96" s="15" t="inlineStr">
        <is>
          <t>LoFi</t>
        </is>
      </c>
      <c r="B96" s="16" t="n">
        <v>14727580</v>
      </c>
      <c r="C96" s="16" t="n">
        <v>14727580</v>
      </c>
      <c r="D96" s="16" t="inlineStr">
        <is>
          <t>0.004220</t>
        </is>
      </c>
      <c r="E96" s="16" t="inlineStr">
        <is>
          <t>1.588 SOL</t>
        </is>
      </c>
      <c r="F96" s="16" t="inlineStr">
        <is>
          <t>4.260 SOL</t>
        </is>
      </c>
      <c r="G96" s="23" t="inlineStr">
        <is>
          <t>2.668 SOL</t>
        </is>
      </c>
      <c r="H96" s="23" t="inlineStr">
        <is>
          <t>167.64%</t>
        </is>
      </c>
      <c r="I96" s="16" t="inlineStr">
        <is>
          <t>N/A</t>
        </is>
      </c>
      <c r="J96" s="16" t="n">
        <v>1</v>
      </c>
      <c r="K96" s="16" t="n">
        <v>3</v>
      </c>
      <c r="L96" s="16" t="inlineStr">
        <is>
          <t>29.10.2024 15:10:01</t>
        </is>
      </c>
      <c r="M96" s="16" t="inlineStr">
        <is>
          <t>5 min</t>
        </is>
      </c>
      <c r="N96" s="16" t="inlineStr">
        <is>
          <t xml:space="preserve">         19K            35K             3K</t>
        </is>
      </c>
      <c r="O96" s="16" t="inlineStr">
        <is>
          <t>2qa5WaeDQK8NKMkFVHaWHd5TcmSmVaxWJZCA3V3apump</t>
        </is>
      </c>
      <c r="P96" s="16">
        <f>HYPERLINK("https://photon-sol.tinyastro.io/en/lp/2qa5WaeDQK8NKMkFVHaWHd5TcmSmVaxWJZCA3V3apump?handle=676050794bc1b1657a56b", "View")</f>
        <v/>
      </c>
    </row>
    <row r="97">
      <c r="A97" s="19" t="inlineStr">
        <is>
          <t>CAISHEN</t>
        </is>
      </c>
      <c r="B97" s="20" t="n">
        <v>28728398</v>
      </c>
      <c r="C97" s="20" t="n">
        <v>28728398</v>
      </c>
      <c r="D97" s="20" t="inlineStr">
        <is>
          <t>0.002110</t>
        </is>
      </c>
      <c r="E97" s="20" t="inlineStr">
        <is>
          <t>1.532 SOL</t>
        </is>
      </c>
      <c r="F97" s="20" t="inlineStr">
        <is>
          <t>1.710 SOL</t>
        </is>
      </c>
      <c r="G97" s="22" t="inlineStr">
        <is>
          <t>0.177 SOL</t>
        </is>
      </c>
      <c r="H97" s="22" t="inlineStr">
        <is>
          <t>11.52%</t>
        </is>
      </c>
      <c r="I97" s="20" t="inlineStr">
        <is>
          <t>N/A</t>
        </is>
      </c>
      <c r="J97" s="20" t="n">
        <v>1</v>
      </c>
      <c r="K97" s="20" t="n">
        <v>1</v>
      </c>
      <c r="L97" s="20" t="inlineStr">
        <is>
          <t>29.10.2024 15:00:43</t>
        </is>
      </c>
      <c r="M97" s="18" t="inlineStr">
        <is>
          <t>36 sec</t>
        </is>
      </c>
      <c r="N97" s="20" t="inlineStr">
        <is>
          <t xml:space="preserve">          9K            11K             5K</t>
        </is>
      </c>
      <c r="O97" s="20" t="inlineStr">
        <is>
          <t>5pChcMgrCyzYChUsMLmdv86TYmdw2TbGbKRL6DTZpump</t>
        </is>
      </c>
      <c r="P97" s="20">
        <f>HYPERLINK("https://photon-sol.tinyastro.io/en/lp/5pChcMgrCyzYChUsMLmdv86TYmdw2TbGbKRL6DTZpump?handle=676050794bc1b1657a56b", "View")</f>
        <v/>
      </c>
    </row>
    <row r="98">
      <c r="A98" s="15" t="inlineStr">
        <is>
          <t>elefant</t>
        </is>
      </c>
      <c r="B98" s="16" t="n">
        <v>19282924</v>
      </c>
      <c r="C98" s="16" t="n">
        <v>19282924</v>
      </c>
      <c r="D98" s="16" t="inlineStr">
        <is>
          <t>0.002110</t>
        </is>
      </c>
      <c r="E98" s="16" t="inlineStr">
        <is>
          <t>1.663 SOL</t>
        </is>
      </c>
      <c r="F98" s="16" t="inlineStr">
        <is>
          <t>2.007 SOL</t>
        </is>
      </c>
      <c r="G98" s="22" t="inlineStr">
        <is>
          <t>0.342 SOL</t>
        </is>
      </c>
      <c r="H98" s="22" t="inlineStr">
        <is>
          <t>20.56%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29.10.2024 14:38:43</t>
        </is>
      </c>
      <c r="M98" s="18" t="inlineStr">
        <is>
          <t>28 sec</t>
        </is>
      </c>
      <c r="N98" s="16" t="inlineStr">
        <is>
          <t xml:space="preserve">         16K            18K             6K</t>
        </is>
      </c>
      <c r="O98" s="16" t="inlineStr">
        <is>
          <t>8bLEmTwK8YVW9u6ruvWe8AK9cJBWF5otRik6SPTfpump</t>
        </is>
      </c>
      <c r="P98" s="16">
        <f>HYPERLINK("https://photon-sol.tinyastro.io/en/lp/8bLEmTwK8YVW9u6ruvWe8AK9cJBWF5otRik6SPTfpump?handle=676050794bc1b1657a56b", "View")</f>
        <v/>
      </c>
    </row>
    <row r="99">
      <c r="A99" s="19" t="inlineStr">
        <is>
          <t>MAGAI</t>
        </is>
      </c>
      <c r="B99" s="20" t="n">
        <v>23319529</v>
      </c>
      <c r="C99" s="20" t="n">
        <v>23319529</v>
      </c>
      <c r="D99" s="20" t="inlineStr">
        <is>
          <t>0.002110</t>
        </is>
      </c>
      <c r="E99" s="20" t="inlineStr">
        <is>
          <t>1.672 SOL</t>
        </is>
      </c>
      <c r="F99" s="20" t="inlineStr">
        <is>
          <t>1.580 SOL</t>
        </is>
      </c>
      <c r="G99" s="21" t="inlineStr">
        <is>
          <t>-0.095 SOL</t>
        </is>
      </c>
      <c r="H99" s="21" t="inlineStr">
        <is>
          <t>-5.66%</t>
        </is>
      </c>
      <c r="I99" s="20" t="inlineStr">
        <is>
          <t>N/A</t>
        </is>
      </c>
      <c r="J99" s="20" t="n">
        <v>1</v>
      </c>
      <c r="K99" s="20" t="n">
        <v>1</v>
      </c>
      <c r="L99" s="20" t="inlineStr">
        <is>
          <t>29.10.2024 14:11:25</t>
        </is>
      </c>
      <c r="M99" s="18" t="inlineStr">
        <is>
          <t>28 sec</t>
        </is>
      </c>
      <c r="N99" s="20" t="inlineStr">
        <is>
          <t xml:space="preserve">         12K            12K             8K</t>
        </is>
      </c>
      <c r="O99" s="20" t="inlineStr">
        <is>
          <t>7SRk5xty8UCgycFRLaHrZ5REih5iXrg2Xkc1kiu1pump</t>
        </is>
      </c>
      <c r="P99" s="20">
        <f>HYPERLINK("https://photon-sol.tinyastro.io/en/lp/7SRk5xty8UCgycFRLaHrZ5REih5iXrg2Xkc1kiu1pump?handle=676050794bc1b1657a56b", "View")</f>
        <v/>
      </c>
    </row>
    <row r="100">
      <c r="A100" s="15" t="inlineStr">
        <is>
          <t>LILD</t>
        </is>
      </c>
      <c r="B100" s="16" t="n">
        <v>33697344</v>
      </c>
      <c r="C100" s="16" t="n">
        <v>33697344</v>
      </c>
      <c r="D100" s="16" t="inlineStr">
        <is>
          <t>0.002110</t>
        </is>
      </c>
      <c r="E100" s="16" t="inlineStr">
        <is>
          <t>1.532 SOL</t>
        </is>
      </c>
      <c r="F100" s="16" t="inlineStr">
        <is>
          <t>1.863 SOL</t>
        </is>
      </c>
      <c r="G100" s="22" t="inlineStr">
        <is>
          <t>0.329 SOL</t>
        </is>
      </c>
      <c r="H100" s="22" t="inlineStr">
        <is>
          <t>21.46%</t>
        </is>
      </c>
      <c r="I100" s="16" t="inlineStr">
        <is>
          <t>N/A</t>
        </is>
      </c>
      <c r="J100" s="16" t="n">
        <v>1</v>
      </c>
      <c r="K100" s="16" t="n">
        <v>1</v>
      </c>
      <c r="L100" s="16" t="inlineStr">
        <is>
          <t>29.10.2024 13:33:12</t>
        </is>
      </c>
      <c r="M100" s="18" t="inlineStr">
        <is>
          <t>22 sec</t>
        </is>
      </c>
      <c r="N100" s="16" t="inlineStr">
        <is>
          <t xml:space="preserve">          9K             9K             5K</t>
        </is>
      </c>
      <c r="O100" s="16" t="inlineStr">
        <is>
          <t>9zx1HAEmvULzBXYTScCYjbzh78urC5sA5835HSz7pump</t>
        </is>
      </c>
      <c r="P100" s="16">
        <f>HYPERLINK("https://photon-sol.tinyastro.io/en/lp/9zx1HAEmvULzBXYTScCYjbzh78urC5sA5835HSz7pump?handle=676050794bc1b1657a56b", "View")</f>
        <v/>
      </c>
    </row>
    <row r="101">
      <c r="A101" s="19" t="inlineStr">
        <is>
          <t>Trina</t>
        </is>
      </c>
      <c r="B101" s="20" t="n">
        <v>20853654</v>
      </c>
      <c r="C101" s="20" t="n">
        <v>20853654</v>
      </c>
      <c r="D101" s="20" t="inlineStr">
        <is>
          <t>0.005280</t>
        </is>
      </c>
      <c r="E101" s="20" t="inlineStr">
        <is>
          <t>1.535 SOL</t>
        </is>
      </c>
      <c r="F101" s="20" t="inlineStr">
        <is>
          <t>8.594 SOL</t>
        </is>
      </c>
      <c r="G101" s="23" t="inlineStr">
        <is>
          <t>7.053 SOL</t>
        </is>
      </c>
      <c r="H101" s="23" t="inlineStr">
        <is>
          <t>457.98%</t>
        </is>
      </c>
      <c r="I101" s="20" t="inlineStr">
        <is>
          <t>N/A</t>
        </is>
      </c>
      <c r="J101" s="20" t="n">
        <v>1</v>
      </c>
      <c r="K101" s="20" t="n">
        <v>4</v>
      </c>
      <c r="L101" s="20" t="inlineStr">
        <is>
          <t>29.10.2024 13:29:52</t>
        </is>
      </c>
      <c r="M101" s="20" t="inlineStr">
        <is>
          <t>5 min</t>
        </is>
      </c>
      <c r="N101" s="20" t="inlineStr">
        <is>
          <t xml:space="preserve">         12K           104K             4K</t>
        </is>
      </c>
      <c r="O101" s="20" t="inlineStr">
        <is>
          <t>DirQ7FDi1C5SZCy8ai1GTSvnm9o8MDf9s4C4cExzpump</t>
        </is>
      </c>
      <c r="P101" s="20">
        <f>HYPERLINK("https://photon-sol.tinyastro.io/en/lp/DirQ7FDi1C5SZCy8ai1GTSvnm9o8MDf9s4C4cExzpump?handle=676050794bc1b1657a56b", "View")</f>
        <v/>
      </c>
    </row>
    <row r="102">
      <c r="A102" s="15" t="inlineStr">
        <is>
          <t>MIRRA</t>
        </is>
      </c>
      <c r="B102" s="16" t="n">
        <v>18880230</v>
      </c>
      <c r="C102" s="16" t="n">
        <v>18880230</v>
      </c>
      <c r="D102" s="16" t="inlineStr">
        <is>
          <t>0.004220</t>
        </is>
      </c>
      <c r="E102" s="16" t="inlineStr">
        <is>
          <t>1.532 SOL</t>
        </is>
      </c>
      <c r="F102" s="16" t="inlineStr">
        <is>
          <t>8.112 SOL</t>
        </is>
      </c>
      <c r="G102" s="23" t="inlineStr">
        <is>
          <t>6.576 SOL</t>
        </is>
      </c>
      <c r="H102" s="23" t="inlineStr">
        <is>
          <t>428.16%</t>
        </is>
      </c>
      <c r="I102" s="16" t="inlineStr">
        <is>
          <t>N/A</t>
        </is>
      </c>
      <c r="J102" s="16" t="n">
        <v>1</v>
      </c>
      <c r="K102" s="16" t="n">
        <v>3</v>
      </c>
      <c r="L102" s="16" t="inlineStr">
        <is>
          <t>29.10.2024 13:07:24</t>
        </is>
      </c>
      <c r="M102" s="16" t="inlineStr">
        <is>
          <t>10 min</t>
        </is>
      </c>
      <c r="N102" s="16" t="inlineStr">
        <is>
          <t xml:space="preserve">         14K            14K            68K</t>
        </is>
      </c>
      <c r="O102" s="16" t="inlineStr">
        <is>
          <t>AQFnYM9WSDLKSg3YgkAQ16fFmchSpaxgD2Fmpy62pump</t>
        </is>
      </c>
      <c r="P102" s="16">
        <f>HYPERLINK("https://photon-sol.tinyastro.io/en/lp/AQFnYM9WSDLKSg3YgkAQ16fFmchSpaxgD2Fmpy62pump?handle=676050794bc1b1657a56b", "View")</f>
        <v/>
      </c>
    </row>
    <row r="103">
      <c r="A103" s="19" t="inlineStr">
        <is>
          <t>BOBBY</t>
        </is>
      </c>
      <c r="B103" s="20" t="n">
        <v>36509361</v>
      </c>
      <c r="C103" s="20" t="n">
        <v>36509361</v>
      </c>
      <c r="D103" s="20" t="inlineStr">
        <is>
          <t>0.002110</t>
        </is>
      </c>
      <c r="E103" s="20" t="inlineStr">
        <is>
          <t>1.557 SOL</t>
        </is>
      </c>
      <c r="F103" s="20" t="inlineStr">
        <is>
          <t>1.679 SOL</t>
        </is>
      </c>
      <c r="G103" s="22" t="inlineStr">
        <is>
          <t>0.121 SOL</t>
        </is>
      </c>
      <c r="H103" s="22" t="inlineStr">
        <is>
          <t>7.73%</t>
        </is>
      </c>
      <c r="I103" s="20" t="inlineStr">
        <is>
          <t>N/A</t>
        </is>
      </c>
      <c r="J103" s="20" t="n">
        <v>1</v>
      </c>
      <c r="K103" s="20" t="n">
        <v>1</v>
      </c>
      <c r="L103" s="20" t="inlineStr">
        <is>
          <t>29.10.2024 12:05:29</t>
        </is>
      </c>
      <c r="M103" s="18" t="inlineStr">
        <is>
          <t>29 sec</t>
        </is>
      </c>
      <c r="N103" s="20" t="inlineStr">
        <is>
          <t xml:space="preserve">        N/A           N/A           N/A</t>
        </is>
      </c>
      <c r="O103" s="20" t="inlineStr">
        <is>
          <t>6Ti7oYvUHbYGaG6MkexsLCCdXGgQJN7Y8mZa68aWpump</t>
        </is>
      </c>
      <c r="P103" s="20">
        <f>HYPERLINK("https://photon-sol.tinyastro.io/en/lp/6Ti7oYvUHbYGaG6MkexsLCCdXGgQJN7Y8mZa68aWpump?handle=676050794bc1b1657a56b", "View")</f>
        <v/>
      </c>
    </row>
    <row r="104">
      <c r="A104" s="15" t="inlineStr">
        <is>
          <t>EGIRL</t>
        </is>
      </c>
      <c r="B104" s="16" t="n">
        <v>9429421</v>
      </c>
      <c r="C104" s="16" t="n">
        <v>9429421</v>
      </c>
      <c r="D104" s="16" t="inlineStr">
        <is>
          <t>0.002110</t>
        </is>
      </c>
      <c r="E104" s="16" t="inlineStr">
        <is>
          <t>1.583 SOL</t>
        </is>
      </c>
      <c r="F104" s="16" t="inlineStr">
        <is>
          <t>1.140 SOL</t>
        </is>
      </c>
      <c r="G104" s="21" t="inlineStr">
        <is>
          <t>-0.444 SOL</t>
        </is>
      </c>
      <c r="H104" s="21" t="inlineStr">
        <is>
          <t>-28.05%</t>
        </is>
      </c>
      <c r="I104" s="16" t="inlineStr">
        <is>
          <t>N/A</t>
        </is>
      </c>
      <c r="J104" s="16" t="n">
        <v>1</v>
      </c>
      <c r="K104" s="16" t="n">
        <v>1</v>
      </c>
      <c r="L104" s="16" t="inlineStr">
        <is>
          <t>29.10.2024 11:54:10</t>
        </is>
      </c>
      <c r="M104" s="18" t="inlineStr">
        <is>
          <t>13 sec</t>
        </is>
      </c>
      <c r="N104" s="16" t="inlineStr">
        <is>
          <t xml:space="preserve">         30K            21K             5K</t>
        </is>
      </c>
      <c r="O104" s="16" t="inlineStr">
        <is>
          <t>9omTeZNvsXbPXmwYu7bv7KBTYyMgTqkjpCXgKEAJpump</t>
        </is>
      </c>
      <c r="P104" s="16">
        <f>HYPERLINK("https://photon-sol.tinyastro.io/en/lp/9omTeZNvsXbPXmwYu7bv7KBTYyMgTqkjpCXgKEAJpump?handle=676050794bc1b1657a56b", "View")</f>
        <v/>
      </c>
    </row>
    <row r="105">
      <c r="A105" s="19" t="inlineStr">
        <is>
          <t>RND</t>
        </is>
      </c>
      <c r="B105" s="20" t="n">
        <v>22059087</v>
      </c>
      <c r="C105" s="20" t="n">
        <v>22059087</v>
      </c>
      <c r="D105" s="20" t="inlineStr">
        <is>
          <t>0.002110</t>
        </is>
      </c>
      <c r="E105" s="20" t="inlineStr">
        <is>
          <t>1.353 SOL</t>
        </is>
      </c>
      <c r="F105" s="20" t="inlineStr">
        <is>
          <t>1.900 SOL</t>
        </is>
      </c>
      <c r="G105" s="22" t="inlineStr">
        <is>
          <t>0.545 SOL</t>
        </is>
      </c>
      <c r="H105" s="22" t="inlineStr">
        <is>
          <t>40.21%</t>
        </is>
      </c>
      <c r="I105" s="20" t="inlineStr">
        <is>
          <t>N/A</t>
        </is>
      </c>
      <c r="J105" s="20" t="n">
        <v>1</v>
      </c>
      <c r="K105" s="20" t="n">
        <v>1</v>
      </c>
      <c r="L105" s="20" t="inlineStr">
        <is>
          <t>29.10.2024 11:45:12</t>
        </is>
      </c>
      <c r="M105" s="18" t="inlineStr">
        <is>
          <t>27 sec</t>
        </is>
      </c>
      <c r="N105" s="20" t="inlineStr">
        <is>
          <t xml:space="preserve">         11K            16K             5K</t>
        </is>
      </c>
      <c r="O105" s="20" t="inlineStr">
        <is>
          <t>HXghgxNunAo1LdzG3edWDY1QdiXAr7Szhr8JN91jpump</t>
        </is>
      </c>
      <c r="P105" s="20">
        <f>HYPERLINK("https://photon-sol.tinyastro.io/en/lp/HXghgxNunAo1LdzG3edWDY1QdiXAr7Szhr8JN91jpump?handle=676050794bc1b1657a56b", "View")</f>
        <v/>
      </c>
    </row>
    <row r="106">
      <c r="A106" s="15" t="inlineStr">
        <is>
          <t>SANTINO</t>
        </is>
      </c>
      <c r="B106" s="16" t="n">
        <v>41244032</v>
      </c>
      <c r="C106" s="16" t="n">
        <v>41244032</v>
      </c>
      <c r="D106" s="16" t="inlineStr">
        <is>
          <t>0.006330</t>
        </is>
      </c>
      <c r="E106" s="16" t="inlineStr">
        <is>
          <t>4.591 SOL</t>
        </is>
      </c>
      <c r="F106" s="16" t="inlineStr">
        <is>
          <t>4.825 SOL</t>
        </is>
      </c>
      <c r="G106" s="22" t="inlineStr">
        <is>
          <t>0.228 SOL</t>
        </is>
      </c>
      <c r="H106" s="22" t="inlineStr">
        <is>
          <t>4.96%</t>
        </is>
      </c>
      <c r="I106" s="16" t="inlineStr">
        <is>
          <t>N/A</t>
        </is>
      </c>
      <c r="J106" s="16" t="n">
        <v>3</v>
      </c>
      <c r="K106" s="16" t="n">
        <v>3</v>
      </c>
      <c r="L106" s="16" t="inlineStr">
        <is>
          <t>29.10.2024 09:43:00</t>
        </is>
      </c>
      <c r="M106" s="16" t="inlineStr">
        <is>
          <t>15 min</t>
        </is>
      </c>
      <c r="N106" s="16" t="inlineStr">
        <is>
          <t xml:space="preserve">         23K            25K             5K</t>
        </is>
      </c>
      <c r="O106" s="16" t="inlineStr">
        <is>
          <t>7d5dTjV8qyJRGysxD2W2ZSQ4AZ5ycakNkUfiNoCYpump</t>
        </is>
      </c>
      <c r="P106" s="16">
        <f>HYPERLINK("https://photon-sol.tinyastro.io/en/lp/7d5dTjV8qyJRGysxD2W2ZSQ4AZ5ycakNkUfiNoCYpump?handle=676050794bc1b1657a56b", "View")</f>
        <v/>
      </c>
    </row>
    <row r="107">
      <c r="A107" s="19" t="inlineStr">
        <is>
          <t>LINK</t>
        </is>
      </c>
      <c r="B107" s="20" t="n">
        <v>15825571</v>
      </c>
      <c r="C107" s="20" t="n">
        <v>15825571</v>
      </c>
      <c r="D107" s="20" t="inlineStr">
        <is>
          <t>0.006330</t>
        </is>
      </c>
      <c r="E107" s="20" t="inlineStr">
        <is>
          <t>1.532 SOL</t>
        </is>
      </c>
      <c r="F107" s="20" t="inlineStr">
        <is>
          <t>9.094 SOL</t>
        </is>
      </c>
      <c r="G107" s="23" t="inlineStr">
        <is>
          <t>7.556 SOL</t>
        </is>
      </c>
      <c r="H107" s="23" t="inlineStr">
        <is>
          <t>491.13%</t>
        </is>
      </c>
      <c r="I107" s="20" t="inlineStr">
        <is>
          <t>N/A</t>
        </is>
      </c>
      <c r="J107" s="20" t="n">
        <v>1</v>
      </c>
      <c r="K107" s="20" t="n">
        <v>5</v>
      </c>
      <c r="L107" s="20" t="inlineStr">
        <is>
          <t>29.10.2024 04:30:31</t>
        </is>
      </c>
      <c r="M107" s="20" t="inlineStr">
        <is>
          <t>5 min</t>
        </is>
      </c>
      <c r="N107" s="20" t="inlineStr">
        <is>
          <t xml:space="preserve">         16K            43K             4K</t>
        </is>
      </c>
      <c r="O107" s="20" t="inlineStr">
        <is>
          <t>BxaRiJpUwPkiUfwUe7bXqMZV5EG8Xx5BZaY6QM3Jpump</t>
        </is>
      </c>
      <c r="P107" s="20">
        <f>HYPERLINK("https://photon-sol.tinyastro.io/en/lp/BxaRiJpUwPkiUfwUe7bXqMZV5EG8Xx5BZaY6QM3Jpump?handle=676050794bc1b1657a56b", "View")</f>
        <v/>
      </c>
    </row>
    <row r="108">
      <c r="A108" s="15" t="inlineStr">
        <is>
          <t>HFR</t>
        </is>
      </c>
      <c r="B108" s="16" t="n">
        <v>24955166</v>
      </c>
      <c r="C108" s="16" t="n">
        <v>24955166</v>
      </c>
      <c r="D108" s="16" t="inlineStr">
        <is>
          <t>0.002110</t>
        </is>
      </c>
      <c r="E108" s="16" t="inlineStr">
        <is>
          <t>1.022 SOL</t>
        </is>
      </c>
      <c r="F108" s="16" t="inlineStr">
        <is>
          <t>1.873 SOL</t>
        </is>
      </c>
      <c r="G108" s="23" t="inlineStr">
        <is>
          <t>0.848 SOL</t>
        </is>
      </c>
      <c r="H108" s="23" t="inlineStr">
        <is>
          <t>82.84%</t>
        </is>
      </c>
      <c r="I108" s="16" t="inlineStr">
        <is>
          <t>N/A</t>
        </is>
      </c>
      <c r="J108" s="16" t="n">
        <v>1</v>
      </c>
      <c r="K108" s="16" t="n">
        <v>1</v>
      </c>
      <c r="L108" s="16" t="inlineStr">
        <is>
          <t>29.10.2024 03:49:21</t>
        </is>
      </c>
      <c r="M108" s="16" t="inlineStr">
        <is>
          <t>1 min</t>
        </is>
      </c>
      <c r="N108" s="16" t="inlineStr">
        <is>
          <t xml:space="preserve">          7K             7K             5K</t>
        </is>
      </c>
      <c r="O108" s="16" t="inlineStr">
        <is>
          <t>F8VDxs6z8XPkMmiE6KKgFwLzK2R7uo4XnjdypUhXpump</t>
        </is>
      </c>
      <c r="P108" s="16">
        <f>HYPERLINK("https://photon-sol.tinyastro.io/en/lp/F8VDxs6z8XPkMmiE6KKgFwLzK2R7uo4XnjdypUhXpump?handle=676050794bc1b1657a56b", "View")</f>
        <v/>
      </c>
    </row>
    <row r="109">
      <c r="A109" s="19" t="inlineStr">
        <is>
          <t>SLDRX</t>
        </is>
      </c>
      <c r="B109" s="20" t="n">
        <v>11760948</v>
      </c>
      <c r="C109" s="20" t="n">
        <v>11760948</v>
      </c>
      <c r="D109" s="20" t="inlineStr">
        <is>
          <t>0.002110</t>
        </is>
      </c>
      <c r="E109" s="20" t="inlineStr">
        <is>
          <t>1.532 SOL</t>
        </is>
      </c>
      <c r="F109" s="20" t="inlineStr">
        <is>
          <t>1.616 SOL</t>
        </is>
      </c>
      <c r="G109" s="22" t="inlineStr">
        <is>
          <t>0.082 SOL</t>
        </is>
      </c>
      <c r="H109" s="22" t="inlineStr">
        <is>
          <t>5.36%</t>
        </is>
      </c>
      <c r="I109" s="20" t="inlineStr">
        <is>
          <t>N/A</t>
        </is>
      </c>
      <c r="J109" s="20" t="n">
        <v>1</v>
      </c>
      <c r="K109" s="20" t="n">
        <v>1</v>
      </c>
      <c r="L109" s="20" t="inlineStr">
        <is>
          <t>29.10.2024 03:43:47</t>
        </is>
      </c>
      <c r="M109" s="18" t="inlineStr">
        <is>
          <t>27 sec</t>
        </is>
      </c>
      <c r="N109" s="20" t="inlineStr">
        <is>
          <t xml:space="preserve">         23K            25K             5K</t>
        </is>
      </c>
      <c r="O109" s="20" t="inlineStr">
        <is>
          <t>4RLQiwXL3PrGNiYzbWKCjDd2r6wmsK4ajrV6D9hZpump</t>
        </is>
      </c>
      <c r="P109" s="20">
        <f>HYPERLINK("https://photon-sol.tinyastro.io/en/lp/4RLQiwXL3PrGNiYzbWKCjDd2r6wmsK4ajrV6D9hZpump?handle=676050794bc1b1657a56b", "View")</f>
        <v/>
      </c>
    </row>
    <row r="110">
      <c r="A110" s="15" t="inlineStr">
        <is>
          <t>ZYPHRA</t>
        </is>
      </c>
      <c r="B110" s="16" t="n">
        <v>67062500</v>
      </c>
      <c r="C110" s="16" t="n">
        <v>67062500</v>
      </c>
      <c r="D110" s="16" t="inlineStr">
        <is>
          <t>0.002110</t>
        </is>
      </c>
      <c r="E110" s="16" t="inlineStr">
        <is>
          <t>2.041 SOL</t>
        </is>
      </c>
      <c r="F110" s="16" t="inlineStr">
        <is>
          <t>2.080 SOL</t>
        </is>
      </c>
      <c r="G110" s="22" t="inlineStr">
        <is>
          <t>0.037 SOL</t>
        </is>
      </c>
      <c r="H110" s="22" t="inlineStr">
        <is>
          <t>1.81%</t>
        </is>
      </c>
      <c r="I110" s="16" t="inlineStr">
        <is>
          <t>N/A</t>
        </is>
      </c>
      <c r="J110" s="16" t="n">
        <v>1</v>
      </c>
      <c r="K110" s="16" t="n">
        <v>1</v>
      </c>
      <c r="L110" s="16" t="inlineStr">
        <is>
          <t>29.10.2024 03:22:29</t>
        </is>
      </c>
      <c r="M110" s="18" t="inlineStr">
        <is>
          <t>6 sec</t>
        </is>
      </c>
      <c r="N110" s="16" t="inlineStr">
        <is>
          <t xml:space="preserve">          5K             5K             5K</t>
        </is>
      </c>
      <c r="O110" s="16" t="inlineStr">
        <is>
          <t>Hh5VaBt6FGzbEfUv4CTFeefqMcHC9u1oWv3qXcE7pump</t>
        </is>
      </c>
      <c r="P110" s="16">
        <f>HYPERLINK("https://photon-sol.tinyastro.io/en/lp/Hh5VaBt6FGzbEfUv4CTFeefqMcHC9u1oWv3qXcE7pump?handle=676050794bc1b1657a56b", "View")</f>
        <v/>
      </c>
    </row>
    <row r="111">
      <c r="A111" s="19" t="inlineStr">
        <is>
          <t>shogism</t>
        </is>
      </c>
      <c r="B111" s="20" t="n">
        <v>97545454</v>
      </c>
      <c r="C111" s="20" t="n">
        <v>97545454</v>
      </c>
      <c r="D111" s="20" t="inlineStr">
        <is>
          <t>0.036060</t>
        </is>
      </c>
      <c r="E111" s="20" t="inlineStr">
        <is>
          <t>3.060 SOL</t>
        </is>
      </c>
      <c r="F111" s="20" t="inlineStr">
        <is>
          <t>3.226 SOL</t>
        </is>
      </c>
      <c r="G111" s="22" t="inlineStr">
        <is>
          <t>0.130 SOL</t>
        </is>
      </c>
      <c r="H111" s="22" t="inlineStr">
        <is>
          <t>4.20%</t>
        </is>
      </c>
      <c r="I111" s="20" t="inlineStr">
        <is>
          <t>N/A</t>
        </is>
      </c>
      <c r="J111" s="20" t="n">
        <v>1</v>
      </c>
      <c r="K111" s="20" t="n">
        <v>1</v>
      </c>
      <c r="L111" s="20" t="inlineStr">
        <is>
          <t>29.10.2024 03:10:51</t>
        </is>
      </c>
      <c r="M111" s="18" t="inlineStr">
        <is>
          <t>6 sec</t>
        </is>
      </c>
      <c r="N111" s="20" t="inlineStr">
        <is>
          <t xml:space="preserve">          5K             5K             5K</t>
        </is>
      </c>
      <c r="O111" s="20" t="inlineStr">
        <is>
          <t>BGH44dL37ZJBKQKFn5LAxC5QXRxrok9YzYpVEHJdpump</t>
        </is>
      </c>
      <c r="P111" s="20">
        <f>HYPERLINK("https://photon-sol.tinyastro.io/en/lp/BGH44dL37ZJBKQKFn5LAxC5QXRxrok9YzYpVEHJdpump?handle=676050794bc1b1657a56b", "View")</f>
        <v/>
      </c>
    </row>
    <row r="112">
      <c r="A112" s="15" t="inlineStr">
        <is>
          <t>Fe</t>
        </is>
      </c>
      <c r="B112" s="16" t="n">
        <v>97545455</v>
      </c>
      <c r="C112" s="16" t="n">
        <v>97545455</v>
      </c>
      <c r="D112" s="16" t="inlineStr">
        <is>
          <t>0.036060</t>
        </is>
      </c>
      <c r="E112" s="16" t="inlineStr">
        <is>
          <t>3.060 SOL</t>
        </is>
      </c>
      <c r="F112" s="16" t="inlineStr">
        <is>
          <t>3.827 SOL</t>
        </is>
      </c>
      <c r="G112" s="22" t="inlineStr">
        <is>
          <t>0.731 SOL</t>
        </is>
      </c>
      <c r="H112" s="22" t="inlineStr">
        <is>
          <t>23.62%</t>
        </is>
      </c>
      <c r="I112" s="16" t="inlineStr">
        <is>
          <t>N/A</t>
        </is>
      </c>
      <c r="J112" s="16" t="n">
        <v>1</v>
      </c>
      <c r="K112" s="16" t="n">
        <v>1</v>
      </c>
      <c r="L112" s="16" t="inlineStr">
        <is>
          <t>29.10.2024 03:08:18</t>
        </is>
      </c>
      <c r="M112" s="18" t="inlineStr">
        <is>
          <t>8 sec</t>
        </is>
      </c>
      <c r="N112" s="16" t="inlineStr">
        <is>
          <t xml:space="preserve">          5K             7K             5K</t>
        </is>
      </c>
      <c r="O112" s="16" t="inlineStr">
        <is>
          <t>DbaDcLF3G2EzGp8m4Wi4Cs2ZBqUXtCnQL8qpHQp5pump</t>
        </is>
      </c>
      <c r="P112" s="16">
        <f>HYPERLINK("https://photon-sol.tinyastro.io/en/lp/DbaDcLF3G2EzGp8m4Wi4Cs2ZBqUXtCnQL8qpHQp5pump?handle=676050794bc1b1657a56b", "View")</f>
        <v/>
      </c>
    </row>
    <row r="113">
      <c r="A113" s="19" t="inlineStr">
        <is>
          <t>Tus</t>
        </is>
      </c>
      <c r="B113" s="20" t="n">
        <v>97545454</v>
      </c>
      <c r="C113" s="20" t="n">
        <v>97545454</v>
      </c>
      <c r="D113" s="20" t="inlineStr">
        <is>
          <t>0.002110</t>
        </is>
      </c>
      <c r="E113" s="20" t="inlineStr">
        <is>
          <t>3.060 SOL</t>
        </is>
      </c>
      <c r="F113" s="20" t="inlineStr">
        <is>
          <t>3.859 SOL</t>
        </is>
      </c>
      <c r="G113" s="22" t="inlineStr">
        <is>
          <t>0.797 SOL</t>
        </is>
      </c>
      <c r="H113" s="22" t="inlineStr">
        <is>
          <t>26.02%</t>
        </is>
      </c>
      <c r="I113" s="20" t="inlineStr">
        <is>
          <t>N/A</t>
        </is>
      </c>
      <c r="J113" s="20" t="n">
        <v>1</v>
      </c>
      <c r="K113" s="20" t="n">
        <v>1</v>
      </c>
      <c r="L113" s="20" t="inlineStr">
        <is>
          <t>29.10.2024 03:07:12</t>
        </is>
      </c>
      <c r="M113" s="18" t="inlineStr">
        <is>
          <t>5 sec</t>
        </is>
      </c>
      <c r="N113" s="20" t="inlineStr">
        <is>
          <t xml:space="preserve">          5K             7K             5K</t>
        </is>
      </c>
      <c r="O113" s="20" t="inlineStr">
        <is>
          <t>A5w4aev5QCYFzsyUJgCjdVNL8vW6A5oEfoHFwmJ7pump</t>
        </is>
      </c>
      <c r="P113" s="20">
        <f>HYPERLINK("https://photon-sol.tinyastro.io/en/lp/A5w4aev5QCYFzsyUJgCjdVNL8vW6A5oEfoHFwmJ7pump?handle=676050794bc1b1657a56b", "View")</f>
        <v/>
      </c>
    </row>
    <row r="114">
      <c r="A114" s="15" t="inlineStr">
        <is>
          <t>LUND</t>
        </is>
      </c>
      <c r="B114" s="16" t="n">
        <v>97545454</v>
      </c>
      <c r="C114" s="16" t="n">
        <v>97545454</v>
      </c>
      <c r="D114" s="16" t="inlineStr">
        <is>
          <t>0.002110</t>
        </is>
      </c>
      <c r="E114" s="16" t="inlineStr">
        <is>
          <t>3.060 SOL</t>
        </is>
      </c>
      <c r="F114" s="16" t="inlineStr">
        <is>
          <t>3.966 SOL</t>
        </is>
      </c>
      <c r="G114" s="22" t="inlineStr">
        <is>
          <t>0.904 SOL</t>
        </is>
      </c>
      <c r="H114" s="22" t="inlineStr">
        <is>
          <t>29.51%</t>
        </is>
      </c>
      <c r="I114" s="16" t="inlineStr">
        <is>
          <t>N/A</t>
        </is>
      </c>
      <c r="J114" s="16" t="n">
        <v>1</v>
      </c>
      <c r="K114" s="16" t="n">
        <v>1</v>
      </c>
      <c r="L114" s="16" t="inlineStr">
        <is>
          <t>29.10.2024 03:05:01</t>
        </is>
      </c>
      <c r="M114" s="18" t="inlineStr">
        <is>
          <t>7 sec</t>
        </is>
      </c>
      <c r="N114" s="16" t="inlineStr">
        <is>
          <t xml:space="preserve">          5K             7K             5K</t>
        </is>
      </c>
      <c r="O114" s="16" t="inlineStr">
        <is>
          <t>27mc1prkBmqoUgfWMkfBbEz2CmJc64YLLq38SX7cpump</t>
        </is>
      </c>
      <c r="P114" s="16">
        <f>HYPERLINK("https://photon-sol.tinyastro.io/en/lp/27mc1prkBmqoUgfWMkfBbEz2CmJc64YLLq38SX7cpump?handle=676050794bc1b1657a56b", "View")</f>
        <v/>
      </c>
    </row>
    <row r="115">
      <c r="A115" s="19" t="inlineStr">
        <is>
          <t>XBDAY</t>
        </is>
      </c>
      <c r="B115" s="20" t="n">
        <v>97545273</v>
      </c>
      <c r="C115" s="20" t="n">
        <v>97545273</v>
      </c>
      <c r="D115" s="20" t="inlineStr">
        <is>
          <t>0.036060</t>
        </is>
      </c>
      <c r="E115" s="20" t="inlineStr">
        <is>
          <t>3.993 SOL</t>
        </is>
      </c>
      <c r="F115" s="20" t="inlineStr">
        <is>
          <t>4.436 SOL</t>
        </is>
      </c>
      <c r="G115" s="22" t="inlineStr">
        <is>
          <t>0.407 SOL</t>
        </is>
      </c>
      <c r="H115" s="22" t="inlineStr">
        <is>
          <t>10.09%</t>
        </is>
      </c>
      <c r="I115" s="20" t="inlineStr">
        <is>
          <t>N/A</t>
        </is>
      </c>
      <c r="J115" s="20" t="n">
        <v>1</v>
      </c>
      <c r="K115" s="20" t="n">
        <v>1</v>
      </c>
      <c r="L115" s="20" t="inlineStr">
        <is>
          <t>29.10.2024 03:03:59</t>
        </is>
      </c>
      <c r="M115" s="18" t="inlineStr">
        <is>
          <t>5 sec</t>
        </is>
      </c>
      <c r="N115" s="20" t="inlineStr">
        <is>
          <t xml:space="preserve">          7K             9K             5K</t>
        </is>
      </c>
      <c r="O115" s="20" t="inlineStr">
        <is>
          <t>AGxWsVWsJBfgY5NmHxbh3G9D1gy8QpiZHALWnYvCpump</t>
        </is>
      </c>
      <c r="P115" s="20">
        <f>HYPERLINK("https://photon-sol.tinyastro.io/en/lp/AGxWsVWsJBfgY5NmHxbh3G9D1gy8QpiZHALWnYvCpump?handle=676050794bc1b1657a56b", "View")</f>
        <v/>
      </c>
    </row>
    <row r="116">
      <c r="A116" s="15" t="inlineStr">
        <is>
          <t>Brylar</t>
        </is>
      </c>
      <c r="B116" s="16" t="n">
        <v>9004412</v>
      </c>
      <c r="C116" s="16" t="n">
        <v>9004412</v>
      </c>
      <c r="D116" s="16" t="inlineStr">
        <is>
          <t>0.036060</t>
        </is>
      </c>
      <c r="E116" s="16" t="inlineStr">
        <is>
          <t>2.016 SOL</t>
        </is>
      </c>
      <c r="F116" s="16" t="inlineStr">
        <is>
          <t>1.420 SOL</t>
        </is>
      </c>
      <c r="G116" s="21" t="inlineStr">
        <is>
          <t>-0.632 SOL</t>
        </is>
      </c>
      <c r="H116" s="21" t="inlineStr">
        <is>
          <t>-30.82%</t>
        </is>
      </c>
      <c r="I116" s="16" t="inlineStr">
        <is>
          <t>N/A</t>
        </is>
      </c>
      <c r="J116" s="16" t="n">
        <v>1</v>
      </c>
      <c r="K116" s="16" t="n">
        <v>1</v>
      </c>
      <c r="L116" s="16" t="inlineStr">
        <is>
          <t>29.10.2024 03:03:21</t>
        </is>
      </c>
      <c r="M116" s="18" t="inlineStr">
        <is>
          <t>17 sec</t>
        </is>
      </c>
      <c r="N116" s="16" t="inlineStr">
        <is>
          <t xml:space="preserve">         39K            28K            13K</t>
        </is>
      </c>
      <c r="O116" s="16" t="inlineStr">
        <is>
          <t>BXEDLp7LmZwswbyFWMCDXvv4KSYLwwEXudFLHpUvpump</t>
        </is>
      </c>
      <c r="P116" s="16">
        <f>HYPERLINK("https://photon-sol.tinyastro.io/en/lp/BXEDLp7LmZwswbyFWMCDXvv4KSYLwwEXudFLHpUvpump?handle=676050794bc1b1657a56b", "View")</f>
        <v/>
      </c>
    </row>
    <row r="117">
      <c r="A117" s="19" t="inlineStr">
        <is>
          <t>CON</t>
        </is>
      </c>
      <c r="B117" s="20" t="n">
        <v>125393882</v>
      </c>
      <c r="C117" s="20" t="n">
        <v>125393882</v>
      </c>
      <c r="D117" s="20" t="inlineStr">
        <is>
          <t>0.002110</t>
        </is>
      </c>
      <c r="E117" s="20" t="inlineStr">
        <is>
          <t>4.079 SOL</t>
        </is>
      </c>
      <c r="F117" s="20" t="inlineStr">
        <is>
          <t>5.088 SOL</t>
        </is>
      </c>
      <c r="G117" s="22" t="inlineStr">
        <is>
          <t>1.007 SOL</t>
        </is>
      </c>
      <c r="H117" s="22" t="inlineStr">
        <is>
          <t>24.66%</t>
        </is>
      </c>
      <c r="I117" s="20" t="inlineStr">
        <is>
          <t>N/A</t>
        </is>
      </c>
      <c r="J117" s="20" t="n">
        <v>1</v>
      </c>
      <c r="K117" s="20" t="n">
        <v>1</v>
      </c>
      <c r="L117" s="20" t="inlineStr">
        <is>
          <t>29.10.2024 03:00:58</t>
        </is>
      </c>
      <c r="M117" s="18" t="inlineStr">
        <is>
          <t>6 sec</t>
        </is>
      </c>
      <c r="N117" s="20" t="inlineStr">
        <is>
          <t xml:space="preserve">          5K             7K             5K</t>
        </is>
      </c>
      <c r="O117" s="20" t="inlineStr">
        <is>
          <t>7PVCPGx2aUiUVCdx6qXmFceZorWhR3zRKnCHyuthpump</t>
        </is>
      </c>
      <c r="P117" s="20">
        <f>HYPERLINK("https://photon-sol.tinyastro.io/en/lp/7PVCPGx2aUiUVCdx6qXmFceZorWhR3zRKnCHyuthpump?handle=676050794bc1b1657a56b", "View")</f>
        <v/>
      </c>
    </row>
    <row r="118">
      <c r="A118" s="15" t="inlineStr">
        <is>
          <t>niad</t>
        </is>
      </c>
      <c r="B118" s="16" t="n">
        <v>96437649</v>
      </c>
      <c r="C118" s="16" t="n">
        <v>96437649</v>
      </c>
      <c r="D118" s="16" t="inlineStr">
        <is>
          <t>0.002110</t>
        </is>
      </c>
      <c r="E118" s="16" t="inlineStr">
        <is>
          <t>3.060 SOL</t>
        </is>
      </c>
      <c r="F118" s="16" t="inlineStr">
        <is>
          <t>4.015 SOL</t>
        </is>
      </c>
      <c r="G118" s="22" t="inlineStr">
        <is>
          <t>0.953 SOL</t>
        </is>
      </c>
      <c r="H118" s="22" t="inlineStr">
        <is>
          <t>31.11%</t>
        </is>
      </c>
      <c r="I118" s="16" t="inlineStr">
        <is>
          <t>N/A</t>
        </is>
      </c>
      <c r="J118" s="16" t="n">
        <v>1</v>
      </c>
      <c r="K118" s="16" t="n">
        <v>1</v>
      </c>
      <c r="L118" s="16" t="inlineStr">
        <is>
          <t>29.10.2024 02:59:38</t>
        </is>
      </c>
      <c r="M118" s="18" t="inlineStr">
        <is>
          <t>7 sec</t>
        </is>
      </c>
      <c r="N118" s="16" t="inlineStr">
        <is>
          <t xml:space="preserve">          5K             7K             5K</t>
        </is>
      </c>
      <c r="O118" s="16" t="inlineStr">
        <is>
          <t>9ngGsx5VUE5Apy3tKSWkReGFM85oa5WquFp7vtPZpump</t>
        </is>
      </c>
      <c r="P118" s="16">
        <f>HYPERLINK("https://photon-sol.tinyastro.io/en/lp/9ngGsx5VUE5Apy3tKSWkReGFM85oa5WquFp7vtPZpump?handle=676050794bc1b1657a56b", "View")</f>
        <v/>
      </c>
    </row>
    <row r="119">
      <c r="A119" s="19" t="inlineStr">
        <is>
          <t>LB</t>
        </is>
      </c>
      <c r="B119" s="20" t="n">
        <v>91273678</v>
      </c>
      <c r="C119" s="20" t="n">
        <v>91273678</v>
      </c>
      <c r="D119" s="20" t="inlineStr">
        <is>
          <t>0.036060</t>
        </is>
      </c>
      <c r="E119" s="20" t="inlineStr">
        <is>
          <t>3.060 SOL</t>
        </is>
      </c>
      <c r="F119" s="20" t="inlineStr">
        <is>
          <t>3.808 SOL</t>
        </is>
      </c>
      <c r="G119" s="22" t="inlineStr">
        <is>
          <t>0.712 SOL</t>
        </is>
      </c>
      <c r="H119" s="22" t="inlineStr">
        <is>
          <t>22.98%</t>
        </is>
      </c>
      <c r="I119" s="20" t="inlineStr">
        <is>
          <t>N/A</t>
        </is>
      </c>
      <c r="J119" s="20" t="n">
        <v>1</v>
      </c>
      <c r="K119" s="20" t="n">
        <v>1</v>
      </c>
      <c r="L119" s="20" t="inlineStr">
        <is>
          <t>29.10.2024 02:57:36</t>
        </is>
      </c>
      <c r="M119" s="18" t="inlineStr">
        <is>
          <t>8 sec</t>
        </is>
      </c>
      <c r="N119" s="20" t="inlineStr">
        <is>
          <t xml:space="preserve">          5K             7K             5K</t>
        </is>
      </c>
      <c r="O119" s="20" t="inlineStr">
        <is>
          <t>CLJ5MDiXGJvmZo7ue9MmPDaYGPWXUFA8yay2o2Yfpump</t>
        </is>
      </c>
      <c r="P119" s="20">
        <f>HYPERLINK("https://photon-sol.tinyastro.io/en/lp/CLJ5MDiXGJvmZo7ue9MmPDaYGPWXUFA8yay2o2Yfpump?handle=676050794bc1b1657a56b", "View")</f>
        <v/>
      </c>
    </row>
    <row r="120">
      <c r="A120" s="15" t="inlineStr">
        <is>
          <t>HNYAN</t>
        </is>
      </c>
      <c r="B120" s="16" t="n">
        <v>16695332</v>
      </c>
      <c r="C120" s="16" t="n">
        <v>16695332</v>
      </c>
      <c r="D120" s="16" t="inlineStr">
        <is>
          <t>0.002110</t>
        </is>
      </c>
      <c r="E120" s="16" t="inlineStr">
        <is>
          <t>1.817 SOL</t>
        </is>
      </c>
      <c r="F120" s="16" t="inlineStr">
        <is>
          <t>3.149 SOL</t>
        </is>
      </c>
      <c r="G120" s="23" t="inlineStr">
        <is>
          <t>1.330 SOL</t>
        </is>
      </c>
      <c r="H120" s="23" t="inlineStr">
        <is>
          <t>73.09%</t>
        </is>
      </c>
      <c r="I120" s="16" t="inlineStr">
        <is>
          <t>N/A</t>
        </is>
      </c>
      <c r="J120" s="16" t="n">
        <v>1</v>
      </c>
      <c r="K120" s="16" t="n">
        <v>1</v>
      </c>
      <c r="L120" s="16" t="inlineStr">
        <is>
          <t>29.10.2024 02:54:55</t>
        </is>
      </c>
      <c r="M120" s="16" t="inlineStr">
        <is>
          <t>1 min</t>
        </is>
      </c>
      <c r="N120" s="16" t="inlineStr">
        <is>
          <t xml:space="preserve">         19K            33K             4K</t>
        </is>
      </c>
      <c r="O120" s="16" t="inlineStr">
        <is>
          <t>BKjCZPiN5CgB97sndGNFH3rPiGWP1i6WmUN6uDcbpump</t>
        </is>
      </c>
      <c r="P120" s="16">
        <f>HYPERLINK("https://photon-sol.tinyastro.io/en/lp/BKjCZPiN5CgB97sndGNFH3rPiGWP1i6WmUN6uDcbpump?handle=676050794bc1b1657a56b", "View")</f>
        <v/>
      </c>
    </row>
    <row r="121">
      <c r="A121" s="19" t="inlineStr">
        <is>
          <t>SAFETY</t>
        </is>
      </c>
      <c r="B121" s="20" t="n">
        <v>22541771</v>
      </c>
      <c r="C121" s="20" t="n">
        <v>22541771</v>
      </c>
      <c r="D121" s="20" t="inlineStr">
        <is>
          <t>0.036060</t>
        </is>
      </c>
      <c r="E121" s="20" t="inlineStr">
        <is>
          <t>1.343 SOL</t>
        </is>
      </c>
      <c r="F121" s="20" t="inlineStr">
        <is>
          <t>0.912 SOL</t>
        </is>
      </c>
      <c r="G121" s="21" t="inlineStr">
        <is>
          <t>-0.466 SOL</t>
        </is>
      </c>
      <c r="H121" s="21" t="inlineStr">
        <is>
          <t>-33.81%</t>
        </is>
      </c>
      <c r="I121" s="20" t="inlineStr">
        <is>
          <t>N/A</t>
        </is>
      </c>
      <c r="J121" s="20" t="n">
        <v>1</v>
      </c>
      <c r="K121" s="20" t="n">
        <v>1</v>
      </c>
      <c r="L121" s="20" t="inlineStr">
        <is>
          <t>29.10.2024 02:37:40</t>
        </is>
      </c>
      <c r="M121" s="18" t="inlineStr">
        <is>
          <t>6 sec</t>
        </is>
      </c>
      <c r="N121" s="20" t="inlineStr">
        <is>
          <t xml:space="preserve">         11K             7K             5K</t>
        </is>
      </c>
      <c r="O121" s="20" t="inlineStr">
        <is>
          <t>Fh1YJ5C5gKYhce66FNivc3EQxv1YhbwzbPaY1Amkpump</t>
        </is>
      </c>
      <c r="P121" s="20">
        <f>HYPERLINK("https://photon-sol.tinyastro.io/en/lp/Fh1YJ5C5gKYhce66FNivc3EQxv1YhbwzbPaY1Amkpump?handle=676050794bc1b1657a56b", "View")</f>
        <v/>
      </c>
    </row>
    <row r="122">
      <c r="A122" s="15" t="inlineStr">
        <is>
          <t>Good</t>
        </is>
      </c>
      <c r="B122" s="16" t="n">
        <v>39353167</v>
      </c>
      <c r="C122" s="16" t="n">
        <v>39353167</v>
      </c>
      <c r="D122" s="16" t="inlineStr">
        <is>
          <t>0.002110</t>
        </is>
      </c>
      <c r="E122" s="16" t="inlineStr">
        <is>
          <t>1.532 SOL</t>
        </is>
      </c>
      <c r="F122" s="16" t="inlineStr">
        <is>
          <t>2.000 SOL</t>
        </is>
      </c>
      <c r="G122" s="22" t="inlineStr">
        <is>
          <t>0.466 SOL</t>
        </is>
      </c>
      <c r="H122" s="22" t="inlineStr">
        <is>
          <t>30.37%</t>
        </is>
      </c>
      <c r="I122" s="16" t="inlineStr">
        <is>
          <t>N/A</t>
        </is>
      </c>
      <c r="J122" s="16" t="n">
        <v>1</v>
      </c>
      <c r="K122" s="16" t="n">
        <v>1</v>
      </c>
      <c r="L122" s="16" t="inlineStr">
        <is>
          <t>29.10.2024 02:31:52</t>
        </is>
      </c>
      <c r="M122" s="18" t="inlineStr">
        <is>
          <t>9 sec</t>
        </is>
      </c>
      <c r="N122" s="16" t="inlineStr">
        <is>
          <t xml:space="preserve">          7K             9K             5K</t>
        </is>
      </c>
      <c r="O122" s="16" t="inlineStr">
        <is>
          <t>EuMR65gnDBZVbjGseyAWSjEyWQu3n4rovPMCEM8Epump</t>
        </is>
      </c>
      <c r="P122" s="16">
        <f>HYPERLINK("https://photon-sol.tinyastro.io/en/lp/EuMR65gnDBZVbjGseyAWSjEyWQu3n4rovPMCEM8Epump?handle=676050794bc1b1657a56b", "View")</f>
        <v/>
      </c>
    </row>
    <row r="123">
      <c r="A123" s="19" t="inlineStr">
        <is>
          <t>ASCII</t>
        </is>
      </c>
      <c r="B123" s="20" t="n">
        <v>36493030</v>
      </c>
      <c r="C123" s="20" t="n">
        <v>36493030</v>
      </c>
      <c r="D123" s="20" t="inlineStr">
        <is>
          <t>0.036060</t>
        </is>
      </c>
      <c r="E123" s="20" t="inlineStr">
        <is>
          <t>1.699 SOL</t>
        </is>
      </c>
      <c r="F123" s="20" t="inlineStr">
        <is>
          <t>2.027 SOL</t>
        </is>
      </c>
      <c r="G123" s="22" t="inlineStr">
        <is>
          <t>0.292 SOL</t>
        </is>
      </c>
      <c r="H123" s="22" t="inlineStr">
        <is>
          <t>16.84%</t>
        </is>
      </c>
      <c r="I123" s="20" t="inlineStr">
        <is>
          <t>N/A</t>
        </is>
      </c>
      <c r="J123" s="20" t="n">
        <v>1</v>
      </c>
      <c r="K123" s="20" t="n">
        <v>1</v>
      </c>
      <c r="L123" s="20" t="inlineStr">
        <is>
          <t>29.10.2024 02:31:14</t>
        </is>
      </c>
      <c r="M123" s="18" t="inlineStr">
        <is>
          <t>19 sec</t>
        </is>
      </c>
      <c r="N123" s="20" t="inlineStr">
        <is>
          <t xml:space="preserve">          9K            11K             4K</t>
        </is>
      </c>
      <c r="O123" s="20" t="inlineStr">
        <is>
          <t>fRR2kmbzcpKJffYApnbsDR5sneYe6XHAQc9zbNypump</t>
        </is>
      </c>
      <c r="P123" s="20">
        <f>HYPERLINK("https://photon-sol.tinyastro.io/en/lp/fRR2kmbzcpKJffYApnbsDR5sneYe6XHAQc9zbNypump?handle=676050794bc1b1657a56b", "View")</f>
        <v/>
      </c>
    </row>
    <row r="124">
      <c r="A124" s="15" t="inlineStr">
        <is>
          <t>DoG</t>
        </is>
      </c>
      <c r="B124" s="16" t="n">
        <v>29445662</v>
      </c>
      <c r="C124" s="16" t="n">
        <v>29445662</v>
      </c>
      <c r="D124" s="16" t="inlineStr">
        <is>
          <t>0.002110</t>
        </is>
      </c>
      <c r="E124" s="16" t="inlineStr">
        <is>
          <t>1.532 SOL</t>
        </is>
      </c>
      <c r="F124" s="16" t="inlineStr">
        <is>
          <t>2.089 SOL</t>
        </is>
      </c>
      <c r="G124" s="22" t="inlineStr">
        <is>
          <t>0.555 SOL</t>
        </is>
      </c>
      <c r="H124" s="22" t="inlineStr">
        <is>
          <t>36.22%</t>
        </is>
      </c>
      <c r="I124" s="16" t="inlineStr">
        <is>
          <t>N/A</t>
        </is>
      </c>
      <c r="J124" s="16" t="n">
        <v>1</v>
      </c>
      <c r="K124" s="16" t="n">
        <v>1</v>
      </c>
      <c r="L124" s="16" t="inlineStr">
        <is>
          <t>29.10.2024 02:26:51</t>
        </is>
      </c>
      <c r="M124" s="18" t="inlineStr">
        <is>
          <t>25 sec</t>
        </is>
      </c>
      <c r="N124" s="16" t="inlineStr">
        <is>
          <t xml:space="preserve">          9K            12K             5K</t>
        </is>
      </c>
      <c r="O124" s="16" t="inlineStr">
        <is>
          <t>CYorKNWqf8Apy3vV7ajV26Aam4pU9dJMLrsQaPjJpump</t>
        </is>
      </c>
      <c r="P124" s="16">
        <f>HYPERLINK("https://photon-sol.tinyastro.io/en/lp/CYorKNWqf8Apy3vV7ajV26Aam4pU9dJMLrsQaPjJpump?handle=676050794bc1b1657a56b", "View")</f>
        <v/>
      </c>
    </row>
    <row r="125">
      <c r="A125" s="19" t="inlineStr">
        <is>
          <t>ZOE</t>
        </is>
      </c>
      <c r="B125" s="20" t="n">
        <v>38608503</v>
      </c>
      <c r="C125" s="20" t="n">
        <v>38608503</v>
      </c>
      <c r="D125" s="20" t="inlineStr">
        <is>
          <t>0.002110</t>
        </is>
      </c>
      <c r="E125" s="20" t="inlineStr">
        <is>
          <t>1.268 SOL</t>
        </is>
      </c>
      <c r="F125" s="20" t="inlineStr">
        <is>
          <t>1.722 SOL</t>
        </is>
      </c>
      <c r="G125" s="22" t="inlineStr">
        <is>
          <t>0.452 SOL</t>
        </is>
      </c>
      <c r="H125" s="22" t="inlineStr">
        <is>
          <t>35.61%</t>
        </is>
      </c>
      <c r="I125" s="20" t="inlineStr">
        <is>
          <t>N/A</t>
        </is>
      </c>
      <c r="J125" s="20" t="n">
        <v>1</v>
      </c>
      <c r="K125" s="20" t="n">
        <v>1</v>
      </c>
      <c r="L125" s="20" t="inlineStr">
        <is>
          <t>29.10.2024 02:23:07</t>
        </is>
      </c>
      <c r="M125" s="18" t="inlineStr">
        <is>
          <t>12 sec</t>
        </is>
      </c>
      <c r="N125" s="20" t="inlineStr">
        <is>
          <t xml:space="preserve">          5K             7K             5K</t>
        </is>
      </c>
      <c r="O125" s="20" t="inlineStr">
        <is>
          <t>GJBqGuhWsGcr5i3rvGi2nutxmYYMGyK3c2iywQAYpump</t>
        </is>
      </c>
      <c r="P125" s="20">
        <f>HYPERLINK("https://photon-sol.tinyastro.io/en/lp/GJBqGuhWsGcr5i3rvGi2nutxmYYMGyK3c2iywQAYpump?handle=676050794bc1b1657a56b", "View")</f>
        <v/>
      </c>
    </row>
    <row r="126">
      <c r="A126" s="15" t="inlineStr">
        <is>
          <t>Hoblo</t>
        </is>
      </c>
      <c r="B126" s="16" t="n">
        <v>16916867</v>
      </c>
      <c r="C126" s="16" t="n">
        <v>16916867</v>
      </c>
      <c r="D126" s="16" t="inlineStr">
        <is>
          <t>0.002110</t>
        </is>
      </c>
      <c r="E126" s="16" t="inlineStr">
        <is>
          <t>1.582 SOL</t>
        </is>
      </c>
      <c r="F126" s="16" t="inlineStr">
        <is>
          <t>1.194 SOL</t>
        </is>
      </c>
      <c r="G126" s="21" t="inlineStr">
        <is>
          <t>-0.390 SOL</t>
        </is>
      </c>
      <c r="H126" s="21" t="inlineStr">
        <is>
          <t>-24.60%</t>
        </is>
      </c>
      <c r="I126" s="16" t="inlineStr">
        <is>
          <t>N/A</t>
        </is>
      </c>
      <c r="J126" s="16" t="n">
        <v>1</v>
      </c>
      <c r="K126" s="16" t="n">
        <v>1</v>
      </c>
      <c r="L126" s="16" t="inlineStr">
        <is>
          <t>28.10.2024 20:10:51</t>
        </is>
      </c>
      <c r="M126" s="18" t="inlineStr">
        <is>
          <t>52 sec</t>
        </is>
      </c>
      <c r="N126" s="16" t="inlineStr">
        <is>
          <t xml:space="preserve">         16K            12K             5K</t>
        </is>
      </c>
      <c r="O126" s="16" t="inlineStr">
        <is>
          <t>2Hs9uRdyx1Ljb8tAbXkg4ow4fmb9ex6Cat2oQvuPpump</t>
        </is>
      </c>
      <c r="P126" s="16">
        <f>HYPERLINK("https://photon-sol.tinyastro.io/en/lp/2Hs9uRdyx1Ljb8tAbXkg4ow4fmb9ex6Cat2oQvuPpump?handle=676050794bc1b1657a56b", "View")</f>
        <v/>
      </c>
    </row>
    <row r="127">
      <c r="A127" s="19" t="inlineStr">
        <is>
          <t>Sol-Chan</t>
        </is>
      </c>
      <c r="B127" s="20" t="n">
        <v>60662817</v>
      </c>
      <c r="C127" s="20" t="n">
        <v>60662817</v>
      </c>
      <c r="D127" s="20" t="inlineStr">
        <is>
          <t>0.002110</t>
        </is>
      </c>
      <c r="E127" s="20" t="inlineStr">
        <is>
          <t>2.041 SOL</t>
        </is>
      </c>
      <c r="F127" s="20" t="inlineStr">
        <is>
          <t>2.210 SOL</t>
        </is>
      </c>
      <c r="G127" s="22" t="inlineStr">
        <is>
          <t>0.167 SOL</t>
        </is>
      </c>
      <c r="H127" s="22" t="inlineStr">
        <is>
          <t>8.17%</t>
        </is>
      </c>
      <c r="I127" s="20" t="inlineStr">
        <is>
          <t>N/A</t>
        </is>
      </c>
      <c r="J127" s="20" t="n">
        <v>1</v>
      </c>
      <c r="K127" s="20" t="n">
        <v>1</v>
      </c>
      <c r="L127" s="20" t="inlineStr">
        <is>
          <t>28.10.2024 20:08:21</t>
        </is>
      </c>
      <c r="M127" s="18" t="inlineStr">
        <is>
          <t>8 sec</t>
        </is>
      </c>
      <c r="N127" s="20" t="inlineStr">
        <is>
          <t xml:space="preserve">          5K             7K             5K</t>
        </is>
      </c>
      <c r="O127" s="20" t="inlineStr">
        <is>
          <t>AdjjgK6xfPTASwZN8wtGn2Fxya87k4PVQXJ6rrxRpump</t>
        </is>
      </c>
      <c r="P127" s="20">
        <f>HYPERLINK("https://photon-sol.tinyastro.io/en/lp/AdjjgK6xfPTASwZN8wtGn2Fxya87k4PVQXJ6rrxRpump?handle=676050794bc1b1657a56b", "View")</f>
        <v/>
      </c>
    </row>
    <row r="128">
      <c r="A128" s="15" t="inlineStr">
        <is>
          <t>DIY</t>
        </is>
      </c>
      <c r="B128" s="16" t="n">
        <v>24525530</v>
      </c>
      <c r="C128" s="16" t="n">
        <v>24525530</v>
      </c>
      <c r="D128" s="16" t="inlineStr">
        <is>
          <t>0.002110</t>
        </is>
      </c>
      <c r="E128" s="16" t="inlineStr">
        <is>
          <t>1.532 SOL</t>
        </is>
      </c>
      <c r="F128" s="16" t="inlineStr">
        <is>
          <t>1.059 SOL</t>
        </is>
      </c>
      <c r="G128" s="21" t="inlineStr">
        <is>
          <t>-0.474 SOL</t>
        </is>
      </c>
      <c r="H128" s="21" t="inlineStr">
        <is>
          <t>-30.93%</t>
        </is>
      </c>
      <c r="I128" s="16" t="inlineStr">
        <is>
          <t>N/A</t>
        </is>
      </c>
      <c r="J128" s="16" t="n">
        <v>1</v>
      </c>
      <c r="K128" s="16" t="n">
        <v>1</v>
      </c>
      <c r="L128" s="16" t="inlineStr">
        <is>
          <t>28.10.2024 20:05:52</t>
        </is>
      </c>
      <c r="M128" s="18" t="inlineStr">
        <is>
          <t>22 sec</t>
        </is>
      </c>
      <c r="N128" s="16" t="inlineStr">
        <is>
          <t xml:space="preserve">         11K             7K             5K</t>
        </is>
      </c>
      <c r="O128" s="16" t="inlineStr">
        <is>
          <t>ABeZiXL9qvrXpnUJcdZtVGnhW6Xiu8BPz1Xbrfk7pump</t>
        </is>
      </c>
      <c r="P128" s="16">
        <f>HYPERLINK("https://photon-sol.tinyastro.io/en/lp/ABeZiXL9qvrXpnUJcdZtVGnhW6Xiu8BPz1Xbrfk7pump?handle=676050794bc1b1657a56b", "View")</f>
        <v/>
      </c>
    </row>
    <row r="129">
      <c r="A129" s="19" t="inlineStr">
        <is>
          <t>RTRD</t>
        </is>
      </c>
      <c r="B129" s="20" t="n">
        <v>50870038</v>
      </c>
      <c r="C129" s="20" t="n">
        <v>50870038</v>
      </c>
      <c r="D129" s="20" t="inlineStr">
        <is>
          <t>0.039230</t>
        </is>
      </c>
      <c r="E129" s="20" t="inlineStr">
        <is>
          <t>3.349 SOL</t>
        </is>
      </c>
      <c r="F129" s="20" t="inlineStr">
        <is>
          <t>4.286 SOL</t>
        </is>
      </c>
      <c r="G129" s="22" t="inlineStr">
        <is>
          <t>0.898 SOL</t>
        </is>
      </c>
      <c r="H129" s="22" t="inlineStr">
        <is>
          <t>26.51%</t>
        </is>
      </c>
      <c r="I129" s="20" t="inlineStr">
        <is>
          <t>N/A</t>
        </is>
      </c>
      <c r="J129" s="20" t="n">
        <v>2</v>
      </c>
      <c r="K129" s="20" t="n">
        <v>3</v>
      </c>
      <c r="L129" s="20" t="inlineStr">
        <is>
          <t>28.10.2024 20:02:14</t>
        </is>
      </c>
      <c r="M129" s="20" t="inlineStr">
        <is>
          <t>5 min</t>
        </is>
      </c>
      <c r="N129" s="20" t="inlineStr">
        <is>
          <t xml:space="preserve">         12K            12K             5K</t>
        </is>
      </c>
      <c r="O129" s="20" t="inlineStr">
        <is>
          <t>BKUY91nC1NSgggKrBb2zwajfSsKWDNyN9hnpWVfUpump</t>
        </is>
      </c>
      <c r="P129" s="20">
        <f>HYPERLINK("https://photon-sol.tinyastro.io/en/lp/BKUY91nC1NSgggKrBb2zwajfSsKWDNyN9hnpWVfUpump?handle=676050794bc1b1657a56b", "View")</f>
        <v/>
      </c>
    </row>
    <row r="130">
      <c r="A130" s="15" t="inlineStr">
        <is>
          <t>BBC</t>
        </is>
      </c>
      <c r="B130" s="16" t="n">
        <v>65944986</v>
      </c>
      <c r="C130" s="16" t="n">
        <v>65944986</v>
      </c>
      <c r="D130" s="16" t="inlineStr">
        <is>
          <t>0.002110</t>
        </is>
      </c>
      <c r="E130" s="16" t="inlineStr">
        <is>
          <t>2.041 SOL</t>
        </is>
      </c>
      <c r="F130" s="16" t="inlineStr">
        <is>
          <t>2.221 SOL</t>
        </is>
      </c>
      <c r="G130" s="22" t="inlineStr">
        <is>
          <t>0.178 SOL</t>
        </is>
      </c>
      <c r="H130" s="22" t="inlineStr">
        <is>
          <t>8.72%</t>
        </is>
      </c>
      <c r="I130" s="16" t="inlineStr">
        <is>
          <t>N/A</t>
        </is>
      </c>
      <c r="J130" s="16" t="n">
        <v>1</v>
      </c>
      <c r="K130" s="16" t="n">
        <v>1</v>
      </c>
      <c r="L130" s="16" t="inlineStr">
        <is>
          <t>28.10.2024 19:48:36</t>
        </is>
      </c>
      <c r="M130" s="18" t="inlineStr">
        <is>
          <t>4 sec</t>
        </is>
      </c>
      <c r="N130" s="16" t="inlineStr">
        <is>
          <t xml:space="preserve">          5K             5K             5K</t>
        </is>
      </c>
      <c r="O130" s="16" t="inlineStr">
        <is>
          <t>A7kB4n2Hgb8CgXQ6sVykTw4TdNNWzzaiQSNG16Mrpump</t>
        </is>
      </c>
      <c r="P130" s="16">
        <f>HYPERLINK("https://photon-sol.tinyastro.io/en/lp/A7kB4n2Hgb8CgXQ6sVykTw4TdNNWzzaiQSNG16Mrpump?handle=676050794bc1b1657a56b", "View")</f>
        <v/>
      </c>
    </row>
    <row r="131">
      <c r="A131" s="19" t="inlineStr">
        <is>
          <t>YONCE</t>
        </is>
      </c>
      <c r="B131" s="20" t="n">
        <v>21382736</v>
      </c>
      <c r="C131" s="20" t="n">
        <v>21382736</v>
      </c>
      <c r="D131" s="20" t="inlineStr">
        <is>
          <t>0.002110</t>
        </is>
      </c>
      <c r="E131" s="20" t="inlineStr">
        <is>
          <t>1.693 SOL</t>
        </is>
      </c>
      <c r="F131" s="20" t="inlineStr">
        <is>
          <t>2.372 SOL</t>
        </is>
      </c>
      <c r="G131" s="22" t="inlineStr">
        <is>
          <t>0.677 SOL</t>
        </is>
      </c>
      <c r="H131" s="22" t="inlineStr">
        <is>
          <t>39.91%</t>
        </is>
      </c>
      <c r="I131" s="20" t="inlineStr">
        <is>
          <t>N/A</t>
        </is>
      </c>
      <c r="J131" s="20" t="n">
        <v>1</v>
      </c>
      <c r="K131" s="20" t="n">
        <v>1</v>
      </c>
      <c r="L131" s="20" t="inlineStr">
        <is>
          <t>28.10.2024 19:45:29</t>
        </is>
      </c>
      <c r="M131" s="18" t="inlineStr">
        <is>
          <t>16 sec</t>
        </is>
      </c>
      <c r="N131" s="20" t="inlineStr">
        <is>
          <t xml:space="preserve">         14K            14K             5K</t>
        </is>
      </c>
      <c r="O131" s="20" t="inlineStr">
        <is>
          <t>2bjiRsPiwLKQXdEmegdQ26UMPx4V13DrHEFQUmLNpump</t>
        </is>
      </c>
      <c r="P131" s="20">
        <f>HYPERLINK("https://photon-sol.tinyastro.io/en/lp/2bjiRsPiwLKQXdEmegdQ26UMPx4V13DrHEFQUmLNpump?handle=676050794bc1b1657a56b", "View")</f>
        <v/>
      </c>
    </row>
    <row r="132">
      <c r="A132" s="15" t="inlineStr">
        <is>
          <t>DEXS</t>
        </is>
      </c>
      <c r="B132" s="16" t="n">
        <v>33721962</v>
      </c>
      <c r="C132" s="16" t="n">
        <v>33721962</v>
      </c>
      <c r="D132" s="16" t="inlineStr">
        <is>
          <t>0.037120</t>
        </is>
      </c>
      <c r="E132" s="16" t="inlineStr">
        <is>
          <t>1.532 SOL</t>
        </is>
      </c>
      <c r="F132" s="16" t="inlineStr">
        <is>
          <t>4.074 SOL</t>
        </is>
      </c>
      <c r="G132" s="23" t="inlineStr">
        <is>
          <t>2.505 SOL</t>
        </is>
      </c>
      <c r="H132" s="23" t="inlineStr">
        <is>
          <t>159.69%</t>
        </is>
      </c>
      <c r="I132" s="16" t="inlineStr">
        <is>
          <t>N/A</t>
        </is>
      </c>
      <c r="J132" s="16" t="n">
        <v>1</v>
      </c>
      <c r="K132" s="16" t="n">
        <v>2</v>
      </c>
      <c r="L132" s="16" t="inlineStr">
        <is>
          <t>28.10.2024 19:44:41</t>
        </is>
      </c>
      <c r="M132" s="16" t="inlineStr">
        <is>
          <t>1 min</t>
        </is>
      </c>
      <c r="N132" s="16" t="inlineStr">
        <is>
          <t xml:space="preserve">          9K            19K             4K</t>
        </is>
      </c>
      <c r="O132" s="16" t="inlineStr">
        <is>
          <t>DaKE5iPk7jqUGLd8Xs8wnQFmYobk1CHxHRzdzdGnpump</t>
        </is>
      </c>
      <c r="P132" s="16">
        <f>HYPERLINK("https://photon-sol.tinyastro.io/en/lp/DaKE5iPk7jqUGLd8Xs8wnQFmYobk1CHxHRzdzdGnpump?handle=676050794bc1b1657a56b", "View")</f>
        <v/>
      </c>
    </row>
    <row r="133">
      <c r="A133" s="19" t="inlineStr">
        <is>
          <t>BTC-Chan)</t>
        </is>
      </c>
      <c r="B133" s="20" t="n">
        <v>97545455</v>
      </c>
      <c r="C133" s="20" t="n">
        <v>97545455</v>
      </c>
      <c r="D133" s="20" t="inlineStr">
        <is>
          <t>0.002110</t>
        </is>
      </c>
      <c r="E133" s="20" t="inlineStr">
        <is>
          <t>3.060 SOL</t>
        </is>
      </c>
      <c r="F133" s="20" t="inlineStr">
        <is>
          <t>3.328 SOL</t>
        </is>
      </c>
      <c r="G133" s="22" t="inlineStr">
        <is>
          <t>0.266 SOL</t>
        </is>
      </c>
      <c r="H133" s="22" t="inlineStr">
        <is>
          <t>8.68%</t>
        </is>
      </c>
      <c r="I133" s="20" t="inlineStr">
        <is>
          <t>N/A</t>
        </is>
      </c>
      <c r="J133" s="20" t="n">
        <v>1</v>
      </c>
      <c r="K133" s="20" t="n">
        <v>1</v>
      </c>
      <c r="L133" s="20" t="inlineStr">
        <is>
          <t>28.10.2024 19:39:27</t>
        </is>
      </c>
      <c r="M133" s="18" t="inlineStr">
        <is>
          <t>5 sec</t>
        </is>
      </c>
      <c r="N133" s="20" t="inlineStr">
        <is>
          <t xml:space="preserve">          5K             5K             5K</t>
        </is>
      </c>
      <c r="O133" s="20" t="inlineStr">
        <is>
          <t>7yihwYR49LrpH36kL39mnjdu6RvAYsgva5RtArWPpump</t>
        </is>
      </c>
      <c r="P133" s="20">
        <f>HYPERLINK("https://photon-sol.tinyastro.io/en/lp/7yihwYR49LrpH36kL39mnjdu6RvAYsgva5RtArWPpump?handle=676050794bc1b1657a56b", "View")</f>
        <v/>
      </c>
    </row>
    <row r="134">
      <c r="A134" s="15" t="inlineStr">
        <is>
          <t>psycho</t>
        </is>
      </c>
      <c r="B134" s="16" t="n">
        <v>95916243</v>
      </c>
      <c r="C134" s="16" t="n">
        <v>95916243</v>
      </c>
      <c r="D134" s="16" t="inlineStr">
        <is>
          <t>0.036060</t>
        </is>
      </c>
      <c r="E134" s="16" t="inlineStr">
        <is>
          <t>3.094 SOL</t>
        </is>
      </c>
      <c r="F134" s="16" t="inlineStr">
        <is>
          <t>4.132 SOL</t>
        </is>
      </c>
      <c r="G134" s="22" t="inlineStr">
        <is>
          <t>1.002 SOL</t>
        </is>
      </c>
      <c r="H134" s="22" t="inlineStr">
        <is>
          <t>32.00%</t>
        </is>
      </c>
      <c r="I134" s="16" t="inlineStr">
        <is>
          <t>N/A</t>
        </is>
      </c>
      <c r="J134" s="16" t="n">
        <v>1</v>
      </c>
      <c r="K134" s="16" t="n">
        <v>1</v>
      </c>
      <c r="L134" s="16" t="inlineStr">
        <is>
          <t>28.10.2024 19:37:23</t>
        </is>
      </c>
      <c r="M134" s="18" t="inlineStr">
        <is>
          <t>4 sec</t>
        </is>
      </c>
      <c r="N134" s="16" t="inlineStr">
        <is>
          <t xml:space="preserve">          5K             7K             5K</t>
        </is>
      </c>
      <c r="O134" s="16" t="inlineStr">
        <is>
          <t>7gS1pMqJ7TACDbFAiNfcN78vr1ZkXp4X1RLJ1WC7nB2U</t>
        </is>
      </c>
      <c r="P134" s="16">
        <f>HYPERLINK("https://photon-sol.tinyastro.io/en/lp/7gS1pMqJ7TACDbFAiNfcN78vr1ZkXp4X1RLJ1WC7nB2U?handle=676050794bc1b1657a56b", "View")</f>
        <v/>
      </c>
    </row>
    <row r="135">
      <c r="A135" s="19" t="inlineStr">
        <is>
          <t>harry</t>
        </is>
      </c>
      <c r="B135" s="20" t="n">
        <v>32071589</v>
      </c>
      <c r="C135" s="20" t="n">
        <v>32071589</v>
      </c>
      <c r="D135" s="20" t="inlineStr">
        <is>
          <t>0.002110</t>
        </is>
      </c>
      <c r="E135" s="20" t="inlineStr">
        <is>
          <t>1.532 SOL</t>
        </is>
      </c>
      <c r="F135" s="20" t="inlineStr">
        <is>
          <t>1.624 SOL</t>
        </is>
      </c>
      <c r="G135" s="22" t="inlineStr">
        <is>
          <t>0.090 SOL</t>
        </is>
      </c>
      <c r="H135" s="22" t="inlineStr">
        <is>
          <t>5.86%</t>
        </is>
      </c>
      <c r="I135" s="20" t="inlineStr">
        <is>
          <t>N/A</t>
        </is>
      </c>
      <c r="J135" s="20" t="n">
        <v>1</v>
      </c>
      <c r="K135" s="20" t="n">
        <v>1</v>
      </c>
      <c r="L135" s="20" t="inlineStr">
        <is>
          <t>28.10.2024 19:36:15</t>
        </is>
      </c>
      <c r="M135" s="18" t="inlineStr">
        <is>
          <t>30 sec</t>
        </is>
      </c>
      <c r="N135" s="20" t="inlineStr">
        <is>
          <t xml:space="preserve">          9K             9K             5K</t>
        </is>
      </c>
      <c r="O135" s="20" t="inlineStr">
        <is>
          <t>3aMRYc22tm44dNwMWCFW7h8CchMA4zJ1ww3piCFppump</t>
        </is>
      </c>
      <c r="P135" s="20">
        <f>HYPERLINK("https://photon-sol.tinyastro.io/en/lp/3aMRYc22tm44dNwMWCFW7h8CchMA4zJ1ww3piCFppump?handle=676050794bc1b1657a56b", "View")</f>
        <v/>
      </c>
    </row>
    <row r="136">
      <c r="A136" s="15" t="inlineStr">
        <is>
          <t>PUMPkinDEV</t>
        </is>
      </c>
      <c r="B136" s="16" t="n">
        <v>33202793</v>
      </c>
      <c r="C136" s="16" t="n">
        <v>33202793</v>
      </c>
      <c r="D136" s="16" t="inlineStr">
        <is>
          <t>0.003170</t>
        </is>
      </c>
      <c r="E136" s="16" t="inlineStr">
        <is>
          <t>1.600 SOL</t>
        </is>
      </c>
      <c r="F136" s="16" t="inlineStr">
        <is>
          <t>2.647 SOL</t>
        </is>
      </c>
      <c r="G136" s="23" t="inlineStr">
        <is>
          <t>1.044 SOL</t>
        </is>
      </c>
      <c r="H136" s="23" t="inlineStr">
        <is>
          <t>65.16%</t>
        </is>
      </c>
      <c r="I136" s="16" t="inlineStr">
        <is>
          <t>N/A</t>
        </is>
      </c>
      <c r="J136" s="16" t="n">
        <v>1</v>
      </c>
      <c r="K136" s="16" t="n">
        <v>2</v>
      </c>
      <c r="L136" s="16" t="inlineStr">
        <is>
          <t>28.10.2024 19:35:01</t>
        </is>
      </c>
      <c r="M136" s="18" t="inlineStr">
        <is>
          <t>48 sec</t>
        </is>
      </c>
      <c r="N136" s="16" t="inlineStr">
        <is>
          <t xml:space="preserve">          9K            14K             5K</t>
        </is>
      </c>
      <c r="O136" s="16" t="inlineStr">
        <is>
          <t>3X4eAaFXMCGTse8ABaWJfxGmfYoQC57uZJoqNVcApump</t>
        </is>
      </c>
      <c r="P136" s="16">
        <f>HYPERLINK("https://photon-sol.tinyastro.io/en/lp/3X4eAaFXMCGTse8ABaWJfxGmfYoQC57uZJoqNVcApump?handle=676050794bc1b1657a56b", "View")</f>
        <v/>
      </c>
    </row>
    <row r="137">
      <c r="A137" s="19" t="inlineStr">
        <is>
          <t>⋙⋙⋙</t>
        </is>
      </c>
      <c r="B137" s="20" t="n">
        <v>67055518</v>
      </c>
      <c r="C137" s="20" t="n">
        <v>67055518</v>
      </c>
      <c r="D137" s="20" t="inlineStr">
        <is>
          <t>0.002110</t>
        </is>
      </c>
      <c r="E137" s="20" t="inlineStr">
        <is>
          <t>2.041 SOL</t>
        </is>
      </c>
      <c r="F137" s="20" t="inlineStr">
        <is>
          <t>2.406 SOL</t>
        </is>
      </c>
      <c r="G137" s="22" t="inlineStr">
        <is>
          <t>0.363 SOL</t>
        </is>
      </c>
      <c r="H137" s="22" t="inlineStr">
        <is>
          <t>17.78%</t>
        </is>
      </c>
      <c r="I137" s="20" t="inlineStr">
        <is>
          <t>N/A</t>
        </is>
      </c>
      <c r="J137" s="20" t="n">
        <v>1</v>
      </c>
      <c r="K137" s="20" t="n">
        <v>1</v>
      </c>
      <c r="L137" s="20" t="inlineStr">
        <is>
          <t>28.10.2024 19:31:28</t>
        </is>
      </c>
      <c r="M137" s="18" t="inlineStr">
        <is>
          <t>9 sec</t>
        </is>
      </c>
      <c r="N137" s="20" t="inlineStr">
        <is>
          <t xml:space="preserve">          5K             7K             5K</t>
        </is>
      </c>
      <c r="O137" s="20" t="inlineStr">
        <is>
          <t>2wAoTRGy5yDaCey8rNTWLUjh72YLLPauSGJBJeLtpump</t>
        </is>
      </c>
      <c r="P137" s="20">
        <f>HYPERLINK("https://photon-sol.tinyastro.io/en/lp/2wAoTRGy5yDaCey8rNTWLUjh72YLLPauSGJBJeLtpump?handle=676050794bc1b1657a56b", "View")</f>
        <v/>
      </c>
    </row>
    <row r="138">
      <c r="A138" s="15" t="inlineStr">
        <is>
          <t>BACON</t>
        </is>
      </c>
      <c r="B138" s="16" t="n">
        <v>13965958</v>
      </c>
      <c r="C138" s="16" t="n">
        <v>13965958</v>
      </c>
      <c r="D138" s="16" t="inlineStr">
        <is>
          <t>0.002110</t>
        </is>
      </c>
      <c r="E138" s="16" t="inlineStr">
        <is>
          <t>1.575 SOL</t>
        </is>
      </c>
      <c r="F138" s="16" t="inlineStr">
        <is>
          <t>2.085 SOL</t>
        </is>
      </c>
      <c r="G138" s="22" t="inlineStr">
        <is>
          <t>0.508 SOL</t>
        </is>
      </c>
      <c r="H138" s="22" t="inlineStr">
        <is>
          <t>32.24%</t>
        </is>
      </c>
      <c r="I138" s="16" t="inlineStr">
        <is>
          <t>N/A</t>
        </is>
      </c>
      <c r="J138" s="16" t="n">
        <v>1</v>
      </c>
      <c r="K138" s="16" t="n">
        <v>1</v>
      </c>
      <c r="L138" s="16" t="inlineStr">
        <is>
          <t>28.10.2024 19:29:44</t>
        </is>
      </c>
      <c r="M138" s="18" t="inlineStr">
        <is>
          <t>21 sec</t>
        </is>
      </c>
      <c r="N138" s="16" t="inlineStr">
        <is>
          <t xml:space="preserve">         18K            25K            16K</t>
        </is>
      </c>
      <c r="O138" s="16" t="inlineStr">
        <is>
          <t>FJWNxkJ9PRQSzF7b8Mfgp72Xra3rdiRuBmL4udQGpump</t>
        </is>
      </c>
      <c r="P138" s="16">
        <f>HYPERLINK("https://photon-sol.tinyastro.io/en/lp/FJWNxkJ9PRQSzF7b8Mfgp72Xra3rdiRuBmL4udQGpump?handle=676050794bc1b1657a56b", "View")</f>
        <v/>
      </c>
    </row>
    <row r="139">
      <c r="A139" s="19" t="inlineStr">
        <is>
          <t>Stables</t>
        </is>
      </c>
      <c r="B139" s="20" t="n">
        <v>24572385</v>
      </c>
      <c r="C139" s="20" t="n">
        <v>24572385</v>
      </c>
      <c r="D139" s="20" t="inlineStr">
        <is>
          <t>0.002110</t>
        </is>
      </c>
      <c r="E139" s="20" t="inlineStr">
        <is>
          <t>1.532 SOL</t>
        </is>
      </c>
      <c r="F139" s="20" t="inlineStr">
        <is>
          <t>2.262 SOL</t>
        </is>
      </c>
      <c r="G139" s="22" t="inlineStr">
        <is>
          <t>0.728 SOL</t>
        </is>
      </c>
      <c r="H139" s="22" t="inlineStr">
        <is>
          <t>47.46%</t>
        </is>
      </c>
      <c r="I139" s="20" t="inlineStr">
        <is>
          <t>N/A</t>
        </is>
      </c>
      <c r="J139" s="20" t="n">
        <v>1</v>
      </c>
      <c r="K139" s="20" t="n">
        <v>1</v>
      </c>
      <c r="L139" s="20" t="inlineStr">
        <is>
          <t>28.10.2024 19:08:53</t>
        </is>
      </c>
      <c r="M139" s="18" t="inlineStr">
        <is>
          <t>20 sec</t>
        </is>
      </c>
      <c r="N139" s="20" t="inlineStr">
        <is>
          <t xml:space="preserve">         11K            11K             5K</t>
        </is>
      </c>
      <c r="O139" s="20" t="inlineStr">
        <is>
          <t>DdpVVqXLuLVfcuEjPxdNJbGcoFpopGysUXr1Pm5gpump</t>
        </is>
      </c>
      <c r="P139" s="20">
        <f>HYPERLINK("https://photon-sol.tinyastro.io/en/lp/DdpVVqXLuLVfcuEjPxdNJbGcoFpopGysUXr1Pm5gpump?handle=676050794bc1b1657a56b", "View")</f>
        <v/>
      </c>
    </row>
    <row r="140">
      <c r="A140" s="15" t="inlineStr">
        <is>
          <t>GAHAI</t>
        </is>
      </c>
      <c r="B140" s="16" t="n">
        <v>12727442</v>
      </c>
      <c r="C140" s="16" t="n">
        <v>12727442</v>
      </c>
      <c r="D140" s="16" t="inlineStr">
        <is>
          <t>0.002110</t>
        </is>
      </c>
      <c r="E140" s="16" t="inlineStr">
        <is>
          <t>1.467 SOL</t>
        </is>
      </c>
      <c r="F140" s="16" t="inlineStr">
        <is>
          <t>1.097 SOL</t>
        </is>
      </c>
      <c r="G140" s="21" t="inlineStr">
        <is>
          <t>-0.372 SOL</t>
        </is>
      </c>
      <c r="H140" s="21" t="inlineStr">
        <is>
          <t>-25.35%</t>
        </is>
      </c>
      <c r="I140" s="16" t="inlineStr">
        <is>
          <t>N/A</t>
        </is>
      </c>
      <c r="J140" s="16" t="n">
        <v>1</v>
      </c>
      <c r="K140" s="16" t="n">
        <v>1</v>
      </c>
      <c r="L140" s="16" t="inlineStr">
        <is>
          <t>28.10.2024 19:06:33</t>
        </is>
      </c>
      <c r="M140" s="18" t="inlineStr">
        <is>
          <t>15 sec</t>
        </is>
      </c>
      <c r="N140" s="16" t="inlineStr">
        <is>
          <t xml:space="preserve">         21K            21K             5K</t>
        </is>
      </c>
      <c r="O140" s="16" t="inlineStr">
        <is>
          <t>EpmyZEFAoL2ATFZqMBWu8nc8dstth8Udprhn7MwVpump</t>
        </is>
      </c>
      <c r="P140" s="16">
        <f>HYPERLINK("https://photon-sol.tinyastro.io/en/lp/EpmyZEFAoL2ATFZqMBWu8nc8dstth8Udprhn7MwVpump?handle=676050794bc1b1657a56b", "View")</f>
        <v/>
      </c>
    </row>
    <row r="141">
      <c r="A141" s="19" t="inlineStr">
        <is>
          <t>BOO</t>
        </is>
      </c>
      <c r="B141" s="20" t="n">
        <v>22833695</v>
      </c>
      <c r="C141" s="20" t="n">
        <v>22833695</v>
      </c>
      <c r="D141" s="20" t="inlineStr">
        <is>
          <t>0.004220</t>
        </is>
      </c>
      <c r="E141" s="20" t="inlineStr">
        <is>
          <t>3.380 SOL</t>
        </is>
      </c>
      <c r="F141" s="20" t="inlineStr">
        <is>
          <t>2.573 SOL</t>
        </is>
      </c>
      <c r="G141" s="21" t="inlineStr">
        <is>
          <t>-0.811 SOL</t>
        </is>
      </c>
      <c r="H141" s="21" t="inlineStr">
        <is>
          <t>-23.97%</t>
        </is>
      </c>
      <c r="I141" s="20" t="inlineStr">
        <is>
          <t>N/A</t>
        </is>
      </c>
      <c r="J141" s="20" t="n">
        <v>2</v>
      </c>
      <c r="K141" s="20" t="n">
        <v>2</v>
      </c>
      <c r="L141" s="20" t="inlineStr">
        <is>
          <t>28.10.2024 19:03:50</t>
        </is>
      </c>
      <c r="M141" s="20" t="inlineStr">
        <is>
          <t>2 min</t>
        </is>
      </c>
      <c r="N141" s="20" t="inlineStr">
        <is>
          <t xml:space="preserve">         31K            19K             6K</t>
        </is>
      </c>
      <c r="O141" s="20" t="inlineStr">
        <is>
          <t>434P5TvWj7nwZakE8xywNaj9BgZuLhJVFCtPfGiapump</t>
        </is>
      </c>
      <c r="P141" s="20">
        <f>HYPERLINK("https://photon-sol.tinyastro.io/en/lp/434P5TvWj7nwZakE8xywNaj9BgZuLhJVFCtPfGiapump?handle=676050794bc1b1657a56b", "View")</f>
        <v/>
      </c>
    </row>
    <row r="142">
      <c r="A142" s="15" t="inlineStr">
        <is>
          <t>blessed</t>
        </is>
      </c>
      <c r="B142" s="16" t="n">
        <v>14264416</v>
      </c>
      <c r="C142" s="16" t="n">
        <v>14264416</v>
      </c>
      <c r="D142" s="16" t="inlineStr">
        <is>
          <t>0.002110</t>
        </is>
      </c>
      <c r="E142" s="16" t="inlineStr">
        <is>
          <t>1.343 SOL</t>
        </is>
      </c>
      <c r="F142" s="16" t="inlineStr">
        <is>
          <t>1.687 SOL</t>
        </is>
      </c>
      <c r="G142" s="22" t="inlineStr">
        <is>
          <t>0.342 SOL</t>
        </is>
      </c>
      <c r="H142" s="22" t="inlineStr">
        <is>
          <t>25.44%</t>
        </is>
      </c>
      <c r="I142" s="16" t="inlineStr">
        <is>
          <t>N/A</t>
        </is>
      </c>
      <c r="J142" s="16" t="n">
        <v>1</v>
      </c>
      <c r="K142" s="16" t="n">
        <v>1</v>
      </c>
      <c r="L142" s="16" t="inlineStr">
        <is>
          <t>28.10.2024 18:40:40</t>
        </is>
      </c>
      <c r="M142" s="18" t="inlineStr">
        <is>
          <t>22 sec</t>
        </is>
      </c>
      <c r="N142" s="16" t="inlineStr">
        <is>
          <t xml:space="preserve">         16K            21K             5K</t>
        </is>
      </c>
      <c r="O142" s="16" t="inlineStr">
        <is>
          <t>3tv3VfiaV83DCGJV4hyPEFfHj6Ufk8rEhwATv8cUpump</t>
        </is>
      </c>
      <c r="P142" s="16">
        <f>HYPERLINK("https://photon-sol.tinyastro.io/en/lp/3tv3VfiaV83DCGJV4hyPEFfHj6Ufk8rEhwATv8cUpump?handle=676050794bc1b1657a56b", "View")</f>
        <v/>
      </c>
    </row>
    <row r="143">
      <c r="A143" s="19" t="inlineStr">
        <is>
          <t>processor</t>
        </is>
      </c>
      <c r="B143" s="20" t="n">
        <v>22642778</v>
      </c>
      <c r="C143" s="20" t="n">
        <v>22642778</v>
      </c>
      <c r="D143" s="20" t="inlineStr">
        <is>
          <t>0.002110</t>
        </is>
      </c>
      <c r="E143" s="20" t="inlineStr">
        <is>
          <t>1.576 SOL</t>
        </is>
      </c>
      <c r="F143" s="20" t="inlineStr">
        <is>
          <t>2.090 SOL</t>
        </is>
      </c>
      <c r="G143" s="22" t="inlineStr">
        <is>
          <t>0.512 SOL</t>
        </is>
      </c>
      <c r="H143" s="22" t="inlineStr">
        <is>
          <t>32.43%</t>
        </is>
      </c>
      <c r="I143" s="20" t="inlineStr">
        <is>
          <t>N/A</t>
        </is>
      </c>
      <c r="J143" s="20" t="n">
        <v>1</v>
      </c>
      <c r="K143" s="20" t="n">
        <v>1</v>
      </c>
      <c r="L143" s="20" t="inlineStr">
        <is>
          <t>28.10.2024 18:37:25</t>
        </is>
      </c>
      <c r="M143" s="18" t="inlineStr">
        <is>
          <t>15 sec</t>
        </is>
      </c>
      <c r="N143" s="20" t="inlineStr">
        <is>
          <t xml:space="preserve">         12K            16K             5K</t>
        </is>
      </c>
      <c r="O143" s="20" t="inlineStr">
        <is>
          <t>D6pCiHQeqk7o92wRkVg4Y6yP2MkGA69X8UZYmDdHpump</t>
        </is>
      </c>
      <c r="P143" s="20">
        <f>HYPERLINK("https://photon-sol.tinyastro.io/en/lp/D6pCiHQeqk7o92wRkVg4Y6yP2MkGA69X8UZYmDdHpump?handle=676050794bc1b1657a56b", "View")</f>
        <v/>
      </c>
    </row>
    <row r="144">
      <c r="A144" s="15" t="inlineStr">
        <is>
          <t>NEIGHBOR</t>
        </is>
      </c>
      <c r="B144" s="16" t="n">
        <v>5278633</v>
      </c>
      <c r="C144" s="16" t="n">
        <v>5278633</v>
      </c>
      <c r="D144" s="16" t="inlineStr">
        <is>
          <t>0.003170</t>
        </is>
      </c>
      <c r="E144" s="16" t="inlineStr">
        <is>
          <t>1.930 SOL</t>
        </is>
      </c>
      <c r="F144" s="16" t="inlineStr">
        <is>
          <t>1.691 SOL</t>
        </is>
      </c>
      <c r="G144" s="21" t="inlineStr">
        <is>
          <t>-0.243 SOL</t>
        </is>
      </c>
      <c r="H144" s="21" t="inlineStr">
        <is>
          <t>-12.57%</t>
        </is>
      </c>
      <c r="I144" s="16" t="inlineStr">
        <is>
          <t>N/A</t>
        </is>
      </c>
      <c r="J144" s="16" t="n">
        <v>1</v>
      </c>
      <c r="K144" s="16" t="n">
        <v>2</v>
      </c>
      <c r="L144" s="16" t="inlineStr">
        <is>
          <t>28.10.2024 18:36:13</t>
        </is>
      </c>
      <c r="M144" s="16" t="inlineStr">
        <is>
          <t>3 min</t>
        </is>
      </c>
      <c r="N144" s="16" t="inlineStr">
        <is>
          <t xml:space="preserve">         65K            65K             3K</t>
        </is>
      </c>
      <c r="O144" s="16" t="inlineStr">
        <is>
          <t>6TocjtsVzsARxJqJqRkMUq8un5vmuCq9zgcfYTWzA9C</t>
        </is>
      </c>
      <c r="P144" s="16">
        <f>HYPERLINK("https://photon-sol.tinyastro.io/en/lp/6TocjtsVzsARxJqJqRkMUq8un5vmuCq9zgcfYTWzA9C?handle=676050794bc1b1657a56b", "View")</f>
        <v/>
      </c>
    </row>
    <row r="145">
      <c r="A145" s="19" t="inlineStr">
        <is>
          <t>Stables</t>
        </is>
      </c>
      <c r="B145" s="20" t="n">
        <v>34793854</v>
      </c>
      <c r="C145" s="20" t="n">
        <v>34793854</v>
      </c>
      <c r="D145" s="20" t="inlineStr">
        <is>
          <t>0.002110</t>
        </is>
      </c>
      <c r="E145" s="20" t="inlineStr">
        <is>
          <t>1.532 SOL</t>
        </is>
      </c>
      <c r="F145" s="20" t="inlineStr">
        <is>
          <t>2.264 SOL</t>
        </is>
      </c>
      <c r="G145" s="22" t="inlineStr">
        <is>
          <t>0.730 SOL</t>
        </is>
      </c>
      <c r="H145" s="22" t="inlineStr">
        <is>
          <t>47.63%</t>
        </is>
      </c>
      <c r="I145" s="20" t="inlineStr">
        <is>
          <t>N/A</t>
        </is>
      </c>
      <c r="J145" s="20" t="n">
        <v>1</v>
      </c>
      <c r="K145" s="20" t="n">
        <v>1</v>
      </c>
      <c r="L145" s="20" t="inlineStr">
        <is>
          <t>28.10.2024 18:14:16</t>
        </is>
      </c>
      <c r="M145" s="18" t="inlineStr">
        <is>
          <t>17 sec</t>
        </is>
      </c>
      <c r="N145" s="20" t="inlineStr">
        <is>
          <t xml:space="preserve">          7K            12K             5K</t>
        </is>
      </c>
      <c r="O145" s="20" t="inlineStr">
        <is>
          <t>3XRuSAB6pVtgabTcMB8crFaiDo4EV9339zMPADYapump</t>
        </is>
      </c>
      <c r="P145" s="20">
        <f>HYPERLINK("https://photon-sol.tinyastro.io/en/lp/3XRuSAB6pVtgabTcMB8crFaiDo4EV9339zMPADYapump?handle=676050794bc1b1657a56b", "View")</f>
        <v/>
      </c>
    </row>
    <row r="146">
      <c r="A146" s="15" t="inlineStr">
        <is>
          <t>GIZMO</t>
        </is>
      </c>
      <c r="B146" s="16" t="n">
        <v>3915788</v>
      </c>
      <c r="C146" s="16" t="n">
        <v>3915788</v>
      </c>
      <c r="D146" s="16" t="inlineStr">
        <is>
          <t>0.038170</t>
        </is>
      </c>
      <c r="E146" s="16" t="inlineStr">
        <is>
          <t>1.621 SOL</t>
        </is>
      </c>
      <c r="F146" s="16" t="inlineStr">
        <is>
          <t>4.673 SOL</t>
        </is>
      </c>
      <c r="G146" s="23" t="inlineStr">
        <is>
          <t>3.014 SOL</t>
        </is>
      </c>
      <c r="H146" s="23" t="inlineStr">
        <is>
          <t>181.70%</t>
        </is>
      </c>
      <c r="I146" s="16" t="inlineStr">
        <is>
          <t>N/A</t>
        </is>
      </c>
      <c r="J146" s="16" t="n">
        <v>1</v>
      </c>
      <c r="K146" s="16" t="n">
        <v>3</v>
      </c>
      <c r="L146" s="16" t="inlineStr">
        <is>
          <t>28.10.2024 18:04:08</t>
        </is>
      </c>
      <c r="M146" s="16" t="inlineStr">
        <is>
          <t>4 min</t>
        </is>
      </c>
      <c r="N146" s="16" t="inlineStr">
        <is>
          <t xml:space="preserve">         72K            72K            35K</t>
        </is>
      </c>
      <c r="O146" s="16" t="inlineStr">
        <is>
          <t>6rxeveFNDQUaSwHCK5MY9NjW4WnUb4AbT9Jib1kcpump</t>
        </is>
      </c>
      <c r="P146" s="16">
        <f>HYPERLINK("https://photon-sol.tinyastro.io/en/lp/6rxeveFNDQUaSwHCK5MY9NjW4WnUb4AbT9Jib1kcpump?handle=676050794bc1b1657a56b", "View")</f>
        <v/>
      </c>
    </row>
    <row r="147">
      <c r="A147" s="19" t="inlineStr">
        <is>
          <t>BATPIG</t>
        </is>
      </c>
      <c r="B147" s="20" t="n">
        <v>26135528</v>
      </c>
      <c r="C147" s="20" t="n">
        <v>26135528</v>
      </c>
      <c r="D147" s="20" t="inlineStr">
        <is>
          <t>0.002110</t>
        </is>
      </c>
      <c r="E147" s="20" t="inlineStr">
        <is>
          <t>1.554 SOL</t>
        </is>
      </c>
      <c r="F147" s="20" t="inlineStr">
        <is>
          <t>2.699 SOL</t>
        </is>
      </c>
      <c r="G147" s="23" t="inlineStr">
        <is>
          <t>1.143 SOL</t>
        </is>
      </c>
      <c r="H147" s="23" t="inlineStr">
        <is>
          <t>73.41%</t>
        </is>
      </c>
      <c r="I147" s="20" t="inlineStr">
        <is>
          <t>N/A</t>
        </is>
      </c>
      <c r="J147" s="20" t="n">
        <v>1</v>
      </c>
      <c r="K147" s="20" t="n">
        <v>1</v>
      </c>
      <c r="L147" s="20" t="inlineStr">
        <is>
          <t>28.10.2024 17:45:49</t>
        </is>
      </c>
      <c r="M147" s="20" t="inlineStr">
        <is>
          <t>1 min</t>
        </is>
      </c>
      <c r="N147" s="20" t="inlineStr">
        <is>
          <t xml:space="preserve">         11K            18K             5K</t>
        </is>
      </c>
      <c r="O147" s="20" t="inlineStr">
        <is>
          <t>9AUM4RVeGR7Vk5sf6M1upuosPHpJq2FuUoZh1HZZpump</t>
        </is>
      </c>
      <c r="P147" s="20">
        <f>HYPERLINK("https://photon-sol.tinyastro.io/en/lp/9AUM4RVeGR7Vk5sf6M1upuosPHpJq2FuUoZh1HZZpump?handle=676050794bc1b1657a56b", "View")</f>
        <v/>
      </c>
    </row>
    <row r="148">
      <c r="A148" s="15" t="inlineStr">
        <is>
          <t>Fuego</t>
        </is>
      </c>
      <c r="B148" s="16" t="n">
        <v>18308049</v>
      </c>
      <c r="C148" s="16" t="n">
        <v>18308049</v>
      </c>
      <c r="D148" s="16" t="inlineStr">
        <is>
          <t>0.002110</t>
        </is>
      </c>
      <c r="E148" s="16" t="inlineStr">
        <is>
          <t>1.739 SOL</t>
        </is>
      </c>
      <c r="F148" s="16" t="inlineStr">
        <is>
          <t>3.391 SOL</t>
        </is>
      </c>
      <c r="G148" s="23" t="inlineStr">
        <is>
          <t>1.650 SOL</t>
        </is>
      </c>
      <c r="H148" s="23" t="inlineStr">
        <is>
          <t>94.72%</t>
        </is>
      </c>
      <c r="I148" s="16" t="inlineStr">
        <is>
          <t>N/A</t>
        </is>
      </c>
      <c r="J148" s="16" t="n">
        <v>1</v>
      </c>
      <c r="K148" s="16" t="n">
        <v>1</v>
      </c>
      <c r="L148" s="16" t="inlineStr">
        <is>
          <t>28.10.2024 17:20:53</t>
        </is>
      </c>
      <c r="M148" s="18" t="inlineStr">
        <is>
          <t>26 sec</t>
        </is>
      </c>
      <c r="N148" s="16" t="inlineStr">
        <is>
          <t xml:space="preserve">         18K            33K             5K</t>
        </is>
      </c>
      <c r="O148" s="16" t="inlineStr">
        <is>
          <t>958vHC3T2TLv2ofdCRGvBwbGaLsRXezZoP4XfPbopump</t>
        </is>
      </c>
      <c r="P148" s="16">
        <f>HYPERLINK("https://photon-sol.tinyastro.io/en/lp/958vHC3T2TLv2ofdCRGvBwbGaLsRXezZoP4XfPbopump?handle=676050794bc1b1657a56b", "View")</f>
        <v/>
      </c>
    </row>
    <row r="149">
      <c r="A149" s="19" t="inlineStr">
        <is>
          <t>SCOM</t>
        </is>
      </c>
      <c r="B149" s="20" t="n">
        <v>8156809</v>
      </c>
      <c r="C149" s="20" t="n">
        <v>8156809</v>
      </c>
      <c r="D149" s="20" t="inlineStr">
        <is>
          <t>0.003170</t>
        </is>
      </c>
      <c r="E149" s="20" t="inlineStr">
        <is>
          <t>1.500 SOL</t>
        </is>
      </c>
      <c r="F149" s="20" t="inlineStr">
        <is>
          <t>1.011 SOL</t>
        </is>
      </c>
      <c r="G149" s="21" t="inlineStr">
        <is>
          <t>-0.492 SOL</t>
        </is>
      </c>
      <c r="H149" s="21" t="inlineStr">
        <is>
          <t>-32.73%</t>
        </is>
      </c>
      <c r="I149" s="20" t="inlineStr">
        <is>
          <t>N/A</t>
        </is>
      </c>
      <c r="J149" s="20" t="n">
        <v>1</v>
      </c>
      <c r="K149" s="20" t="n">
        <v>2</v>
      </c>
      <c r="L149" s="20" t="inlineStr">
        <is>
          <t>28.10.2024 17:17:48</t>
        </is>
      </c>
      <c r="M149" s="20" t="inlineStr">
        <is>
          <t>3 min</t>
        </is>
      </c>
      <c r="N149" s="20" t="inlineStr">
        <is>
          <t xml:space="preserve">         32K            18K             3K</t>
        </is>
      </c>
      <c r="O149" s="20" t="inlineStr">
        <is>
          <t>sF6g7c5qmYZ65FoUXd51jJyaq5yoF5LPUEeyGPypump</t>
        </is>
      </c>
      <c r="P149" s="20">
        <f>HYPERLINK("https://photon-sol.tinyastro.io/en/lp/sF6g7c5qmYZ65FoUXd51jJyaq5yoF5LPUEeyGPypump?handle=676050794bc1b1657a56b", "View")</f>
        <v/>
      </c>
    </row>
    <row r="150">
      <c r="A150" s="15" t="inlineStr">
        <is>
          <t>MAXX</t>
        </is>
      </c>
      <c r="B150" s="16" t="n">
        <v>38611567</v>
      </c>
      <c r="C150" s="16" t="n">
        <v>38611567</v>
      </c>
      <c r="D150" s="16" t="inlineStr">
        <is>
          <t>0.002110</t>
        </is>
      </c>
      <c r="E150" s="16" t="inlineStr">
        <is>
          <t>1.532 SOL</t>
        </is>
      </c>
      <c r="F150" s="16" t="inlineStr">
        <is>
          <t>1.837 SOL</t>
        </is>
      </c>
      <c r="G150" s="22" t="inlineStr">
        <is>
          <t>0.303 SOL</t>
        </is>
      </c>
      <c r="H150" s="22" t="inlineStr">
        <is>
          <t>19.75%</t>
        </is>
      </c>
      <c r="I150" s="16" t="inlineStr">
        <is>
          <t>N/A</t>
        </is>
      </c>
      <c r="J150" s="16" t="n">
        <v>1</v>
      </c>
      <c r="K150" s="16" t="n">
        <v>1</v>
      </c>
      <c r="L150" s="16" t="inlineStr">
        <is>
          <t>28.10.2024 17:03:41</t>
        </is>
      </c>
      <c r="M150" s="18" t="inlineStr">
        <is>
          <t>16 sec</t>
        </is>
      </c>
      <c r="N150" s="16" t="inlineStr">
        <is>
          <t xml:space="preserve">          7K             7K             5K</t>
        </is>
      </c>
      <c r="O150" s="16" t="inlineStr">
        <is>
          <t>DyeN9LjUUi3Yfitawoj3qJuuXGaymGkeiKehmT1upump</t>
        </is>
      </c>
      <c r="P150" s="16">
        <f>HYPERLINK("https://photon-sol.tinyastro.io/en/lp/DyeN9LjUUi3Yfitawoj3qJuuXGaymGkeiKehmT1upump?handle=676050794bc1b1657a56b", "View")</f>
        <v/>
      </c>
    </row>
    <row r="151">
      <c r="A151" s="19" t="inlineStr">
        <is>
          <t>MORDUK</t>
        </is>
      </c>
      <c r="B151" s="20" t="n">
        <v>19973831</v>
      </c>
      <c r="C151" s="20" t="n">
        <v>19973831</v>
      </c>
      <c r="D151" s="20" t="inlineStr">
        <is>
          <t>0.036060</t>
        </is>
      </c>
      <c r="E151" s="20" t="inlineStr">
        <is>
          <t>2.018 SOL</t>
        </is>
      </c>
      <c r="F151" s="20" t="inlineStr">
        <is>
          <t>4.350 SOL</t>
        </is>
      </c>
      <c r="G151" s="23" t="inlineStr">
        <is>
          <t>2.296 SOL</t>
        </is>
      </c>
      <c r="H151" s="23" t="inlineStr">
        <is>
          <t>111.82%</t>
        </is>
      </c>
      <c r="I151" s="20" t="inlineStr">
        <is>
          <t>N/A</t>
        </is>
      </c>
      <c r="J151" s="20" t="n">
        <v>1</v>
      </c>
      <c r="K151" s="20" t="n">
        <v>1</v>
      </c>
      <c r="L151" s="20" t="inlineStr">
        <is>
          <t>28.10.2024 16:44:14</t>
        </is>
      </c>
      <c r="M151" s="18" t="inlineStr">
        <is>
          <t>30 sec</t>
        </is>
      </c>
      <c r="N151" s="20" t="inlineStr">
        <is>
          <t xml:space="preserve">         17K            38K            92K</t>
        </is>
      </c>
      <c r="O151" s="20" t="inlineStr">
        <is>
          <t>FS3GYZEzE3zS1NdtCRfzrtc2fY7SWxk91b8Z843vpump</t>
        </is>
      </c>
      <c r="P151" s="20">
        <f>HYPERLINK("https://photon-sol.tinyastro.io/en/lp/FS3GYZEzE3zS1NdtCRfzrtc2fY7SWxk91b8Z843vpump?handle=676050794bc1b1657a56b", "View")</f>
        <v/>
      </c>
    </row>
    <row r="152">
      <c r="A152" s="15" t="inlineStr">
        <is>
          <t>DilexitNos</t>
        </is>
      </c>
      <c r="B152" s="16" t="n">
        <v>22460381</v>
      </c>
      <c r="C152" s="16" t="n">
        <v>22460381</v>
      </c>
      <c r="D152" s="16" t="inlineStr">
        <is>
          <t>0.036060</t>
        </is>
      </c>
      <c r="E152" s="16" t="inlineStr">
        <is>
          <t>2.015 SOL</t>
        </is>
      </c>
      <c r="F152" s="16" t="inlineStr">
        <is>
          <t>2.098 SOL</t>
        </is>
      </c>
      <c r="G152" s="22" t="inlineStr">
        <is>
          <t>0.046 SOL</t>
        </is>
      </c>
      <c r="H152" s="22" t="inlineStr">
        <is>
          <t>2.27%</t>
        </is>
      </c>
      <c r="I152" s="16" t="inlineStr">
        <is>
          <t>N/A</t>
        </is>
      </c>
      <c r="J152" s="16" t="n">
        <v>1</v>
      </c>
      <c r="K152" s="16" t="n">
        <v>1</v>
      </c>
      <c r="L152" s="16" t="inlineStr">
        <is>
          <t>28.10.2024 16:40:57</t>
        </is>
      </c>
      <c r="M152" s="18" t="inlineStr">
        <is>
          <t>20 sec</t>
        </is>
      </c>
      <c r="N152" s="16" t="inlineStr">
        <is>
          <t xml:space="preserve">         16K            16K             5K</t>
        </is>
      </c>
      <c r="O152" s="16" t="inlineStr">
        <is>
          <t>2D2Wuzf72RUHyDhTRhApCPigcCoKXxC9fXmDEY7jpump</t>
        </is>
      </c>
      <c r="P152" s="16">
        <f>HYPERLINK("https://photon-sol.tinyastro.io/en/lp/2D2Wuzf72RUHyDhTRhApCPigcCoKXxC9fXmDEY7jpump?handle=676050794bc1b1657a56b", "View")</f>
        <v/>
      </c>
    </row>
    <row r="153">
      <c r="A153" s="19" t="inlineStr">
        <is>
          <t>tree</t>
        </is>
      </c>
      <c r="B153" s="20" t="n">
        <v>8568688</v>
      </c>
      <c r="C153" s="20" t="n">
        <v>8568688</v>
      </c>
      <c r="D153" s="20" t="inlineStr">
        <is>
          <t>0.002110</t>
        </is>
      </c>
      <c r="E153" s="20" t="inlineStr">
        <is>
          <t>1.610 SOL</t>
        </is>
      </c>
      <c r="F153" s="20" t="inlineStr">
        <is>
          <t>1.398 SOL</t>
        </is>
      </c>
      <c r="G153" s="21" t="inlineStr">
        <is>
          <t>-0.215 SOL</t>
        </is>
      </c>
      <c r="H153" s="21" t="inlineStr">
        <is>
          <t>-13.31%</t>
        </is>
      </c>
      <c r="I153" s="20" t="inlineStr">
        <is>
          <t>N/A</t>
        </is>
      </c>
      <c r="J153" s="20" t="n">
        <v>1</v>
      </c>
      <c r="K153" s="20" t="n">
        <v>1</v>
      </c>
      <c r="L153" s="20" t="inlineStr">
        <is>
          <t>28.10.2024 15:05:48</t>
        </is>
      </c>
      <c r="M153" s="18" t="inlineStr">
        <is>
          <t>14 sec</t>
        </is>
      </c>
      <c r="N153" s="20" t="inlineStr">
        <is>
          <t xml:space="preserve">         33K            28K             3K</t>
        </is>
      </c>
      <c r="O153" s="20" t="inlineStr">
        <is>
          <t>BenUBNtwCGkY1EM74B1EYwfQzHD1JRLbtVqBxLUFpump</t>
        </is>
      </c>
      <c r="P153" s="20">
        <f>HYPERLINK("https://photon-sol.tinyastro.io/en/lp/BenUBNtwCGkY1EM74B1EYwfQzHD1JRLbtVqBxLUFpump?handle=676050794bc1b1657a56b", "View")</f>
        <v/>
      </c>
    </row>
    <row r="154">
      <c r="A154" s="15" t="inlineStr">
        <is>
          <t>BDOGE</t>
        </is>
      </c>
      <c r="B154" s="16" t="n">
        <v>10646844</v>
      </c>
      <c r="C154" s="16" t="n">
        <v>10646844</v>
      </c>
      <c r="D154" s="16" t="inlineStr">
        <is>
          <t>0.003170</t>
        </is>
      </c>
      <c r="E154" s="16" t="inlineStr">
        <is>
          <t>1.668 SOL</t>
        </is>
      </c>
      <c r="F154" s="16" t="inlineStr">
        <is>
          <t>2.276 SOL</t>
        </is>
      </c>
      <c r="G154" s="22" t="inlineStr">
        <is>
          <t>0.605 SOL</t>
        </is>
      </c>
      <c r="H154" s="22" t="inlineStr">
        <is>
          <t>36.18%</t>
        </is>
      </c>
      <c r="I154" s="16" t="inlineStr">
        <is>
          <t>N/A</t>
        </is>
      </c>
      <c r="J154" s="16" t="n">
        <v>1</v>
      </c>
      <c r="K154" s="16" t="n">
        <v>2</v>
      </c>
      <c r="L154" s="16" t="inlineStr">
        <is>
          <t>28.10.2024 14:57:35</t>
        </is>
      </c>
      <c r="M154" s="16" t="inlineStr">
        <is>
          <t>3 min</t>
        </is>
      </c>
      <c r="N154" s="16" t="inlineStr">
        <is>
          <t xml:space="preserve">         28K            28K             3K</t>
        </is>
      </c>
      <c r="O154" s="16" t="inlineStr">
        <is>
          <t>6hgT1Et5p2FsY21b8JfjQuHHYkj2d1jcsemtoV2cpump</t>
        </is>
      </c>
      <c r="P154" s="16">
        <f>HYPERLINK("https://photon-sol.tinyastro.io/en/lp/6hgT1Et5p2FsY21b8JfjQuHHYkj2d1jcsemtoV2cpump?handle=676050794bc1b1657a56b", "View")</f>
        <v/>
      </c>
    </row>
    <row r="155">
      <c r="A155" s="19" t="inlineStr">
        <is>
          <t>SOGE</t>
        </is>
      </c>
      <c r="B155" s="20" t="n">
        <v>34458924</v>
      </c>
      <c r="C155" s="20" t="n">
        <v>34458924</v>
      </c>
      <c r="D155" s="20" t="inlineStr">
        <is>
          <t>0.037120</t>
        </is>
      </c>
      <c r="E155" s="20" t="inlineStr">
        <is>
          <t>1.954 SOL</t>
        </is>
      </c>
      <c r="F155" s="20" t="inlineStr">
        <is>
          <t>3.685 SOL</t>
        </is>
      </c>
      <c r="G155" s="23" t="inlineStr">
        <is>
          <t>1.694 SOL</t>
        </is>
      </c>
      <c r="H155" s="23" t="inlineStr">
        <is>
          <t>85.03%</t>
        </is>
      </c>
      <c r="I155" s="20" t="inlineStr">
        <is>
          <t>N/A</t>
        </is>
      </c>
      <c r="J155" s="20" t="n">
        <v>1</v>
      </c>
      <c r="K155" s="20" t="n">
        <v>2</v>
      </c>
      <c r="L155" s="20" t="inlineStr">
        <is>
          <t>28.10.2024 14:14:29</t>
        </is>
      </c>
      <c r="M155" s="20" t="inlineStr">
        <is>
          <t>1 min</t>
        </is>
      </c>
      <c r="N155" s="20" t="inlineStr">
        <is>
          <t xml:space="preserve">         11K            18K             4K</t>
        </is>
      </c>
      <c r="O155" s="20" t="inlineStr">
        <is>
          <t>5gCyQ8aHfEbQcUV8JVpsPHFGHg3Rw1w44XdLBZ61pump</t>
        </is>
      </c>
      <c r="P155" s="20">
        <f>HYPERLINK("https://photon-sol.tinyastro.io/en/lp/5gCyQ8aHfEbQcUV8JVpsPHFGHg3Rw1w44XdLBZ61pump?handle=676050794bc1b1657a56b", "View")</f>
        <v/>
      </c>
    </row>
    <row r="156">
      <c r="A156" s="15" t="inlineStr">
        <is>
          <t>FelixAI</t>
        </is>
      </c>
      <c r="B156" s="16" t="n">
        <v>5495403</v>
      </c>
      <c r="C156" s="16" t="n">
        <v>5495403</v>
      </c>
      <c r="D156" s="16" t="inlineStr">
        <is>
          <t>0.002110</t>
        </is>
      </c>
      <c r="E156" s="16" t="inlineStr">
        <is>
          <t>1.031 SOL</t>
        </is>
      </c>
      <c r="F156" s="16" t="inlineStr">
        <is>
          <t>0.732 SOL</t>
        </is>
      </c>
      <c r="G156" s="21" t="inlineStr">
        <is>
          <t>-0.302 SOL</t>
        </is>
      </c>
      <c r="H156" s="21" t="inlineStr">
        <is>
          <t>-29.20%</t>
        </is>
      </c>
      <c r="I156" s="16" t="inlineStr">
        <is>
          <t>N/A</t>
        </is>
      </c>
      <c r="J156" s="16" t="n">
        <v>1</v>
      </c>
      <c r="K156" s="16" t="n">
        <v>1</v>
      </c>
      <c r="L156" s="16" t="inlineStr">
        <is>
          <t>28.10.2024 14:01:14</t>
        </is>
      </c>
      <c r="M156" s="18" t="inlineStr">
        <is>
          <t>10 sec</t>
        </is>
      </c>
      <c r="N156" s="16" t="inlineStr">
        <is>
          <t xml:space="preserve">         33K            23K             5K</t>
        </is>
      </c>
      <c r="O156" s="16" t="inlineStr">
        <is>
          <t>EoQPCmhVdsTSi5fxrWUTkCTywMW2x1PAdwKbinCVpump</t>
        </is>
      </c>
      <c r="P156" s="16">
        <f>HYPERLINK("https://photon-sol.tinyastro.io/en/lp/EoQPCmhVdsTSi5fxrWUTkCTywMW2x1PAdwKbinCVpump?handle=676050794bc1b1657a56b", "View")</f>
        <v/>
      </c>
    </row>
    <row r="157">
      <c r="A157" s="19" t="inlineStr">
        <is>
          <t>DARTH</t>
        </is>
      </c>
      <c r="B157" s="20" t="n">
        <v>23620286</v>
      </c>
      <c r="C157" s="20" t="n">
        <v>23620286</v>
      </c>
      <c r="D157" s="20" t="inlineStr">
        <is>
          <t>0.002110</t>
        </is>
      </c>
      <c r="E157" s="20" t="inlineStr">
        <is>
          <t>1.532 SOL</t>
        </is>
      </c>
      <c r="F157" s="20" t="inlineStr">
        <is>
          <t>2.146 SOL</t>
        </is>
      </c>
      <c r="G157" s="22" t="inlineStr">
        <is>
          <t>0.612 SOL</t>
        </is>
      </c>
      <c r="H157" s="22" t="inlineStr">
        <is>
          <t>39.93%</t>
        </is>
      </c>
      <c r="I157" s="20" t="inlineStr">
        <is>
          <t>N/A</t>
        </is>
      </c>
      <c r="J157" s="20" t="n">
        <v>1</v>
      </c>
      <c r="K157" s="20" t="n">
        <v>1</v>
      </c>
      <c r="L157" s="20" t="inlineStr">
        <is>
          <t>28.10.2024 13:44:31</t>
        </is>
      </c>
      <c r="M157" s="18" t="inlineStr">
        <is>
          <t>31 sec</t>
        </is>
      </c>
      <c r="N157" s="20" t="inlineStr">
        <is>
          <t xml:space="preserve">         11K            16K             5K</t>
        </is>
      </c>
      <c r="O157" s="20" t="inlineStr">
        <is>
          <t>6RA3mnKf8LaJBKV2BXCXo3acGmXdkLzWV9oVcNZwpump</t>
        </is>
      </c>
      <c r="P157" s="20">
        <f>HYPERLINK("https://photon-sol.tinyastro.io/en/lp/6RA3mnKf8LaJBKV2BXCXo3acGmXdkLzWV9oVcNZwpump?handle=676050794bc1b1657a56b", "View")</f>
        <v/>
      </c>
    </row>
    <row r="158">
      <c r="A158" s="15" t="inlineStr">
        <is>
          <t>BOT1</t>
        </is>
      </c>
      <c r="B158" s="16" t="n">
        <v>13950544</v>
      </c>
      <c r="C158" s="16" t="n">
        <v>13950544</v>
      </c>
      <c r="D158" s="16" t="inlineStr">
        <is>
          <t>0.036060</t>
        </is>
      </c>
      <c r="E158" s="16" t="inlineStr">
        <is>
          <t>1.751 SOL</t>
        </is>
      </c>
      <c r="F158" s="16" t="inlineStr">
        <is>
          <t>2.280 SOL</t>
        </is>
      </c>
      <c r="G158" s="22" t="inlineStr">
        <is>
          <t>0.493 SOL</t>
        </is>
      </c>
      <c r="H158" s="22" t="inlineStr">
        <is>
          <t>27.60%</t>
        </is>
      </c>
      <c r="I158" s="16" t="inlineStr">
        <is>
          <t>N/A</t>
        </is>
      </c>
      <c r="J158" s="16" t="n">
        <v>1</v>
      </c>
      <c r="K158" s="16" t="n">
        <v>1</v>
      </c>
      <c r="L158" s="16" t="inlineStr">
        <is>
          <t>28.10.2024 12:49:13</t>
        </is>
      </c>
      <c r="M158" s="18" t="inlineStr">
        <is>
          <t>47 sec</t>
        </is>
      </c>
      <c r="N158" s="16" t="inlineStr">
        <is>
          <t xml:space="preserve">         23K            23K             3K</t>
        </is>
      </c>
      <c r="O158" s="16" t="inlineStr">
        <is>
          <t>7jANeUJSj8pouZmjuxz1h59hKgSEjJitgVEmLSsWpump</t>
        </is>
      </c>
      <c r="P158" s="16">
        <f>HYPERLINK("https://photon-sol.tinyastro.io/en/lp/7jANeUJSj8pouZmjuxz1h59hKgSEjJitgVEmLSsWpump?handle=676050794bc1b1657a56b", "View")</f>
        <v/>
      </c>
    </row>
    <row r="159">
      <c r="A159" s="19" t="inlineStr">
        <is>
          <t>NOVAAI</t>
        </is>
      </c>
      <c r="B159" s="20" t="n">
        <v>20032787</v>
      </c>
      <c r="C159" s="20" t="n">
        <v>20032787</v>
      </c>
      <c r="D159" s="20" t="inlineStr">
        <is>
          <t>0.002110</t>
        </is>
      </c>
      <c r="E159" s="20" t="inlineStr">
        <is>
          <t>1.525 SOL</t>
        </is>
      </c>
      <c r="F159" s="20" t="inlineStr">
        <is>
          <t>1.422 SOL</t>
        </is>
      </c>
      <c r="G159" s="21" t="inlineStr">
        <is>
          <t>-0.105 SOL</t>
        </is>
      </c>
      <c r="H159" s="21" t="inlineStr">
        <is>
          <t>-6.90%</t>
        </is>
      </c>
      <c r="I159" s="20" t="inlineStr">
        <is>
          <t>N/A</t>
        </is>
      </c>
      <c r="J159" s="20" t="n">
        <v>1</v>
      </c>
      <c r="K159" s="20" t="n">
        <v>1</v>
      </c>
      <c r="L159" s="20" t="inlineStr">
        <is>
          <t>28.10.2024 06:40:26</t>
        </is>
      </c>
      <c r="M159" s="18" t="inlineStr">
        <is>
          <t>46 sec</t>
        </is>
      </c>
      <c r="N159" s="20" t="inlineStr">
        <is>
          <t xml:space="preserve">         14K            12K             5K</t>
        </is>
      </c>
      <c r="O159" s="20" t="inlineStr">
        <is>
          <t>7okEYmZ7mjuFmAsKySSMnyoXFELXEr3TQTXD6kfApump</t>
        </is>
      </c>
      <c r="P159" s="20">
        <f>HYPERLINK("https://photon-sol.tinyastro.io/en/lp/7okEYmZ7mjuFmAsKySSMnyoXFELXEr3TQTXD6kfApump?handle=676050794bc1b1657a56b", "View")</f>
        <v/>
      </c>
    </row>
    <row r="160">
      <c r="A160" s="15" t="inlineStr">
        <is>
          <t>tree</t>
        </is>
      </c>
      <c r="B160" s="16" t="n">
        <v>7009800</v>
      </c>
      <c r="C160" s="16" t="n">
        <v>7009800</v>
      </c>
      <c r="D160" s="16" t="inlineStr">
        <is>
          <t>0.038170</t>
        </is>
      </c>
      <c r="E160" s="16" t="inlineStr">
        <is>
          <t>1.504 SOL</t>
        </is>
      </c>
      <c r="F160" s="16" t="inlineStr">
        <is>
          <t>4.739 SOL</t>
        </is>
      </c>
      <c r="G160" s="23" t="inlineStr">
        <is>
          <t>3.197 SOL</t>
        </is>
      </c>
      <c r="H160" s="23" t="inlineStr">
        <is>
          <t>207.29%</t>
        </is>
      </c>
      <c r="I160" s="16" t="inlineStr">
        <is>
          <t>N/A</t>
        </is>
      </c>
      <c r="J160" s="16" t="n">
        <v>1</v>
      </c>
      <c r="K160" s="16" t="n">
        <v>3</v>
      </c>
      <c r="L160" s="16" t="inlineStr">
        <is>
          <t>28.10.2024 04:31:56</t>
        </is>
      </c>
      <c r="M160" s="16" t="inlineStr">
        <is>
          <t>3 min</t>
        </is>
      </c>
      <c r="N160" s="16" t="inlineStr">
        <is>
          <t xml:space="preserve">         37K           102K             4K</t>
        </is>
      </c>
      <c r="O160" s="16" t="inlineStr">
        <is>
          <t>7dCDa2KBkMXE1bsxbsfzRxYRiLRn6oRM4SPiT6WNpump</t>
        </is>
      </c>
      <c r="P160" s="16">
        <f>HYPERLINK("https://photon-sol.tinyastro.io/en/lp/7dCDa2KBkMXE1bsxbsfzRxYRiLRn6oRM4SPiT6WNpump?handle=676050794bc1b1657a56b", "View")</f>
        <v/>
      </c>
    </row>
    <row r="161">
      <c r="A161" s="19" t="inlineStr">
        <is>
          <t>AHB</t>
        </is>
      </c>
      <c r="B161" s="20" t="n">
        <v>7552900</v>
      </c>
      <c r="C161" s="20" t="n">
        <v>7552900</v>
      </c>
      <c r="D161" s="20" t="inlineStr">
        <is>
          <t>0.036060</t>
        </is>
      </c>
      <c r="E161" s="20" t="inlineStr">
        <is>
          <t>1.569 SOL</t>
        </is>
      </c>
      <c r="F161" s="20" t="inlineStr">
        <is>
          <t>1.096 SOL</t>
        </is>
      </c>
      <c r="G161" s="21" t="inlineStr">
        <is>
          <t>-0.510 SOL</t>
        </is>
      </c>
      <c r="H161" s="21" t="inlineStr">
        <is>
          <t>-31.75%</t>
        </is>
      </c>
      <c r="I161" s="20" t="inlineStr">
        <is>
          <t>N/A</t>
        </is>
      </c>
      <c r="J161" s="20" t="n">
        <v>1</v>
      </c>
      <c r="K161" s="20" t="n">
        <v>1</v>
      </c>
      <c r="L161" s="20" t="inlineStr">
        <is>
          <t>27.10.2024 20:01:51</t>
        </is>
      </c>
      <c r="M161" s="18" t="inlineStr">
        <is>
          <t>42 sec</t>
        </is>
      </c>
      <c r="N161" s="20" t="inlineStr">
        <is>
          <t xml:space="preserve">         37K            37K             5K</t>
        </is>
      </c>
      <c r="O161" s="20" t="inlineStr">
        <is>
          <t>5CjbiBFFuGstf8idqB6DFz1DpwxpabjMUww5NUYppump</t>
        </is>
      </c>
      <c r="P161" s="20">
        <f>HYPERLINK("https://photon-sol.tinyastro.io/en/lp/5CjbiBFFuGstf8idqB6DFz1DpwxpabjMUww5NUYppump?handle=676050794bc1b1657a56b", "View")</f>
        <v/>
      </c>
    </row>
    <row r="162">
      <c r="A162" s="15" t="inlineStr">
        <is>
          <t>BANKSY</t>
        </is>
      </c>
      <c r="B162" s="16" t="n">
        <v>5198951</v>
      </c>
      <c r="C162" s="16" t="n">
        <v>5198951</v>
      </c>
      <c r="D162" s="16" t="inlineStr">
        <is>
          <t>0.037120</t>
        </is>
      </c>
      <c r="E162" s="16" t="inlineStr">
        <is>
          <t>1.725 SOL</t>
        </is>
      </c>
      <c r="F162" s="16" t="inlineStr">
        <is>
          <t>1.377 SOL</t>
        </is>
      </c>
      <c r="G162" s="21" t="inlineStr">
        <is>
          <t>-0.385 SOL</t>
        </is>
      </c>
      <c r="H162" s="21" t="inlineStr">
        <is>
          <t>-21.85%</t>
        </is>
      </c>
      <c r="I162" s="16" t="inlineStr">
        <is>
          <t>N/A</t>
        </is>
      </c>
      <c r="J162" s="16" t="n">
        <v>1</v>
      </c>
      <c r="K162" s="16" t="n">
        <v>2</v>
      </c>
      <c r="L162" s="16" t="inlineStr">
        <is>
          <t>27.10.2024 19:16:42</t>
        </is>
      </c>
      <c r="M162" s="16" t="inlineStr">
        <is>
          <t>2 min</t>
        </is>
      </c>
      <c r="N162" s="16" t="inlineStr">
        <is>
          <t xml:space="preserve">         58K            46K             5K</t>
        </is>
      </c>
      <c r="O162" s="16" t="inlineStr">
        <is>
          <t>GG4V3Lh63NAkvpXqfdnjgsEMTbXP4BFZA2FC5HJpump</t>
        </is>
      </c>
      <c r="P162" s="16">
        <f>HYPERLINK("https://photon-sol.tinyastro.io/en/lp/GG4V3Lh63NAkvpXqfdnjgsEMTbXP4BFZA2FC5HJpump?handle=676050794bc1b1657a56b", "View")</f>
        <v/>
      </c>
    </row>
    <row r="163">
      <c r="A163" s="19" t="inlineStr">
        <is>
          <t>EAR</t>
        </is>
      </c>
      <c r="B163" s="20" t="n">
        <v>9703235</v>
      </c>
      <c r="C163" s="20" t="n">
        <v>9703235</v>
      </c>
      <c r="D163" s="20" t="inlineStr">
        <is>
          <t>0.070010</t>
        </is>
      </c>
      <c r="E163" s="20" t="inlineStr">
        <is>
          <t>1.970 SOL</t>
        </is>
      </c>
      <c r="F163" s="20" t="inlineStr">
        <is>
          <t>1.587 SOL</t>
        </is>
      </c>
      <c r="G163" s="21" t="inlineStr">
        <is>
          <t>-0.453 SOL</t>
        </is>
      </c>
      <c r="H163" s="21" t="inlineStr">
        <is>
          <t>-22.20%</t>
        </is>
      </c>
      <c r="I163" s="20" t="inlineStr">
        <is>
          <t>N/A</t>
        </is>
      </c>
      <c r="J163" s="20" t="n">
        <v>1</v>
      </c>
      <c r="K163" s="20" t="n">
        <v>1</v>
      </c>
      <c r="L163" s="20" t="inlineStr">
        <is>
          <t>27.10.2024 18:13:14</t>
        </is>
      </c>
      <c r="M163" s="18" t="inlineStr">
        <is>
          <t>19 sec</t>
        </is>
      </c>
      <c r="N163" s="20" t="inlineStr">
        <is>
          <t xml:space="preserve">         35K            28K             3K</t>
        </is>
      </c>
      <c r="O163" s="20" t="inlineStr">
        <is>
          <t>2TaUe6FZj8gXv9GFb1jPkni3C5QJtu2CrgrKpXhepump</t>
        </is>
      </c>
      <c r="P163" s="20">
        <f>HYPERLINK("https://photon-sol.tinyastro.io/en/lp/2TaUe6FZj8gXv9GFb1jPkni3C5QJtu2CrgrKpXhepump?handle=676050794bc1b1657a56b", "View")</f>
        <v/>
      </c>
    </row>
    <row r="164">
      <c r="A164" s="15" t="inlineStr">
        <is>
          <t>XART</t>
        </is>
      </c>
      <c r="B164" s="16" t="n">
        <v>19271125</v>
      </c>
      <c r="C164" s="16" t="n">
        <v>19271125</v>
      </c>
      <c r="D164" s="16" t="inlineStr">
        <is>
          <t>0.002110</t>
        </is>
      </c>
      <c r="E164" s="16" t="inlineStr">
        <is>
          <t>1.481 SOL</t>
        </is>
      </c>
      <c r="F164" s="16" t="inlineStr">
        <is>
          <t>1.847 SOL</t>
        </is>
      </c>
      <c r="G164" s="22" t="inlineStr">
        <is>
          <t>0.364 SOL</t>
        </is>
      </c>
      <c r="H164" s="22" t="inlineStr">
        <is>
          <t>24.52%</t>
        </is>
      </c>
      <c r="I164" s="16" t="inlineStr">
        <is>
          <t>N/A</t>
        </is>
      </c>
      <c r="J164" s="16" t="n">
        <v>1</v>
      </c>
      <c r="K164" s="16" t="n">
        <v>1</v>
      </c>
      <c r="L164" s="16" t="inlineStr">
        <is>
          <t>27.10.2024 18:08:21</t>
        </is>
      </c>
      <c r="M164" s="18" t="inlineStr">
        <is>
          <t>24 sec</t>
        </is>
      </c>
      <c r="N164" s="16" t="inlineStr">
        <is>
          <t xml:space="preserve">         14K            18K             5K</t>
        </is>
      </c>
      <c r="O164" s="16" t="inlineStr">
        <is>
          <t>2ccgqiXvPKtSXjZfoyuFLs7WZHCEvXmoNyfTTaBJpump</t>
        </is>
      </c>
      <c r="P164" s="16">
        <f>HYPERLINK("https://photon-sol.tinyastro.io/en/lp/2ccgqiXvPKtSXjZfoyuFLs7WZHCEvXmoNyfTTaBJpump?handle=676050794bc1b1657a56b", "View")</f>
        <v/>
      </c>
    </row>
    <row r="165">
      <c r="A165" s="19" t="inlineStr">
        <is>
          <t>SUDA</t>
        </is>
      </c>
      <c r="B165" s="20" t="n">
        <v>14518444</v>
      </c>
      <c r="C165" s="20" t="n">
        <v>14518444</v>
      </c>
      <c r="D165" s="20" t="inlineStr">
        <is>
          <t>0.037120</t>
        </is>
      </c>
      <c r="E165" s="20" t="inlineStr">
        <is>
          <t>1.775 SOL</t>
        </is>
      </c>
      <c r="F165" s="20" t="inlineStr">
        <is>
          <t>2.668 SOL</t>
        </is>
      </c>
      <c r="G165" s="22" t="inlineStr">
        <is>
          <t>0.856 SOL</t>
        </is>
      </c>
      <c r="H165" s="22" t="inlineStr">
        <is>
          <t>47.24%</t>
        </is>
      </c>
      <c r="I165" s="20" t="inlineStr">
        <is>
          <t>N/A</t>
        </is>
      </c>
      <c r="J165" s="20" t="n">
        <v>1</v>
      </c>
      <c r="K165" s="20" t="n">
        <v>2</v>
      </c>
      <c r="L165" s="20" t="inlineStr">
        <is>
          <t>27.10.2024 17:58:51</t>
        </is>
      </c>
      <c r="M165" s="18" t="inlineStr">
        <is>
          <t>36 sec</t>
        </is>
      </c>
      <c r="N165" s="20" t="inlineStr">
        <is>
          <t xml:space="preserve">         21K            30K             5K</t>
        </is>
      </c>
      <c r="O165" s="20" t="inlineStr">
        <is>
          <t>FVJiAa9EE1vQ6MAHnbBgTk8ZYQUNqmZr5S3kSCMZpump</t>
        </is>
      </c>
      <c r="P165" s="20">
        <f>HYPERLINK("https://photon-sol.tinyastro.io/en/lp/FVJiAa9EE1vQ6MAHnbBgTk8ZYQUNqmZr5S3kSCMZpump?handle=676050794bc1b1657a56b", "View")</f>
        <v/>
      </c>
    </row>
    <row r="166">
      <c r="A166" s="15" t="inlineStr">
        <is>
          <t>YAD</t>
        </is>
      </c>
      <c r="B166" s="16" t="n">
        <v>15018104</v>
      </c>
      <c r="C166" s="16" t="n">
        <v>15018104</v>
      </c>
      <c r="D166" s="16" t="inlineStr">
        <is>
          <t>0.002110</t>
        </is>
      </c>
      <c r="E166" s="16" t="inlineStr">
        <is>
          <t>1.474 SOL</t>
        </is>
      </c>
      <c r="F166" s="16" t="inlineStr">
        <is>
          <t>2.151 SOL</t>
        </is>
      </c>
      <c r="G166" s="22" t="inlineStr">
        <is>
          <t>0.675 SOL</t>
        </is>
      </c>
      <c r="H166" s="22" t="inlineStr">
        <is>
          <t>45.78%</t>
        </is>
      </c>
      <c r="I166" s="16" t="inlineStr">
        <is>
          <t>N/A</t>
        </is>
      </c>
      <c r="J166" s="16" t="n">
        <v>1</v>
      </c>
      <c r="K166" s="16" t="n">
        <v>1</v>
      </c>
      <c r="L166" s="16" t="inlineStr">
        <is>
          <t>27.10.2024 17:54:33</t>
        </is>
      </c>
      <c r="M166" s="18" t="inlineStr">
        <is>
          <t>31 sec</t>
        </is>
      </c>
      <c r="N166" s="16" t="inlineStr">
        <is>
          <t xml:space="preserve">         18K            25K             5K</t>
        </is>
      </c>
      <c r="O166" s="16" t="inlineStr">
        <is>
          <t>7NAMFc2Wt1AMjayX44aCiAHv6HjBCxZph2KTBF69pump</t>
        </is>
      </c>
      <c r="P166" s="16">
        <f>HYPERLINK("https://photon-sol.tinyastro.io/en/lp/7NAMFc2Wt1AMjayX44aCiAHv6HjBCxZph2KTBF69pump?handle=676050794bc1b1657a56b", "View")</f>
        <v/>
      </c>
    </row>
    <row r="167">
      <c r="A167" s="19" t="inlineStr">
        <is>
          <t>Andy</t>
        </is>
      </c>
      <c r="B167" s="20" t="n">
        <v>32593642</v>
      </c>
      <c r="C167" s="20" t="n">
        <v>32593642</v>
      </c>
      <c r="D167" s="20" t="inlineStr">
        <is>
          <t>0.002110</t>
        </is>
      </c>
      <c r="E167" s="20" t="inlineStr">
        <is>
          <t>1.532 SOL</t>
        </is>
      </c>
      <c r="F167" s="20" t="inlineStr">
        <is>
          <t>1.734 SOL</t>
        </is>
      </c>
      <c r="G167" s="22" t="inlineStr">
        <is>
          <t>0.200 SOL</t>
        </is>
      </c>
      <c r="H167" s="22" t="inlineStr">
        <is>
          <t>13.07%</t>
        </is>
      </c>
      <c r="I167" s="20" t="inlineStr">
        <is>
          <t>N/A</t>
        </is>
      </c>
      <c r="J167" s="20" t="n">
        <v>1</v>
      </c>
      <c r="K167" s="20" t="n">
        <v>1</v>
      </c>
      <c r="L167" s="20" t="inlineStr">
        <is>
          <t>27.10.2024 17:13:32</t>
        </is>
      </c>
      <c r="M167" s="18" t="inlineStr">
        <is>
          <t>31 sec</t>
        </is>
      </c>
      <c r="N167" s="20" t="inlineStr">
        <is>
          <t xml:space="preserve">          9K             9K             5K</t>
        </is>
      </c>
      <c r="O167" s="20" t="inlineStr">
        <is>
          <t>5Uu8A385JCz3VNg3TqGQVB78jnNmAtZxkFAWTC8Xpump</t>
        </is>
      </c>
      <c r="P167" s="20">
        <f>HYPERLINK("https://photon-sol.tinyastro.io/en/lp/5Uu8A385JCz3VNg3TqGQVB78jnNmAtZxkFAWTC8Xpump?handle=676050794bc1b1657a56b", "View")</f>
        <v/>
      </c>
    </row>
    <row r="168">
      <c r="A168" s="15" t="inlineStr">
        <is>
          <t>LUCY</t>
        </is>
      </c>
      <c r="B168" s="16" t="n">
        <v>40616313</v>
      </c>
      <c r="C168" s="16" t="n">
        <v>40616313</v>
      </c>
      <c r="D168" s="16" t="inlineStr">
        <is>
          <t>0.004220</t>
        </is>
      </c>
      <c r="E168" s="16" t="inlineStr">
        <is>
          <t>3.176 SOL</t>
        </is>
      </c>
      <c r="F168" s="16" t="inlineStr">
        <is>
          <t>3.986 SOL</t>
        </is>
      </c>
      <c r="G168" s="22" t="inlineStr">
        <is>
          <t>0.806 SOL</t>
        </is>
      </c>
      <c r="H168" s="22" t="inlineStr">
        <is>
          <t>25.33%</t>
        </is>
      </c>
      <c r="I168" s="16" t="inlineStr">
        <is>
          <t>N/A</t>
        </is>
      </c>
      <c r="J168" s="16" t="n">
        <v>2</v>
      </c>
      <c r="K168" s="16" t="n">
        <v>2</v>
      </c>
      <c r="L168" s="16" t="inlineStr">
        <is>
          <t>27.10.2024 16:56:52</t>
        </is>
      </c>
      <c r="M168" s="16" t="inlineStr">
        <is>
          <t>1 min</t>
        </is>
      </c>
      <c r="N168" s="16" t="inlineStr">
        <is>
          <t xml:space="preserve">         11K            21K             5K</t>
        </is>
      </c>
      <c r="O168" s="16" t="inlineStr">
        <is>
          <t>C4wmtaHg8aaKf2b8rsR564hcJJ7HRUmpyJdcHdWHpump</t>
        </is>
      </c>
      <c r="P168" s="16">
        <f>HYPERLINK("https://photon-sol.tinyastro.io/en/lp/C4wmtaHg8aaKf2b8rsR564hcJJ7HRUmpyJdcHdWHpump?handle=676050794bc1b1657a56b", "View")</f>
        <v/>
      </c>
    </row>
    <row r="169">
      <c r="A169" s="19" t="inlineStr">
        <is>
          <t>TERMINAL</t>
        </is>
      </c>
      <c r="B169" s="20" t="n">
        <v>22952240</v>
      </c>
      <c r="C169" s="20" t="n">
        <v>22952240</v>
      </c>
      <c r="D169" s="20" t="inlineStr">
        <is>
          <t>0.002110</t>
        </is>
      </c>
      <c r="E169" s="20" t="inlineStr">
        <is>
          <t>1.670 SOL</t>
        </is>
      </c>
      <c r="F169" s="20" t="inlineStr">
        <is>
          <t>3.955 SOL</t>
        </is>
      </c>
      <c r="G169" s="23" t="inlineStr">
        <is>
          <t>2.283 SOL</t>
        </is>
      </c>
      <c r="H169" s="23" t="inlineStr">
        <is>
          <t>136.54%</t>
        </is>
      </c>
      <c r="I169" s="20" t="inlineStr">
        <is>
          <t>N/A</t>
        </is>
      </c>
      <c r="J169" s="20" t="n">
        <v>1</v>
      </c>
      <c r="K169" s="20" t="n">
        <v>1</v>
      </c>
      <c r="L169" s="20" t="inlineStr">
        <is>
          <t>27.10.2024 16:36:50</t>
        </is>
      </c>
      <c r="M169" s="18" t="inlineStr">
        <is>
          <t>31 sec</t>
        </is>
      </c>
      <c r="N169" s="20" t="inlineStr">
        <is>
          <t xml:space="preserve">         12K            30K             4K</t>
        </is>
      </c>
      <c r="O169" s="20" t="inlineStr">
        <is>
          <t>DZu3akMYJs9SAbsev8ntosJmPNpTZ11Hr8QxYHYdpump</t>
        </is>
      </c>
      <c r="P169" s="20">
        <f>HYPERLINK("https://photon-sol.tinyastro.io/en/lp/DZu3akMYJs9SAbsev8ntosJmPNpTZ11Hr8QxYHYdpump?handle=676050794bc1b1657a56b", "View")</f>
        <v/>
      </c>
    </row>
    <row r="170">
      <c r="A170" s="15" t="inlineStr">
        <is>
          <t>ELF</t>
        </is>
      </c>
      <c r="B170" s="16" t="n">
        <v>18438987</v>
      </c>
      <c r="C170" s="16" t="n">
        <v>18438987</v>
      </c>
      <c r="D170" s="16" t="inlineStr">
        <is>
          <t>0.002110</t>
        </is>
      </c>
      <c r="E170" s="16" t="inlineStr">
        <is>
          <t>1.531 SOL</t>
        </is>
      </c>
      <c r="F170" s="16" t="inlineStr">
        <is>
          <t>1.699 SOL</t>
        </is>
      </c>
      <c r="G170" s="22" t="inlineStr">
        <is>
          <t>0.166 SOL</t>
        </is>
      </c>
      <c r="H170" s="22" t="inlineStr">
        <is>
          <t>10.83%</t>
        </is>
      </c>
      <c r="I170" s="16" t="inlineStr">
        <is>
          <t>N/A</t>
        </is>
      </c>
      <c r="J170" s="16" t="n">
        <v>1</v>
      </c>
      <c r="K170" s="16" t="n">
        <v>1</v>
      </c>
      <c r="L170" s="16" t="inlineStr">
        <is>
          <t>27.10.2024 16:25:14</t>
        </is>
      </c>
      <c r="M170" s="18" t="inlineStr">
        <is>
          <t>18 sec</t>
        </is>
      </c>
      <c r="N170" s="16" t="inlineStr">
        <is>
          <t xml:space="preserve">         14K            16K             5K</t>
        </is>
      </c>
      <c r="O170" s="16" t="inlineStr">
        <is>
          <t>DZrGD6LGtC7ggRAUQbbuuHPj2QfiFW8VTefQcj4Spump</t>
        </is>
      </c>
      <c r="P170" s="16">
        <f>HYPERLINK("https://photon-sol.tinyastro.io/en/lp/DZrGD6LGtC7ggRAUQbbuuHPj2QfiFW8VTefQcj4Spump?handle=676050794bc1b1657a56b", "View")</f>
        <v/>
      </c>
    </row>
    <row r="171">
      <c r="A171" s="19" t="inlineStr">
        <is>
          <t>SOUP</t>
        </is>
      </c>
      <c r="B171" s="20" t="n">
        <v>12626652</v>
      </c>
      <c r="C171" s="20" t="n">
        <v>12626652</v>
      </c>
      <c r="D171" s="20" t="inlineStr">
        <is>
          <t>0.002110</t>
        </is>
      </c>
      <c r="E171" s="20" t="inlineStr">
        <is>
          <t>1.696 SOL</t>
        </is>
      </c>
      <c r="F171" s="20" t="inlineStr">
        <is>
          <t>0.485 SOL</t>
        </is>
      </c>
      <c r="G171" s="24" t="inlineStr">
        <is>
          <t>-1.213 SOL</t>
        </is>
      </c>
      <c r="H171" s="24" t="inlineStr">
        <is>
          <t>-71.44%</t>
        </is>
      </c>
      <c r="I171" s="20" t="inlineStr">
        <is>
          <t>N/A</t>
        </is>
      </c>
      <c r="J171" s="20" t="n">
        <v>1</v>
      </c>
      <c r="K171" s="20" t="n">
        <v>1</v>
      </c>
      <c r="L171" s="20" t="inlineStr">
        <is>
          <t>27.10.2024 16:12:38</t>
        </is>
      </c>
      <c r="M171" s="18" t="inlineStr">
        <is>
          <t>44 sec</t>
        </is>
      </c>
      <c r="N171" s="20" t="inlineStr">
        <is>
          <t xml:space="preserve">         23K             7K             5K</t>
        </is>
      </c>
      <c r="O171" s="20" t="inlineStr">
        <is>
          <t>824W2ZAdjwDqh8xzwSpFtGFsEauH5144ockTvYvqpump</t>
        </is>
      </c>
      <c r="P171" s="20">
        <f>HYPERLINK("https://photon-sol.tinyastro.io/en/lp/824W2ZAdjwDqh8xzwSpFtGFsEauH5144ockTvYvqpump?handle=676050794bc1b1657a56b", "View")</f>
        <v/>
      </c>
    </row>
    <row r="172">
      <c r="A172" s="15" t="inlineStr">
        <is>
          <t>SAD</t>
        </is>
      </c>
      <c r="B172" s="16" t="n">
        <v>12728020</v>
      </c>
      <c r="C172" s="16" t="n">
        <v>12728020</v>
      </c>
      <c r="D172" s="16" t="inlineStr">
        <is>
          <t>0.112400</t>
        </is>
      </c>
      <c r="E172" s="16" t="inlineStr">
        <is>
          <t>1.549 SOL</t>
        </is>
      </c>
      <c r="F172" s="16" t="inlineStr">
        <is>
          <t>92.442 SOL</t>
        </is>
      </c>
      <c r="G172" s="23" t="inlineStr">
        <is>
          <t>90.781 SOL</t>
        </is>
      </c>
      <c r="H172" s="23" t="inlineStr">
        <is>
          <t>5464.33%</t>
        </is>
      </c>
      <c r="I172" s="16" t="inlineStr">
        <is>
          <t>N/A</t>
        </is>
      </c>
      <c r="J172" s="16" t="n">
        <v>1</v>
      </c>
      <c r="K172" s="16" t="n">
        <v>9</v>
      </c>
      <c r="L172" s="16" t="inlineStr">
        <is>
          <t>27.10.2024 15:28:17</t>
        </is>
      </c>
      <c r="M172" s="16" t="inlineStr">
        <is>
          <t>18 min</t>
        </is>
      </c>
      <c r="N172" s="16" t="inlineStr">
        <is>
          <t xml:space="preserve">         20K             1M            57K</t>
        </is>
      </c>
      <c r="O172" s="16" t="inlineStr">
        <is>
          <t>321tt4d8ZCGAdUB9PdB2cMtEL3uaJV4MaCzY2pTQpump</t>
        </is>
      </c>
      <c r="P172" s="16">
        <f>HYPERLINK("https://photon-sol.tinyastro.io/en/lp/321tt4d8ZCGAdUB9PdB2cMtEL3uaJV4MaCzY2pTQpump?handle=676050794bc1b1657a56b", "View")</f>
        <v/>
      </c>
    </row>
    <row r="173">
      <c r="A173" s="19" t="inlineStr">
        <is>
          <t>EYE CULT</t>
        </is>
      </c>
      <c r="B173" s="20" t="n">
        <v>24106679</v>
      </c>
      <c r="C173" s="20" t="n">
        <v>24106679</v>
      </c>
      <c r="D173" s="20" t="inlineStr">
        <is>
          <t>0.002110</t>
        </is>
      </c>
      <c r="E173" s="20" t="inlineStr">
        <is>
          <t>1.532 SOL</t>
        </is>
      </c>
      <c r="F173" s="20" t="inlineStr">
        <is>
          <t>1.093 SOL</t>
        </is>
      </c>
      <c r="G173" s="21" t="inlineStr">
        <is>
          <t>-0.441 SOL</t>
        </is>
      </c>
      <c r="H173" s="21" t="inlineStr">
        <is>
          <t>-28.75%</t>
        </is>
      </c>
      <c r="I173" s="20" t="inlineStr">
        <is>
          <t>N/A</t>
        </is>
      </c>
      <c r="J173" s="20" t="n">
        <v>1</v>
      </c>
      <c r="K173" s="20" t="n">
        <v>1</v>
      </c>
      <c r="L173" s="20" t="inlineStr">
        <is>
          <t>27.10.2024 14:53:26</t>
        </is>
      </c>
      <c r="M173" s="18" t="inlineStr">
        <is>
          <t>16 sec</t>
        </is>
      </c>
      <c r="N173" s="20" t="inlineStr">
        <is>
          <t xml:space="preserve">         11K             9K             5K</t>
        </is>
      </c>
      <c r="O173" s="20" t="inlineStr">
        <is>
          <t>ALdvPxZrAEeeQj4ehnj2DfnHwFiQHec3aUxFy8FEpump</t>
        </is>
      </c>
      <c r="P173" s="20">
        <f>HYPERLINK("https://photon-sol.tinyastro.io/en/lp/ALdvPxZrAEeeQj4ehnj2DfnHwFiQHec3aUxFy8FEpump?handle=676050794bc1b1657a56b", "View")</f>
        <v/>
      </c>
    </row>
    <row r="174">
      <c r="A174" s="15" t="inlineStr">
        <is>
          <t>bleble</t>
        </is>
      </c>
      <c r="B174" s="16" t="n">
        <v>11131274</v>
      </c>
      <c r="C174" s="16" t="n">
        <v>11131274</v>
      </c>
      <c r="D174" s="16" t="inlineStr">
        <is>
          <t>0.002110</t>
        </is>
      </c>
      <c r="E174" s="16" t="inlineStr">
        <is>
          <t>1.532 SOL</t>
        </is>
      </c>
      <c r="F174" s="16" t="inlineStr">
        <is>
          <t>1.379 SOL</t>
        </is>
      </c>
      <c r="G174" s="21" t="inlineStr">
        <is>
          <t>-0.155 SOL</t>
        </is>
      </c>
      <c r="H174" s="21" t="inlineStr">
        <is>
          <t>-10.09%</t>
        </is>
      </c>
      <c r="I174" s="16" t="inlineStr">
        <is>
          <t>N/A</t>
        </is>
      </c>
      <c r="J174" s="16" t="n">
        <v>1</v>
      </c>
      <c r="K174" s="16" t="n">
        <v>1</v>
      </c>
      <c r="L174" s="16" t="inlineStr">
        <is>
          <t>27.10.2024 14:36:26</t>
        </is>
      </c>
      <c r="M174" s="18" t="inlineStr">
        <is>
          <t>12 sec</t>
        </is>
      </c>
      <c r="N174" s="16" t="inlineStr">
        <is>
          <t xml:space="preserve">         25K            21K             5K</t>
        </is>
      </c>
      <c r="O174" s="16" t="inlineStr">
        <is>
          <t>5hwFNDrr7QmKwvdLPVu8dZfgtdUw4d2MubkNf877pump</t>
        </is>
      </c>
      <c r="P174" s="16">
        <f>HYPERLINK("https://photon-sol.tinyastro.io/en/lp/5hwFNDrr7QmKwvdLPVu8dZfgtdUw4d2MubkNf877pump?handle=676050794bc1b1657a56b", "View")</f>
        <v/>
      </c>
    </row>
    <row r="175">
      <c r="A175" s="19" t="inlineStr">
        <is>
          <t>KIRA</t>
        </is>
      </c>
      <c r="B175" s="20" t="n">
        <v>11312861</v>
      </c>
      <c r="C175" s="20" t="n">
        <v>11312861</v>
      </c>
      <c r="D175" s="20" t="inlineStr">
        <is>
          <t>0.112400</t>
        </is>
      </c>
      <c r="E175" s="20" t="inlineStr">
        <is>
          <t>1.818 SOL</t>
        </is>
      </c>
      <c r="F175" s="20" t="inlineStr">
        <is>
          <t>28.980 SOL</t>
        </is>
      </c>
      <c r="G175" s="23" t="inlineStr">
        <is>
          <t>27.050 SOL</t>
        </is>
      </c>
      <c r="H175" s="23" t="inlineStr">
        <is>
          <t>1401.05%</t>
        </is>
      </c>
      <c r="I175" s="20" t="inlineStr">
        <is>
          <t>N/A</t>
        </is>
      </c>
      <c r="J175" s="20" t="n">
        <v>1</v>
      </c>
      <c r="K175" s="20" t="n">
        <v>9</v>
      </c>
      <c r="L175" s="20" t="inlineStr">
        <is>
          <t>27.10.2024 14:28:02</t>
        </is>
      </c>
      <c r="M175" s="20" t="inlineStr">
        <is>
          <t>5 min</t>
        </is>
      </c>
      <c r="N175" s="20" t="inlineStr">
        <is>
          <t xml:space="preserve">         28K             1M             2M</t>
        </is>
      </c>
      <c r="O175" s="20" t="inlineStr">
        <is>
          <t>CefZxozhhxK88XPJoeWBczYSaBPd35tsKnziTH6Cpump</t>
        </is>
      </c>
      <c r="P175" s="20">
        <f>HYPERLINK("https://photon-sol.tinyastro.io/en/lp/CefZxozhhxK88XPJoeWBczYSaBPd35tsKnziTH6Cpump?handle=676050794bc1b1657a56b", "View")</f>
        <v/>
      </c>
    </row>
    <row r="176">
      <c r="A176" s="15" t="inlineStr">
        <is>
          <t>$AnimeEye</t>
        </is>
      </c>
      <c r="B176" s="16" t="n">
        <v>27059576</v>
      </c>
      <c r="C176" s="16" t="n">
        <v>27059576</v>
      </c>
      <c r="D176" s="16" t="inlineStr">
        <is>
          <t>0.002110</t>
        </is>
      </c>
      <c r="E176" s="16" t="inlineStr">
        <is>
          <t>1.614 SOL</t>
        </is>
      </c>
      <c r="F176" s="16" t="inlineStr">
        <is>
          <t>1.394 SOL</t>
        </is>
      </c>
      <c r="G176" s="21" t="inlineStr">
        <is>
          <t>-0.222 SOL</t>
        </is>
      </c>
      <c r="H176" s="21" t="inlineStr">
        <is>
          <t>-13.72%</t>
        </is>
      </c>
      <c r="I176" s="16" t="inlineStr">
        <is>
          <t>N/A</t>
        </is>
      </c>
      <c r="J176" s="16" t="n">
        <v>1</v>
      </c>
      <c r="K176" s="16" t="n">
        <v>1</v>
      </c>
      <c r="L176" s="16" t="inlineStr">
        <is>
          <t>27.10.2024 14:05:06</t>
        </is>
      </c>
      <c r="M176" s="18" t="inlineStr">
        <is>
          <t>27 sec</t>
        </is>
      </c>
      <c r="N176" s="16" t="inlineStr">
        <is>
          <t xml:space="preserve">         11K             9K             5K</t>
        </is>
      </c>
      <c r="O176" s="16" t="inlineStr">
        <is>
          <t>9uwrbidUwkBrzGbcQsNHQVRK1EFuvvACmsrowsjKpump</t>
        </is>
      </c>
      <c r="P176" s="16">
        <f>HYPERLINK("https://photon-sol.tinyastro.io/en/lp/9uwrbidUwkBrzGbcQsNHQVRK1EFuvvACmsrowsjKpump?handle=676050794bc1b1657a56b", "View")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151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HYPERLINK("https://gmgn.ai/sol/address/FxnE7hpyS4JbdrvFKRCZzwkS5WiEdAdsoG3YBXeL56WS", "GMGN")</f>
        <v/>
      </c>
    </row>
    <row r="2">
      <c r="A2" s="3" t="inlineStr">
        <is>
          <t>FxnE7hpyS4JbdrvFKRCZzwkS5WiEdAdsoG3YBXeL56WS</t>
        </is>
      </c>
      <c r="B2" s="3" t="inlineStr">
        <is>
          <t>2.33 SOL</t>
        </is>
      </c>
      <c r="C2" s="3" t="inlineStr">
        <is>
          <t>73%</t>
        </is>
      </c>
      <c r="D2" s="3" t="inlineStr">
        <is>
          <t>5%</t>
        </is>
      </c>
      <c r="E2" s="3" t="inlineStr">
        <is>
          <t>4.48 SOL</t>
        </is>
      </c>
      <c r="F2" s="3" t="inlineStr">
        <is>
          <t>0 (0%)</t>
        </is>
      </c>
      <c r="G2" s="3" t="inlineStr">
        <is>
          <t>2 (2%)</t>
        </is>
      </c>
      <c r="H2" s="3" t="n">
        <v>132</v>
      </c>
      <c r="I2" s="3" t="n">
        <v>0</v>
      </c>
      <c r="J2" s="3" t="inlineStr">
        <is>
          <t>34 days</t>
        </is>
      </c>
      <c r="K2" s="3" t="inlineStr">
        <is>
          <t>45 min</t>
        </is>
      </c>
      <c r="L2" s="3" t="n">
        <v>0</v>
      </c>
      <c r="M2" s="3" t="n">
        <v>245</v>
      </c>
      <c r="N2" s="3">
        <f>HYPERLINK("https://solscan.io/account/FxnE7hpyS4JbdrvFKRCZzwkS5WiEdAdsoG3YBXeL56WS", "Solscan")</f>
        <v/>
      </c>
    </row>
    <row r="3">
      <c r="A3" s="6" t="inlineStr">
        <is>
          <t>Median ROI</t>
        </is>
      </c>
      <c r="B3" s="4" t="inlineStr">
        <is>
          <t>9.00%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HYPERLINK("https://birdeye.so/profile/FxnE7hpyS4JbdrvFKRCZzwkS5WiEdAdsoG3YBXeL56WS", "Birdeye")</f>
        <v/>
      </c>
    </row>
    <row r="4">
      <c r="A4" s="6" t="inlineStr">
        <is>
          <t>Rockets percent</t>
        </is>
      </c>
      <c r="B4" s="3" t="inlineStr">
        <is>
          <t>2%</t>
        </is>
      </c>
      <c r="C4" s="3" t="inlineStr"/>
      <c r="D4" s="3" t="inlineStr">
        <is>
          <t>1%</t>
        </is>
      </c>
      <c r="E4" s="3" t="inlineStr">
        <is>
          <t>0.47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63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2.5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3</v>
      </c>
      <c r="D10" s="6" t="n">
        <v>4</v>
      </c>
      <c r="E10" s="6" t="n">
        <v>90</v>
      </c>
      <c r="F10" s="6" t="n">
        <v>26</v>
      </c>
      <c r="G10" s="6" t="n">
        <v>9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2.3%</t>
        </is>
      </c>
      <c r="D11" s="6" t="inlineStr">
        <is>
          <t>3.0%</t>
        </is>
      </c>
      <c r="E11" s="6" t="inlineStr">
        <is>
          <t>68.2%</t>
        </is>
      </c>
      <c r="F11" s="6" t="inlineStr">
        <is>
          <t>19.7%</t>
        </is>
      </c>
      <c r="G11" s="6" t="inlineStr">
        <is>
          <t>6.8%</t>
        </is>
      </c>
      <c r="H11" s="3" t="n"/>
      <c r="I11" s="3" t="inlineStr">
        <is>
          <t>5k-30k</t>
        </is>
      </c>
      <c r="J11" s="3" t="inlineStr">
        <is>
          <t>0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1.6 SOL</t>
        </is>
      </c>
      <c r="D12" s="6" t="inlineStr">
        <is>
          <t>0.9 SOL</t>
        </is>
      </c>
      <c r="E12" s="6" t="inlineStr">
        <is>
          <t>9.5 SOL</t>
        </is>
      </c>
      <c r="F12" s="6" t="inlineStr">
        <is>
          <t>-4.4 SOL</t>
        </is>
      </c>
      <c r="G12" s="6" t="inlineStr">
        <is>
          <t>-3.1 SOL</t>
        </is>
      </c>
      <c r="H12" s="3" t="n"/>
      <c r="I12" s="3" t="inlineStr">
        <is>
          <t>30k-100k</t>
        </is>
      </c>
      <c r="J12" s="3" t="inlineStr">
        <is>
          <t>8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54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66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322.5K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CT100</t>
        </is>
      </c>
      <c r="B20" s="16" t="n">
        <v>590680</v>
      </c>
      <c r="C20" s="16" t="n">
        <v>590680</v>
      </c>
      <c r="D20" s="16" t="inlineStr">
        <is>
          <t>0.003670</t>
        </is>
      </c>
      <c r="E20" s="16" t="inlineStr">
        <is>
          <t>0.600 SOL</t>
        </is>
      </c>
      <c r="F20" s="16" t="inlineStr">
        <is>
          <t>0.721 SOL</t>
        </is>
      </c>
      <c r="G20" s="22" t="inlineStr">
        <is>
          <t>0.117 SOL</t>
        </is>
      </c>
      <c r="H20" s="22" t="inlineStr">
        <is>
          <t>19.42%</t>
        </is>
      </c>
      <c r="I20" s="16" t="inlineStr">
        <is>
          <t>N/A</t>
        </is>
      </c>
      <c r="J20" s="16" t="n">
        <v>2</v>
      </c>
      <c r="K20" s="16" t="n">
        <v>2</v>
      </c>
      <c r="L20" s="16" t="inlineStr">
        <is>
          <t>30.10.2024 13:36:59</t>
        </is>
      </c>
      <c r="M20" s="16" t="inlineStr">
        <is>
          <t>51 min</t>
        </is>
      </c>
      <c r="N20" s="16" t="inlineStr">
        <is>
          <t xml:space="preserve">        184K           207K            91K</t>
        </is>
      </c>
      <c r="O20" s="16" t="inlineStr">
        <is>
          <t>EYwNqD3BrrmHYFC5xfEsELZmKapsQbjv3xHsNdg4pump</t>
        </is>
      </c>
      <c r="P20" s="16">
        <f>HYPERLINK("https://dexscreener.com/solana/EYwNqD3BrrmHYFC5xfEsELZmKapsQbjv3xHsNdg4pump", "View")</f>
        <v/>
      </c>
    </row>
    <row r="21">
      <c r="A21" s="19" t="inlineStr">
        <is>
          <t>Pochita</t>
        </is>
      </c>
      <c r="B21" s="20" t="n">
        <v>367071</v>
      </c>
      <c r="C21" s="20" t="n">
        <v>367071</v>
      </c>
      <c r="D21" s="20" t="inlineStr">
        <is>
          <t>0.000130</t>
        </is>
      </c>
      <c r="E21" s="20" t="inlineStr">
        <is>
          <t>0.100 SOL</t>
        </is>
      </c>
      <c r="F21" s="20" t="inlineStr">
        <is>
          <t>0.103 SOL</t>
        </is>
      </c>
      <c r="G21" s="22" t="inlineStr">
        <is>
          <t>0.003 SOL</t>
        </is>
      </c>
      <c r="H21" s="22" t="inlineStr">
        <is>
          <t>2.63%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09:39:07</t>
        </is>
      </c>
      <c r="M21" s="20" t="inlineStr">
        <is>
          <t>5 min</t>
        </is>
      </c>
      <c r="N21" s="20" t="inlineStr">
        <is>
          <t xml:space="preserve">        N/A           N/A           N/A</t>
        </is>
      </c>
      <c r="O21" s="20" t="inlineStr">
        <is>
          <t>4Y7MUeEgXYGyt3jrBkbLisdrfieRdqGyHi4VuhpBe4xD</t>
        </is>
      </c>
      <c r="P21" s="20">
        <f>HYPERLINK("https://dexscreener.com/solana/4Y7MUeEgXYGyt3jrBkbLisdrfieRdqGyHi4VuhpBe4xD", "View")</f>
        <v/>
      </c>
    </row>
    <row r="22">
      <c r="A22" s="15" t="inlineStr">
        <is>
          <t>Unicross</t>
        </is>
      </c>
      <c r="B22" s="16" t="n">
        <v>899108</v>
      </c>
      <c r="C22" s="16" t="n">
        <v>899108</v>
      </c>
      <c r="D22" s="16" t="inlineStr">
        <is>
          <t>0.000030</t>
        </is>
      </c>
      <c r="E22" s="16" t="inlineStr">
        <is>
          <t>0.300 SOL</t>
        </is>
      </c>
      <c r="F22" s="16" t="inlineStr">
        <is>
          <t>0.342 SOL</t>
        </is>
      </c>
      <c r="G22" s="22" t="inlineStr">
        <is>
          <t>0.042 SOL</t>
        </is>
      </c>
      <c r="H22" s="22" t="inlineStr">
        <is>
          <t>14.11%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06:12:51</t>
        </is>
      </c>
      <c r="M22" s="16" t="inlineStr">
        <is>
          <t>11 min</t>
        </is>
      </c>
      <c r="N22" s="16" t="inlineStr">
        <is>
          <t xml:space="preserve">         55K            63K             6K</t>
        </is>
      </c>
      <c r="O22" s="16" t="inlineStr">
        <is>
          <t>Afzw9a8zYMkd77EDYSfyxsVwwzVdZbW47xHRtMfzpump</t>
        </is>
      </c>
      <c r="P22" s="16">
        <f>HYPERLINK("https://dexscreener.com/solana/Afzw9a8zYMkd77EDYSfyxsVwwzVdZbW47xHRtMfzpump", "View")</f>
        <v/>
      </c>
    </row>
    <row r="23">
      <c r="A23" s="19" t="inlineStr">
        <is>
          <t>NUTBUTT</t>
        </is>
      </c>
      <c r="B23" s="20" t="n">
        <v>423787</v>
      </c>
      <c r="C23" s="20" t="n">
        <v>423787</v>
      </c>
      <c r="D23" s="20" t="inlineStr">
        <is>
          <t>0.000060</t>
        </is>
      </c>
      <c r="E23" s="20" t="inlineStr">
        <is>
          <t>0.300 SOL</t>
        </is>
      </c>
      <c r="F23" s="20" t="inlineStr">
        <is>
          <t>0.654 SOL</t>
        </is>
      </c>
      <c r="G23" s="23" t="inlineStr">
        <is>
          <t>0.353 SOL</t>
        </is>
      </c>
      <c r="H23" s="23" t="inlineStr">
        <is>
          <t>117.80%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05:53:15</t>
        </is>
      </c>
      <c r="M23" s="20" t="inlineStr">
        <is>
          <t>40 min</t>
        </is>
      </c>
      <c r="N23" s="20" t="inlineStr">
        <is>
          <t xml:space="preserve">        125K           270K           657K</t>
        </is>
      </c>
      <c r="O23" s="20" t="inlineStr">
        <is>
          <t>CFBYjzT357obRmihT9F5uyCY3kqgksRvXKM3RJN1pump</t>
        </is>
      </c>
      <c r="P23" s="20">
        <f>HYPERLINK("https://dexscreener.com/solana/CFBYjzT357obRmihT9F5uyCY3kqgksRvXKM3RJN1pump", "View")</f>
        <v/>
      </c>
    </row>
    <row r="24">
      <c r="A24" s="15" t="inlineStr">
        <is>
          <t>GWOT</t>
        </is>
      </c>
      <c r="B24" s="16" t="n">
        <v>575560</v>
      </c>
      <c r="C24" s="16" t="n">
        <v>575560</v>
      </c>
      <c r="D24" s="16" t="inlineStr">
        <is>
          <t>0.000120</t>
        </is>
      </c>
      <c r="E24" s="16" t="inlineStr">
        <is>
          <t>0.500 SOL</t>
        </is>
      </c>
      <c r="F24" s="16" t="inlineStr">
        <is>
          <t>0.549 SOL</t>
        </is>
      </c>
      <c r="G24" s="22" t="inlineStr">
        <is>
          <t>0.049 SOL</t>
        </is>
      </c>
      <c r="H24" s="22" t="inlineStr">
        <is>
          <t>9.82%</t>
        </is>
      </c>
      <c r="I24" s="16" t="inlineStr">
        <is>
          <t>N/A</t>
        </is>
      </c>
      <c r="J24" s="16" t="n">
        <v>2</v>
      </c>
      <c r="K24" s="16" t="n">
        <v>1</v>
      </c>
      <c r="L24" s="16" t="inlineStr">
        <is>
          <t>29.10.2024 23:06:09</t>
        </is>
      </c>
      <c r="M24" s="16" t="inlineStr">
        <is>
          <t>50 min</t>
        </is>
      </c>
      <c r="N24" s="16" t="inlineStr">
        <is>
          <t xml:space="preserve">        165K           147K            14K</t>
        </is>
      </c>
      <c r="O24" s="16" t="inlineStr">
        <is>
          <t>75gTkoZ1gEJXcA2Qqpqm8bes6QZVTEwnzQ3Xvz5tpump</t>
        </is>
      </c>
      <c r="P24" s="16">
        <f>HYPERLINK("https://dexscreener.com/solana/75gTkoZ1gEJXcA2Qqpqm8bes6QZVTEwnzQ3Xvz5tpump", "View")</f>
        <v/>
      </c>
    </row>
    <row r="25">
      <c r="A25" s="19" t="inlineStr">
        <is>
          <t>Luce</t>
        </is>
      </c>
      <c r="B25" s="20" t="n">
        <v>1392310</v>
      </c>
      <c r="C25" s="20" t="n">
        <v>1392310</v>
      </c>
      <c r="D25" s="20" t="inlineStr">
        <is>
          <t>0.000090</t>
        </is>
      </c>
      <c r="E25" s="20" t="inlineStr">
        <is>
          <t>0.600 SOL</t>
        </is>
      </c>
      <c r="F25" s="20" t="inlineStr">
        <is>
          <t>0.606 SOL</t>
        </is>
      </c>
      <c r="G25" s="22" t="inlineStr">
        <is>
          <t>0.006 SOL</t>
        </is>
      </c>
      <c r="H25" s="22" t="inlineStr">
        <is>
          <t>1.03%</t>
        </is>
      </c>
      <c r="I25" s="20" t="inlineStr">
        <is>
          <t>N/A</t>
        </is>
      </c>
      <c r="J25" s="20" t="n">
        <v>2</v>
      </c>
      <c r="K25" s="20" t="n">
        <v>1</v>
      </c>
      <c r="L25" s="20" t="inlineStr">
        <is>
          <t>29.10.2024 09:50:33</t>
        </is>
      </c>
      <c r="M25" s="20" t="inlineStr">
        <is>
          <t>32 min</t>
        </is>
      </c>
      <c r="N25" s="20" t="inlineStr">
        <is>
          <t xml:space="preserve">         90K            77K            11K</t>
        </is>
      </c>
      <c r="O25" s="20" t="inlineStr">
        <is>
          <t>8AjtHmMJfxf2uKzx8LFgNMQR2ewLwJFF5eeWZfaapump</t>
        </is>
      </c>
      <c r="P25" s="20">
        <f>HYPERLINK("https://dexscreener.com/solana/8AjtHmMJfxf2uKzx8LFgNMQR2ewLwJFF5eeWZfaapump", "View")</f>
        <v/>
      </c>
    </row>
    <row r="26">
      <c r="A26" s="15" t="inlineStr">
        <is>
          <t>SHIBU</t>
        </is>
      </c>
      <c r="B26" s="16" t="n">
        <v>538875</v>
      </c>
      <c r="C26" s="16" t="n">
        <v>538875</v>
      </c>
      <c r="D26" s="16" t="inlineStr">
        <is>
          <t>0.001480</t>
        </is>
      </c>
      <c r="E26" s="16" t="inlineStr">
        <is>
          <t>0.500 SOL</t>
        </is>
      </c>
      <c r="F26" s="16" t="inlineStr">
        <is>
          <t>0.707 SOL</t>
        </is>
      </c>
      <c r="G26" s="22" t="inlineStr">
        <is>
          <t>0.206 SOL</t>
        </is>
      </c>
      <c r="H26" s="22" t="inlineStr">
        <is>
          <t>41.07%</t>
        </is>
      </c>
      <c r="I26" s="16" t="inlineStr">
        <is>
          <t>N/A</t>
        </is>
      </c>
      <c r="J26" s="16" t="n">
        <v>2</v>
      </c>
      <c r="K26" s="16" t="n">
        <v>1</v>
      </c>
      <c r="L26" s="16" t="inlineStr">
        <is>
          <t>29.10.2024 02:08:20</t>
        </is>
      </c>
      <c r="M26" s="16" t="inlineStr">
        <is>
          <t>47 min</t>
        </is>
      </c>
      <c r="N26" s="16" t="inlineStr">
        <is>
          <t xml:space="preserve">        225K           230K             7M</t>
        </is>
      </c>
      <c r="O26" s="16" t="inlineStr">
        <is>
          <t>yG6bXPEFaUnGAEHHqH9H7t1VSfaK7YrggCqHy35pump</t>
        </is>
      </c>
      <c r="P26" s="16">
        <f>HYPERLINK("https://dexscreener.com/solana/yG6bXPEFaUnGAEHHqH9H7t1VSfaK7YrggCqHy35pump", "View")</f>
        <v/>
      </c>
    </row>
    <row r="27">
      <c r="A27" s="19" t="inlineStr">
        <is>
          <t>Santino</t>
        </is>
      </c>
      <c r="B27" s="20" t="n">
        <v>438297</v>
      </c>
      <c r="C27" s="20" t="n">
        <v>438297</v>
      </c>
      <c r="D27" s="20" t="inlineStr">
        <is>
          <t>0.000590</t>
        </is>
      </c>
      <c r="E27" s="20" t="inlineStr">
        <is>
          <t>0.500 SOL</t>
        </is>
      </c>
      <c r="F27" s="20" t="inlineStr">
        <is>
          <t>0.911 SOL</t>
        </is>
      </c>
      <c r="G27" s="23" t="inlineStr">
        <is>
          <t>0.411 SOL</t>
        </is>
      </c>
      <c r="H27" s="23" t="inlineStr">
        <is>
          <t>82.06%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28.10.2024 23:09:58</t>
        </is>
      </c>
      <c r="M27" s="20" t="inlineStr">
        <is>
          <t>24 min</t>
        </is>
      </c>
      <c r="N27" s="20" t="inlineStr">
        <is>
          <t xml:space="preserve">        200K           365K           544K</t>
        </is>
      </c>
      <c r="O27" s="20" t="inlineStr">
        <is>
          <t>Fof1DyVSYiQGCnT3uTbmq8kQMPdwL35x1bD82NaTs9mM</t>
        </is>
      </c>
      <c r="P27" s="20">
        <f>HYPERLINK("https://dexscreener.com/solana/Fof1DyVSYiQGCnT3uTbmq8kQMPdwL35x1bD82NaTs9mM", "View")</f>
        <v/>
      </c>
    </row>
    <row r="28">
      <c r="A28" s="15" t="inlineStr">
        <is>
          <t>ZEREBRO</t>
        </is>
      </c>
      <c r="B28" s="16" t="n">
        <v>71246</v>
      </c>
      <c r="C28" s="16" t="n">
        <v>71246</v>
      </c>
      <c r="D28" s="16" t="inlineStr">
        <is>
          <t>0.002150</t>
        </is>
      </c>
      <c r="E28" s="16" t="inlineStr">
        <is>
          <t>0.300 SOL</t>
        </is>
      </c>
      <c r="F28" s="16" t="inlineStr">
        <is>
          <t>0.189 SOL</t>
        </is>
      </c>
      <c r="G28" s="21" t="inlineStr">
        <is>
          <t>-0.113 SOL</t>
        </is>
      </c>
      <c r="H28" s="21" t="inlineStr">
        <is>
          <t>-37.50%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28.10.2024 21:48:24</t>
        </is>
      </c>
      <c r="M28" s="16" t="inlineStr">
        <is>
          <t>9 min</t>
        </is>
      </c>
      <c r="N28" s="16" t="inlineStr">
        <is>
          <t xml:space="preserve">        739K           465K           538K</t>
        </is>
      </c>
      <c r="O28" s="16" t="inlineStr">
        <is>
          <t>8x5VqbHA8D7NkD52uNuS5nnt3PwA8pLD34ymskeSo2Wn</t>
        </is>
      </c>
      <c r="P28" s="16">
        <f>HYPERLINK("https://dexscreener.com/solana/8x5VqbHA8D7NkD52uNuS5nnt3PwA8pLD34ymskeSo2Wn", "View")</f>
        <v/>
      </c>
    </row>
    <row r="29">
      <c r="A29" s="19" t="inlineStr">
        <is>
          <t>CA</t>
        </is>
      </c>
      <c r="B29" s="20" t="n">
        <v>254644</v>
      </c>
      <c r="C29" s="20" t="n">
        <v>254644</v>
      </c>
      <c r="D29" s="20" t="inlineStr">
        <is>
          <t>0.000440</t>
        </is>
      </c>
      <c r="E29" s="20" t="inlineStr">
        <is>
          <t>0.200 SOL</t>
        </is>
      </c>
      <c r="F29" s="20" t="inlineStr">
        <is>
          <t>0.223 SOL</t>
        </is>
      </c>
      <c r="G29" s="22" t="inlineStr">
        <is>
          <t>0.023 SOL</t>
        </is>
      </c>
      <c r="H29" s="22" t="inlineStr">
        <is>
          <t>11.33%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28.10.2024 21:35:13</t>
        </is>
      </c>
      <c r="M29" s="20" t="inlineStr">
        <is>
          <t>1 min</t>
        </is>
      </c>
      <c r="N29" s="20" t="inlineStr">
        <is>
          <t xml:space="preserve">        139K           155K            67K</t>
        </is>
      </c>
      <c r="O29" s="20" t="inlineStr">
        <is>
          <t>E8XbEd58s12PzTyCWmFpWTTrmr46AhT8beVhdps3pump</t>
        </is>
      </c>
      <c r="P29" s="20">
        <f>HYPERLINK("https://dexscreener.com/solana/E8XbEd58s12PzTyCWmFpWTTrmr46AhT8beVhdps3pump", "View")</f>
        <v/>
      </c>
    </row>
    <row r="30">
      <c r="A30" s="15" t="inlineStr">
        <is>
          <t>Mizume AI</t>
        </is>
      </c>
      <c r="B30" s="16" t="n">
        <v>270780</v>
      </c>
      <c r="C30" s="16" t="n">
        <v>270780</v>
      </c>
      <c r="D30" s="16" t="inlineStr">
        <is>
          <t>0.000610</t>
        </is>
      </c>
      <c r="E30" s="16" t="inlineStr">
        <is>
          <t>0.600 SOL</t>
        </is>
      </c>
      <c r="F30" s="16" t="inlineStr">
        <is>
          <t>0.610 SOL</t>
        </is>
      </c>
      <c r="G30" s="22" t="inlineStr">
        <is>
          <t>0.009 SOL</t>
        </is>
      </c>
      <c r="H30" s="22" t="inlineStr">
        <is>
          <t>1.56%</t>
        </is>
      </c>
      <c r="I30" s="16" t="inlineStr">
        <is>
          <t>N/A</t>
        </is>
      </c>
      <c r="J30" s="16" t="n">
        <v>2</v>
      </c>
      <c r="K30" s="16" t="n">
        <v>2</v>
      </c>
      <c r="L30" s="16" t="inlineStr">
        <is>
          <t>28.10.2024 10:23:22</t>
        </is>
      </c>
      <c r="M30" s="16" t="inlineStr">
        <is>
          <t>52 min</t>
        </is>
      </c>
      <c r="N30" s="16" t="inlineStr">
        <is>
          <t xml:space="preserve">        370K           391K            11K</t>
        </is>
      </c>
      <c r="O30" s="16" t="inlineStr">
        <is>
          <t>7MRj6QSPHcNVtxQkzxsVzfXvfT1tqEW8oFDDV2Pipump</t>
        </is>
      </c>
      <c r="P30" s="16">
        <f>HYPERLINK("https://dexscreener.com/solana/7MRj6QSPHcNVtxQkzxsVzfXvfT1tqEW8oFDDV2Pipump", "View")</f>
        <v/>
      </c>
    </row>
    <row r="31">
      <c r="A31" s="19" t="inlineStr">
        <is>
          <t>AIOS</t>
        </is>
      </c>
      <c r="B31" s="20" t="n">
        <v>363625</v>
      </c>
      <c r="C31" s="20" t="n">
        <v>363625</v>
      </c>
      <c r="D31" s="20" t="inlineStr">
        <is>
          <t>0.006780</t>
        </is>
      </c>
      <c r="E31" s="20" t="inlineStr">
        <is>
          <t>1.685 SOL</t>
        </is>
      </c>
      <c r="F31" s="20" t="inlineStr">
        <is>
          <t>1.351 SOL</t>
        </is>
      </c>
      <c r="G31" s="21" t="inlineStr">
        <is>
          <t>-0.341 SOL</t>
        </is>
      </c>
      <c r="H31" s="21" t="inlineStr">
        <is>
          <t>-20.15%</t>
        </is>
      </c>
      <c r="I31" s="20" t="inlineStr">
        <is>
          <t>N/A</t>
        </is>
      </c>
      <c r="J31" s="20" t="n">
        <v>4</v>
      </c>
      <c r="K31" s="20" t="n">
        <v>2</v>
      </c>
      <c r="L31" s="20" t="inlineStr">
        <is>
          <t>28.10.2024 06:48:54</t>
        </is>
      </c>
      <c r="M31" s="20" t="inlineStr">
        <is>
          <t>43 min</t>
        </is>
      </c>
      <c r="N31" s="20" t="inlineStr">
        <is>
          <t xml:space="preserve">          2M           492K            26K</t>
        </is>
      </c>
      <c r="O31" s="20" t="inlineStr">
        <is>
          <t>p2niQeJVj2vnevYnheBWujVyfzzGURpBTjap3gipump</t>
        </is>
      </c>
      <c r="P31" s="20">
        <f>HYPERLINK("https://dexscreener.com/solana/p2niQeJVj2vnevYnheBWujVyfzzGURpBTjap3gipump", "View")</f>
        <v/>
      </c>
    </row>
    <row r="32">
      <c r="A32" s="15" t="inlineStr">
        <is>
          <t>PURDEW</t>
        </is>
      </c>
      <c r="B32" s="16" t="n">
        <v>329407</v>
      </c>
      <c r="C32" s="16" t="n">
        <v>329407</v>
      </c>
      <c r="D32" s="16" t="inlineStr">
        <is>
          <t>0.000030</t>
        </is>
      </c>
      <c r="E32" s="16" t="inlineStr">
        <is>
          <t>0.300 SOL</t>
        </is>
      </c>
      <c r="F32" s="16" t="inlineStr">
        <is>
          <t>0.355 SOL</t>
        </is>
      </c>
      <c r="G32" s="22" t="inlineStr">
        <is>
          <t>0.055 SOL</t>
        </is>
      </c>
      <c r="H32" s="22" t="inlineStr">
        <is>
          <t>18.43%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27.10.2024 22:34:38</t>
        </is>
      </c>
      <c r="M32" s="16" t="inlineStr">
        <is>
          <t>4 min</t>
        </is>
      </c>
      <c r="N32" s="16" t="inlineStr">
        <is>
          <t xml:space="preserve">        160K           190K            10K</t>
        </is>
      </c>
      <c r="O32" s="16" t="inlineStr">
        <is>
          <t>6V5naUSamJPiiwmYR1jw8qXZnAm5MCP5csFVDQyhkSQc</t>
        </is>
      </c>
      <c r="P32" s="16">
        <f>HYPERLINK("https://dexscreener.com/solana/6V5naUSamJPiiwmYR1jw8qXZnAm5MCP5csFVDQyhkSQc", "View")</f>
        <v/>
      </c>
    </row>
    <row r="33">
      <c r="A33" s="19" t="inlineStr">
        <is>
          <t>Sora</t>
        </is>
      </c>
      <c r="B33" s="20" t="n">
        <v>3233752</v>
      </c>
      <c r="C33" s="20" t="n">
        <v>3233752</v>
      </c>
      <c r="D33" s="20" t="inlineStr">
        <is>
          <t>0.001430</t>
        </is>
      </c>
      <c r="E33" s="20" t="inlineStr">
        <is>
          <t>1.800 SOL</t>
        </is>
      </c>
      <c r="F33" s="20" t="inlineStr">
        <is>
          <t>1.856 SOL</t>
        </is>
      </c>
      <c r="G33" s="22" t="inlineStr">
        <is>
          <t>0.054 SOL</t>
        </is>
      </c>
      <c r="H33" s="22" t="inlineStr">
        <is>
          <t>3.02%</t>
        </is>
      </c>
      <c r="I33" s="20" t="inlineStr">
        <is>
          <t>N/A</t>
        </is>
      </c>
      <c r="J33" s="20" t="n">
        <v>6</v>
      </c>
      <c r="K33" s="20" t="n">
        <v>3</v>
      </c>
      <c r="L33" s="20" t="inlineStr">
        <is>
          <t>27.10.2024 13:53:23</t>
        </is>
      </c>
      <c r="M33" s="20" t="inlineStr">
        <is>
          <t>37 min</t>
        </is>
      </c>
      <c r="N33" s="20" t="inlineStr">
        <is>
          <t xml:space="preserve">        155K            93K             5K</t>
        </is>
      </c>
      <c r="O33" s="20" t="inlineStr">
        <is>
          <t>88MXN3D95cZn32hdiWfUquQHQ6wJVDKNcEkuPZ18pump</t>
        </is>
      </c>
      <c r="P33" s="20">
        <f>HYPERLINK("https://dexscreener.com/solana/88MXN3D95cZn32hdiWfUquQHQ6wJVDKNcEkuPZ18pump", "View")</f>
        <v/>
      </c>
    </row>
    <row r="34">
      <c r="A34" s="15" t="inlineStr">
        <is>
          <t>Cuttlefish</t>
        </is>
      </c>
      <c r="B34" s="16" t="n">
        <v>1309784</v>
      </c>
      <c r="C34" s="16" t="n">
        <v>1309784</v>
      </c>
      <c r="D34" s="16" t="inlineStr">
        <is>
          <t>0.002930</t>
        </is>
      </c>
      <c r="E34" s="16" t="inlineStr">
        <is>
          <t>0.800 SOL</t>
        </is>
      </c>
      <c r="F34" s="16" t="inlineStr">
        <is>
          <t>0.840 SOL</t>
        </is>
      </c>
      <c r="G34" s="22" t="inlineStr">
        <is>
          <t>0.037 SOL</t>
        </is>
      </c>
      <c r="H34" s="22" t="inlineStr">
        <is>
          <t>4.65%</t>
        </is>
      </c>
      <c r="I34" s="16" t="inlineStr">
        <is>
          <t>N/A</t>
        </is>
      </c>
      <c r="J34" s="16" t="n">
        <v>3</v>
      </c>
      <c r="K34" s="16" t="n">
        <v>2</v>
      </c>
      <c r="L34" s="16" t="inlineStr">
        <is>
          <t>27.10.2024 09:38:37</t>
        </is>
      </c>
      <c r="M34" s="16" t="inlineStr">
        <is>
          <t>26 min</t>
        </is>
      </c>
      <c r="N34" s="16" t="inlineStr">
        <is>
          <t xml:space="preserve">        139K           104K            15K</t>
        </is>
      </c>
      <c r="O34" s="16" t="inlineStr">
        <is>
          <t>pcEgPrpHFuFCmSSfWUykJfQv7AUfUD1xbhw71oHy7om</t>
        </is>
      </c>
      <c r="P34" s="16">
        <f>HYPERLINK("https://dexscreener.com/solana/pcEgPrpHFuFCmSSfWUykJfQv7AUfUD1xbhw71oHy7om", "View")</f>
        <v/>
      </c>
    </row>
    <row r="35">
      <c r="A35" s="19" t="inlineStr">
        <is>
          <t>eliza</t>
        </is>
      </c>
      <c r="B35" s="20" t="n">
        <v>1042052</v>
      </c>
      <c r="C35" s="20" t="n">
        <v>1042052</v>
      </c>
      <c r="D35" s="20" t="inlineStr">
        <is>
          <t>0.006930</t>
        </is>
      </c>
      <c r="E35" s="20" t="inlineStr">
        <is>
          <t>2.100 SOL</t>
        </is>
      </c>
      <c r="F35" s="20" t="inlineStr">
        <is>
          <t>2.472 SOL</t>
        </is>
      </c>
      <c r="G35" s="22" t="inlineStr">
        <is>
          <t>0.365 SOL</t>
        </is>
      </c>
      <c r="H35" s="22" t="inlineStr">
        <is>
          <t>17.35%</t>
        </is>
      </c>
      <c r="I35" s="20" t="inlineStr">
        <is>
          <t>N/A</t>
        </is>
      </c>
      <c r="J35" s="20" t="n">
        <v>7</v>
      </c>
      <c r="K35" s="20" t="n">
        <v>6</v>
      </c>
      <c r="L35" s="20" t="inlineStr">
        <is>
          <t>27.10.2024 05:57:31</t>
        </is>
      </c>
      <c r="M35" s="20" t="inlineStr">
        <is>
          <t>2 hours</t>
        </is>
      </c>
      <c r="N35" s="20" t="inlineStr">
        <is>
          <t xml:space="preserve">        288K           704K            59K</t>
        </is>
      </c>
      <c r="O35" s="20" t="inlineStr">
        <is>
          <t>4qe5LzsmEJwr2rusq2Q4tvtEB1wdtpH6CokuCmAKpump</t>
        </is>
      </c>
      <c r="P35" s="20">
        <f>HYPERLINK("https://dexscreener.com/solana/4qe5LzsmEJwr2rusq2Q4tvtEB1wdtpH6CokuCmAKpump", "View")</f>
        <v/>
      </c>
    </row>
    <row r="36">
      <c r="A36" s="15" t="inlineStr">
        <is>
          <t>Wiz</t>
        </is>
      </c>
      <c r="B36" s="16" t="n">
        <v>106834</v>
      </c>
      <c r="C36" s="16" t="n">
        <v>106834</v>
      </c>
      <c r="D36" s="16" t="inlineStr">
        <is>
          <t>0.000320</t>
        </is>
      </c>
      <c r="E36" s="16" t="inlineStr">
        <is>
          <t>0.300 SOL</t>
        </is>
      </c>
      <c r="F36" s="16" t="inlineStr">
        <is>
          <t>0.325 SOL</t>
        </is>
      </c>
      <c r="G36" s="22" t="inlineStr">
        <is>
          <t>0.025 SOL</t>
        </is>
      </c>
      <c r="H36" s="22" t="inlineStr">
        <is>
          <t>8.27%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26.10.2024 23:32:41</t>
        </is>
      </c>
      <c r="M36" s="16" t="inlineStr">
        <is>
          <t>1 min</t>
        </is>
      </c>
      <c r="N36" s="16" t="inlineStr">
        <is>
          <t xml:space="preserve">        494K           534K           486K</t>
        </is>
      </c>
      <c r="O36" s="16" t="inlineStr">
        <is>
          <t>2TobzM4NNpEvyVAEpFC8AkxJGBHz8fFgMksK1gBy5dub</t>
        </is>
      </c>
      <c r="P36" s="16">
        <f>HYPERLINK("https://dexscreener.com/solana/2TobzM4NNpEvyVAEpFC8AkxJGBHz8fFgMksK1gBy5dub", "View")</f>
        <v/>
      </c>
    </row>
    <row r="37">
      <c r="A37" s="19" t="inlineStr">
        <is>
          <t>Mai</t>
        </is>
      </c>
      <c r="B37" s="20" t="n">
        <v>1971114</v>
      </c>
      <c r="C37" s="20" t="n">
        <v>1971114</v>
      </c>
      <c r="D37" s="20" t="inlineStr">
        <is>
          <t>0.002890</t>
        </is>
      </c>
      <c r="E37" s="20" t="inlineStr">
        <is>
          <t>2.100 SOL</t>
        </is>
      </c>
      <c r="F37" s="20" t="inlineStr">
        <is>
          <t>2.276 SOL</t>
        </is>
      </c>
      <c r="G37" s="22" t="inlineStr">
        <is>
          <t>0.173 SOL</t>
        </is>
      </c>
      <c r="H37" s="22" t="inlineStr">
        <is>
          <t>8.24%</t>
        </is>
      </c>
      <c r="I37" s="20" t="inlineStr">
        <is>
          <t>N/A</t>
        </is>
      </c>
      <c r="J37" s="20" t="n">
        <v>7</v>
      </c>
      <c r="K37" s="20" t="n">
        <v>6</v>
      </c>
      <c r="L37" s="20" t="inlineStr">
        <is>
          <t>26.10.2024 22:39:22</t>
        </is>
      </c>
      <c r="M37" s="20" t="inlineStr">
        <is>
          <t>37 min</t>
        </is>
      </c>
      <c r="N37" s="20" t="inlineStr">
        <is>
          <t xml:space="preserve">        181K           272K            29K</t>
        </is>
      </c>
      <c r="O37" s="20" t="inlineStr">
        <is>
          <t>AgYwQC16aktyMdTR26jwWuCzJ52R6b99a1JcK11spump</t>
        </is>
      </c>
      <c r="P37" s="20">
        <f>HYPERLINK("https://dexscreener.com/solana/AgYwQC16aktyMdTR26jwWuCzJ52R6b99a1JcK11spump", "View")</f>
        <v/>
      </c>
    </row>
    <row r="38">
      <c r="A38" s="15" t="inlineStr">
        <is>
          <t>Austin</t>
        </is>
      </c>
      <c r="B38" s="16" t="n">
        <v>525208</v>
      </c>
      <c r="C38" s="16" t="n">
        <v>525208</v>
      </c>
      <c r="D38" s="16" t="inlineStr">
        <is>
          <t>0.000360</t>
        </is>
      </c>
      <c r="E38" s="16" t="inlineStr">
        <is>
          <t>0.300 SOL</t>
        </is>
      </c>
      <c r="F38" s="16" t="inlineStr">
        <is>
          <t>0.212 SOL</t>
        </is>
      </c>
      <c r="G38" s="21" t="inlineStr">
        <is>
          <t>-0.089 SOL</t>
        </is>
      </c>
      <c r="H38" s="21" t="inlineStr">
        <is>
          <t>-29.56%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26.10.2024 03:18:55</t>
        </is>
      </c>
      <c r="M38" s="16" t="inlineStr">
        <is>
          <t>4 min</t>
        </is>
      </c>
      <c r="N38" s="16" t="inlineStr">
        <is>
          <t xml:space="preserve">        100K            70K             9K</t>
        </is>
      </c>
      <c r="O38" s="16" t="inlineStr">
        <is>
          <t>AJtiNiKwLQUdAEkhqRKqVHMmvpifG5QYHqnL4uvMpump</t>
        </is>
      </c>
      <c r="P38" s="16">
        <f>HYPERLINK("https://dexscreener.com/solana/AJtiNiKwLQUdAEkhqRKqVHMmvpifG5QYHqnL4uvMpump", "View")</f>
        <v/>
      </c>
    </row>
    <row r="39">
      <c r="A39" s="19" t="inlineStr">
        <is>
          <t>sunghoon</t>
        </is>
      </c>
      <c r="B39" s="20" t="n">
        <v>171796</v>
      </c>
      <c r="C39" s="20" t="n">
        <v>171796</v>
      </c>
      <c r="D39" s="20" t="inlineStr">
        <is>
          <t>0.003570</t>
        </is>
      </c>
      <c r="E39" s="20" t="inlineStr">
        <is>
          <t>0.600 SOL</t>
        </is>
      </c>
      <c r="F39" s="20" t="inlineStr">
        <is>
          <t>0.828 SOL</t>
        </is>
      </c>
      <c r="G39" s="22" t="inlineStr">
        <is>
          <t>0.225 SOL</t>
        </is>
      </c>
      <c r="H39" s="22" t="inlineStr">
        <is>
          <t>37.22%</t>
        </is>
      </c>
      <c r="I39" s="20" t="inlineStr">
        <is>
          <t>N/A</t>
        </is>
      </c>
      <c r="J39" s="20" t="n">
        <v>2</v>
      </c>
      <c r="K39" s="20" t="n">
        <v>1</v>
      </c>
      <c r="L39" s="20" t="inlineStr">
        <is>
          <t>25.10.2024 16:53:07</t>
        </is>
      </c>
      <c r="M39" s="20" t="inlineStr">
        <is>
          <t>1 hours</t>
        </is>
      </c>
      <c r="N39" s="20" t="inlineStr">
        <is>
          <t xml:space="preserve">        818K           846K            20K</t>
        </is>
      </c>
      <c r="O39" s="20" t="inlineStr">
        <is>
          <t>E7MzhPoCdDZuLUmwckqVkCtyWNpP1q3iEnn3vE3npump</t>
        </is>
      </c>
      <c r="P39" s="20">
        <f>HYPERLINK("https://dexscreener.com/solana/E7MzhPoCdDZuLUmwckqVkCtyWNpP1q3iEnn3vE3npump", "View")</f>
        <v/>
      </c>
    </row>
    <row r="40">
      <c r="A40" s="15" t="inlineStr">
        <is>
          <t>BOO</t>
        </is>
      </c>
      <c r="B40" s="16" t="n">
        <v>28359</v>
      </c>
      <c r="C40" s="16" t="n">
        <v>28359</v>
      </c>
      <c r="D40" s="16" t="inlineStr">
        <is>
          <t>0.000080</t>
        </is>
      </c>
      <c r="E40" s="16" t="inlineStr">
        <is>
          <t>0.300 SOL</t>
        </is>
      </c>
      <c r="F40" s="16" t="inlineStr">
        <is>
          <t>0.298 SOL</t>
        </is>
      </c>
      <c r="G40" s="21" t="inlineStr">
        <is>
          <t>-0.002 SOL</t>
        </is>
      </c>
      <c r="H40" s="21" t="inlineStr">
        <is>
          <t>-0.78%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25.10.2024 15:20:22</t>
        </is>
      </c>
      <c r="M40" s="16" t="inlineStr">
        <is>
          <t>32 min</t>
        </is>
      </c>
      <c r="N40" s="16" t="inlineStr">
        <is>
          <t xml:space="preserve">          2M             2M           413K</t>
        </is>
      </c>
      <c r="O40" s="16" t="inlineStr">
        <is>
          <t>5PuDA2mZv5MMi5yLxL3vRWCiGADPg9zybb8QtbDeqkxR</t>
        </is>
      </c>
      <c r="P40" s="16">
        <f>HYPERLINK("https://dexscreener.com/solana/5PuDA2mZv5MMi5yLxL3vRWCiGADPg9zybb8QtbDeqkxR", "View")</f>
        <v/>
      </c>
    </row>
    <row r="41">
      <c r="A41" s="19" t="inlineStr">
        <is>
          <t>RETURN</t>
        </is>
      </c>
      <c r="B41" s="20" t="n">
        <v>313064</v>
      </c>
      <c r="C41" s="20" t="n">
        <v>313064</v>
      </c>
      <c r="D41" s="20" t="inlineStr">
        <is>
          <t>0.000830</t>
        </is>
      </c>
      <c r="E41" s="20" t="inlineStr">
        <is>
          <t>0.200 SOL</t>
        </is>
      </c>
      <c r="F41" s="20" t="inlineStr">
        <is>
          <t>0.079 SOL</t>
        </is>
      </c>
      <c r="G41" s="24" t="inlineStr">
        <is>
          <t>-0.122 SOL</t>
        </is>
      </c>
      <c r="H41" s="24" t="inlineStr">
        <is>
          <t>-60.83%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25.10.2024 03:41:16</t>
        </is>
      </c>
      <c r="M41" s="20" t="inlineStr">
        <is>
          <t>9 min</t>
        </is>
      </c>
      <c r="N41" s="20" t="inlineStr">
        <is>
          <t xml:space="preserve">        112K            44K             7K</t>
        </is>
      </c>
      <c r="O41" s="20" t="inlineStr">
        <is>
          <t>EfNuJ8BqdaXk9Pa3kUQR4Bjwjtn8VKPshVfiqZ9ppump</t>
        </is>
      </c>
      <c r="P41" s="20">
        <f>HYPERLINK("https://dexscreener.com/solana/EfNuJ8BqdaXk9Pa3kUQR4Bjwjtn8VKPshVfiqZ9ppump", "View")</f>
        <v/>
      </c>
    </row>
    <row r="42">
      <c r="A42" s="15" t="inlineStr">
        <is>
          <t>test</t>
        </is>
      </c>
      <c r="B42" s="16" t="n">
        <v>1207019</v>
      </c>
      <c r="C42" s="16" t="n">
        <v>1207019</v>
      </c>
      <c r="D42" s="16" t="inlineStr">
        <is>
          <t>0.016950</t>
        </is>
      </c>
      <c r="E42" s="16" t="inlineStr">
        <is>
          <t>1.500 SOL</t>
        </is>
      </c>
      <c r="F42" s="16" t="inlineStr">
        <is>
          <t>2.242 SOL</t>
        </is>
      </c>
      <c r="G42" s="22" t="inlineStr">
        <is>
          <t>0.725 SOL</t>
        </is>
      </c>
      <c r="H42" s="22" t="inlineStr">
        <is>
          <t>47.77%</t>
        </is>
      </c>
      <c r="I42" s="16" t="inlineStr">
        <is>
          <t>N/A</t>
        </is>
      </c>
      <c r="J42" s="16" t="n">
        <v>5</v>
      </c>
      <c r="K42" s="16" t="n">
        <v>4</v>
      </c>
      <c r="L42" s="16" t="inlineStr">
        <is>
          <t>24.10.2024 23:31:34</t>
        </is>
      </c>
      <c r="M42" s="16" t="inlineStr">
        <is>
          <t>59 min</t>
        </is>
      </c>
      <c r="N42" s="16" t="inlineStr">
        <is>
          <t xml:space="preserve">        514K           613K            16K</t>
        </is>
      </c>
      <c r="O42" s="16" t="inlineStr">
        <is>
          <t>451zhKaaoX9jt68s5rWpmSKp8uKSu9LZwNmsj5XLpump</t>
        </is>
      </c>
      <c r="P42" s="16">
        <f>HYPERLINK("https://dexscreener.com/solana/451zhKaaoX9jt68s5rWpmSKp8uKSu9LZwNmsj5XLpump", "View")</f>
        <v/>
      </c>
    </row>
    <row r="43">
      <c r="A43" s="19" t="inlineStr">
        <is>
          <t>Baxter</t>
        </is>
      </c>
      <c r="B43" s="20" t="n">
        <v>184929</v>
      </c>
      <c r="C43" s="20" t="n">
        <v>184929</v>
      </c>
      <c r="D43" s="20" t="inlineStr">
        <is>
          <t>0.002940</t>
        </is>
      </c>
      <c r="E43" s="20" t="inlineStr">
        <is>
          <t>0.200 SOL</t>
        </is>
      </c>
      <c r="F43" s="20" t="inlineStr">
        <is>
          <t>0.243 SOL</t>
        </is>
      </c>
      <c r="G43" s="22" t="inlineStr">
        <is>
          <t>0.040 SOL</t>
        </is>
      </c>
      <c r="H43" s="22" t="inlineStr">
        <is>
          <t>19.58%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24.10.2024 22:07:04</t>
        </is>
      </c>
      <c r="M43" s="20" t="inlineStr">
        <is>
          <t>1 min</t>
        </is>
      </c>
      <c r="N43" s="20" t="inlineStr">
        <is>
          <t xml:space="preserve">        190K           230K            20K</t>
        </is>
      </c>
      <c r="O43" s="20" t="inlineStr">
        <is>
          <t>7LRwrLyztjtusMxCknD4UXMs9f8Cvn3GTobjH4ctt8AN</t>
        </is>
      </c>
      <c r="P43" s="20">
        <f>HYPERLINK("https://dexscreener.com/solana/7LRwrLyztjtusMxCknD4UXMs9f8Cvn3GTobjH4ctt8AN", "View")</f>
        <v/>
      </c>
    </row>
    <row r="44">
      <c r="A44" s="15" t="inlineStr">
        <is>
          <t>EGREGOR</t>
        </is>
      </c>
      <c r="B44" s="16" t="n">
        <v>136845</v>
      </c>
      <c r="C44" s="16" t="n">
        <v>136845</v>
      </c>
      <c r="D44" s="16" t="inlineStr">
        <is>
          <t>0.001730</t>
        </is>
      </c>
      <c r="E44" s="16" t="inlineStr">
        <is>
          <t>0.400 SOL</t>
        </is>
      </c>
      <c r="F44" s="16" t="inlineStr">
        <is>
          <t>0.429 SOL</t>
        </is>
      </c>
      <c r="G44" s="22" t="inlineStr">
        <is>
          <t>0.027 SOL</t>
        </is>
      </c>
      <c r="H44" s="22" t="inlineStr">
        <is>
          <t>6.73%</t>
        </is>
      </c>
      <c r="I44" s="16" t="inlineStr">
        <is>
          <t>N/A</t>
        </is>
      </c>
      <c r="J44" s="16" t="n">
        <v>2</v>
      </c>
      <c r="K44" s="16" t="n">
        <v>2</v>
      </c>
      <c r="L44" s="16" t="inlineStr">
        <is>
          <t>24.10.2024 16:19:13</t>
        </is>
      </c>
      <c r="M44" s="16" t="inlineStr">
        <is>
          <t>1 hours</t>
        </is>
      </c>
      <c r="N44" s="16" t="inlineStr">
        <is>
          <t xml:space="preserve">        638K           457K            17K</t>
        </is>
      </c>
      <c r="O44" s="16" t="inlineStr">
        <is>
          <t>43b2WtokZQTt8wJ2Z6xDvq3uaBcZPdp2bvxBXfg3pump</t>
        </is>
      </c>
      <c r="P44" s="16">
        <f>HYPERLINK("https://dexscreener.com/solana/43b2WtokZQTt8wJ2Z6xDvq3uaBcZPdp2bvxBXfg3pump", "View")</f>
        <v/>
      </c>
    </row>
    <row r="45">
      <c r="A45" s="19" t="inlineStr">
        <is>
          <t>KIRK</t>
        </is>
      </c>
      <c r="B45" s="20" t="n">
        <v>184088</v>
      </c>
      <c r="C45" s="20" t="n">
        <v>184088</v>
      </c>
      <c r="D45" s="20" t="inlineStr">
        <is>
          <t>0.001190</t>
        </is>
      </c>
      <c r="E45" s="20" t="inlineStr">
        <is>
          <t>0.200 SOL</t>
        </is>
      </c>
      <c r="F45" s="20" t="inlineStr">
        <is>
          <t>0.212 SOL</t>
        </is>
      </c>
      <c r="G45" s="22" t="inlineStr">
        <is>
          <t>0.010 SOL</t>
        </is>
      </c>
      <c r="H45" s="22" t="inlineStr">
        <is>
          <t>5.20%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24.10.2024 15:32:58</t>
        </is>
      </c>
      <c r="M45" s="20" t="inlineStr">
        <is>
          <t>1 min</t>
        </is>
      </c>
      <c r="N45" s="20" t="inlineStr">
        <is>
          <t xml:space="preserve">        191K           202K            65K</t>
        </is>
      </c>
      <c r="O45" s="20" t="inlineStr">
        <is>
          <t>9CA4oDuvnP5oULiechySPf6FxnNS7JmG1VL19X5spump</t>
        </is>
      </c>
      <c r="P45" s="20">
        <f>HYPERLINK("https://dexscreener.com/solana/9CA4oDuvnP5oULiechySPf6FxnNS7JmG1VL19X5spump", "View")</f>
        <v/>
      </c>
    </row>
    <row r="46">
      <c r="A46" s="15" t="inlineStr">
        <is>
          <t>DREAMS</t>
        </is>
      </c>
      <c r="B46" s="16" t="n">
        <v>51772</v>
      </c>
      <c r="C46" s="16" t="n">
        <v>51772</v>
      </c>
      <c r="D46" s="16" t="inlineStr">
        <is>
          <t>0.001230</t>
        </is>
      </c>
      <c r="E46" s="16" t="inlineStr">
        <is>
          <t>0.200 SOL</t>
        </is>
      </c>
      <c r="F46" s="16" t="inlineStr">
        <is>
          <t>0.211 SOL</t>
        </is>
      </c>
      <c r="G46" s="22" t="inlineStr">
        <is>
          <t>0.010 SOL</t>
        </is>
      </c>
      <c r="H46" s="22" t="inlineStr">
        <is>
          <t>4.86%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24.10.2024 15:27:47</t>
        </is>
      </c>
      <c r="M46" s="16" t="inlineStr">
        <is>
          <t>5 min</t>
        </is>
      </c>
      <c r="N46" s="16" t="inlineStr">
        <is>
          <t xml:space="preserve">        678K           717K            31K</t>
        </is>
      </c>
      <c r="O46" s="16" t="inlineStr">
        <is>
          <t>5uSx4M8MJJ4Rsh6jPu93Tx9eyUArVi6p8fFSY3uspump</t>
        </is>
      </c>
      <c r="P46" s="16">
        <f>HYPERLINK("https://dexscreener.com/solana/5uSx4M8MJJ4Rsh6jPu93Tx9eyUArVi6p8fFSY3uspump", "View")</f>
        <v/>
      </c>
    </row>
    <row r="47">
      <c r="A47" s="19" t="inlineStr">
        <is>
          <t>TT</t>
        </is>
      </c>
      <c r="B47" s="20" t="n">
        <v>137101</v>
      </c>
      <c r="C47" s="20" t="n">
        <v>137101</v>
      </c>
      <c r="D47" s="20" t="inlineStr">
        <is>
          <t>0.000690</t>
        </is>
      </c>
      <c r="E47" s="20" t="inlineStr">
        <is>
          <t>0.200 SOL</t>
        </is>
      </c>
      <c r="F47" s="20" t="inlineStr">
        <is>
          <t>0.196 SOL</t>
        </is>
      </c>
      <c r="G47" s="21" t="inlineStr">
        <is>
          <t>-0.004 SOL</t>
        </is>
      </c>
      <c r="H47" s="21" t="inlineStr">
        <is>
          <t>-2.10%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24.10.2024 14:29:05</t>
        </is>
      </c>
      <c r="M47" s="20" t="inlineStr">
        <is>
          <t>1 hours</t>
        </is>
      </c>
      <c r="N47" s="20" t="inlineStr">
        <is>
          <t xml:space="preserve">        256K           251K            41K</t>
        </is>
      </c>
      <c r="O47" s="20" t="inlineStr">
        <is>
          <t>B2tekTmmhg9vQt5fofya5qP3j4CXsC26TFnez5Wnpump</t>
        </is>
      </c>
      <c r="P47" s="20">
        <f>HYPERLINK("https://dexscreener.com/solana/B2tekTmmhg9vQt5fofya5qP3j4CXsC26TFnez5Wnpump", "View")</f>
        <v/>
      </c>
    </row>
    <row r="48">
      <c r="A48" s="15" t="inlineStr">
        <is>
          <t xml:space="preserve">Tate </t>
        </is>
      </c>
      <c r="B48" s="16" t="n">
        <v>14003</v>
      </c>
      <c r="C48" s="16" t="n">
        <v>14003</v>
      </c>
      <c r="D48" s="16" t="inlineStr">
        <is>
          <t>0.001230</t>
        </is>
      </c>
      <c r="E48" s="16" t="inlineStr">
        <is>
          <t>0.200 SOL</t>
        </is>
      </c>
      <c r="F48" s="16" t="inlineStr">
        <is>
          <t>0.210 SOL</t>
        </is>
      </c>
      <c r="G48" s="22" t="inlineStr">
        <is>
          <t>0.009 SOL</t>
        </is>
      </c>
      <c r="H48" s="22" t="inlineStr">
        <is>
          <t>4.23%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24.10.2024 13:49:38</t>
        </is>
      </c>
      <c r="M48" s="16" t="inlineStr">
        <is>
          <t>13 min</t>
        </is>
      </c>
      <c r="N48" s="16" t="inlineStr">
        <is>
          <t xml:space="preserve">          3M             3M           260K</t>
        </is>
      </c>
      <c r="O48" s="16" t="inlineStr">
        <is>
          <t>6MQ8D4XgoLTPGgkz7sbJdFzA6F6iuepFXE2BtV9npump</t>
        </is>
      </c>
      <c r="P48" s="16">
        <f>HYPERLINK("https://dexscreener.com/solana/6MQ8D4XgoLTPGgkz7sbJdFzA6F6iuepFXE2BtV9npump", "View")</f>
        <v/>
      </c>
    </row>
    <row r="49">
      <c r="A49" s="19" t="inlineStr">
        <is>
          <t>ONX AI</t>
        </is>
      </c>
      <c r="B49" s="20" t="n">
        <v>767566</v>
      </c>
      <c r="C49" s="20" t="n">
        <v>767566</v>
      </c>
      <c r="D49" s="20" t="inlineStr">
        <is>
          <t>0.000090</t>
        </is>
      </c>
      <c r="E49" s="20" t="inlineStr">
        <is>
          <t>0.300 SOL</t>
        </is>
      </c>
      <c r="F49" s="20" t="inlineStr">
        <is>
          <t>0.106 SOL</t>
        </is>
      </c>
      <c r="G49" s="24" t="inlineStr">
        <is>
          <t>-0.195 SOL</t>
        </is>
      </c>
      <c r="H49" s="24" t="inlineStr">
        <is>
          <t>-64.83%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24.10.2024 09:45:24</t>
        </is>
      </c>
      <c r="M49" s="20" t="inlineStr">
        <is>
          <t>1 hours</t>
        </is>
      </c>
      <c r="N49" s="20" t="inlineStr">
        <is>
          <t xml:space="preserve">         68K            25K             6K</t>
        </is>
      </c>
      <c r="O49" s="20" t="inlineStr">
        <is>
          <t>8zZT1wsj1FusRf8BqdJj8c8Thp1ZN1HWEttz9Rtrpump</t>
        </is>
      </c>
      <c r="P49" s="20">
        <f>HYPERLINK("https://dexscreener.com/solana/8zZT1wsj1FusRf8BqdJj8c8Thp1ZN1HWEttz9Rtrpump", "View")</f>
        <v/>
      </c>
    </row>
    <row r="50">
      <c r="A50" s="15" t="inlineStr">
        <is>
          <t>NEO</t>
        </is>
      </c>
      <c r="B50" s="16" t="n">
        <v>1448591</v>
      </c>
      <c r="C50" s="16" t="n">
        <v>1448591</v>
      </c>
      <c r="D50" s="16" t="inlineStr">
        <is>
          <t>0.005250</t>
        </is>
      </c>
      <c r="E50" s="16" t="inlineStr">
        <is>
          <t>1.100 SOL</t>
        </is>
      </c>
      <c r="F50" s="16" t="inlineStr">
        <is>
          <t>0.603 SOL</t>
        </is>
      </c>
      <c r="G50" s="21" t="inlineStr">
        <is>
          <t>-0.502 SOL</t>
        </is>
      </c>
      <c r="H50" s="21" t="inlineStr">
        <is>
          <t>-45.46%</t>
        </is>
      </c>
      <c r="I50" s="16" t="inlineStr">
        <is>
          <t>N/A</t>
        </is>
      </c>
      <c r="J50" s="16" t="n">
        <v>4</v>
      </c>
      <c r="K50" s="16" t="n">
        <v>1</v>
      </c>
      <c r="L50" s="16" t="inlineStr">
        <is>
          <t>24.10.2024 06:15:48</t>
        </is>
      </c>
      <c r="M50" s="16" t="inlineStr">
        <is>
          <t>1 hours</t>
        </is>
      </c>
      <c r="N50" s="16" t="inlineStr">
        <is>
          <t xml:space="preserve">        230K            74K            18K</t>
        </is>
      </c>
      <c r="O50" s="16" t="inlineStr">
        <is>
          <t>E5B5yyJWgNSQCHELcPWHsHPmpxj97rTnifNo28RXpump</t>
        </is>
      </c>
      <c r="P50" s="16">
        <f>HYPERLINK("https://dexscreener.com/solana/E5B5yyJWgNSQCHELcPWHsHPmpxj97rTnifNo28RXpump", "View")</f>
        <v/>
      </c>
    </row>
    <row r="51">
      <c r="A51" s="19" t="inlineStr">
        <is>
          <t>XVI</t>
        </is>
      </c>
      <c r="B51" s="20" t="n">
        <v>75236</v>
      </c>
      <c r="C51" s="20" t="n">
        <v>75236</v>
      </c>
      <c r="D51" s="20" t="inlineStr">
        <is>
          <t>0.004000</t>
        </is>
      </c>
      <c r="E51" s="20" t="inlineStr">
        <is>
          <t>0.600 SOL</t>
        </is>
      </c>
      <c r="F51" s="20" t="inlineStr">
        <is>
          <t>0.650 SOL</t>
        </is>
      </c>
      <c r="G51" s="22" t="inlineStr">
        <is>
          <t>0.046 SOL</t>
        </is>
      </c>
      <c r="H51" s="22" t="inlineStr">
        <is>
          <t>7.69%</t>
        </is>
      </c>
      <c r="I51" s="20" t="inlineStr">
        <is>
          <t>N/A</t>
        </is>
      </c>
      <c r="J51" s="20" t="n">
        <v>2</v>
      </c>
      <c r="K51" s="20" t="n">
        <v>2</v>
      </c>
      <c r="L51" s="20" t="inlineStr">
        <is>
          <t>24.10.2024 03:48:36</t>
        </is>
      </c>
      <c r="M51" s="20" t="inlineStr">
        <is>
          <t>2 hours</t>
        </is>
      </c>
      <c r="N51" s="20" t="inlineStr">
        <is>
          <t xml:space="preserve">          1M             2M           182K</t>
        </is>
      </c>
      <c r="O51" s="20" t="inlineStr">
        <is>
          <t>HzkBrfPPkqk6mwNNSYhjkw1AkfNZA6zwvKzQMacapump</t>
        </is>
      </c>
      <c r="P51" s="20">
        <f>HYPERLINK("https://dexscreener.com/solana/HzkBrfPPkqk6mwNNSYhjkw1AkfNZA6zwvKzQMacapump", "View")</f>
        <v/>
      </c>
    </row>
    <row r="52">
      <c r="A52" s="15" t="inlineStr">
        <is>
          <t>exo</t>
        </is>
      </c>
      <c r="B52" s="16" t="n">
        <v>847691</v>
      </c>
      <c r="C52" s="16" t="n">
        <v>847691</v>
      </c>
      <c r="D52" s="16" t="inlineStr">
        <is>
          <t>0.007240</t>
        </is>
      </c>
      <c r="E52" s="16" t="inlineStr">
        <is>
          <t>1.200 SOL</t>
        </is>
      </c>
      <c r="F52" s="16" t="inlineStr">
        <is>
          <t>1.476 SOL</t>
        </is>
      </c>
      <c r="G52" s="22" t="inlineStr">
        <is>
          <t>0.269 SOL</t>
        </is>
      </c>
      <c r="H52" s="22" t="inlineStr">
        <is>
          <t>22.24%</t>
        </is>
      </c>
      <c r="I52" s="16" t="inlineStr">
        <is>
          <t>N/A</t>
        </is>
      </c>
      <c r="J52" s="16" t="n">
        <v>4</v>
      </c>
      <c r="K52" s="16" t="n">
        <v>3</v>
      </c>
      <c r="L52" s="16" t="inlineStr">
        <is>
          <t>23.10.2024 22:51:49</t>
        </is>
      </c>
      <c r="M52" s="16" t="inlineStr">
        <is>
          <t>39 min</t>
        </is>
      </c>
      <c r="N52" s="16" t="inlineStr">
        <is>
          <t xml:space="preserve">        327K           323K            25K</t>
        </is>
      </c>
      <c r="O52" s="16" t="inlineStr">
        <is>
          <t>26LDHcthoC5jeQtYJFyRJ14yFVYqwsrMDznAUhWepump</t>
        </is>
      </c>
      <c r="P52" s="16">
        <f>HYPERLINK("https://dexscreener.com/solana/26LDHcthoC5jeQtYJFyRJ14yFVYqwsrMDznAUhWepump", "View")</f>
        <v/>
      </c>
    </row>
    <row r="53">
      <c r="A53" s="19" t="inlineStr">
        <is>
          <t>fwogmi</t>
        </is>
      </c>
      <c r="B53" s="20" t="n">
        <v>306454</v>
      </c>
      <c r="C53" s="20" t="n">
        <v>306454</v>
      </c>
      <c r="D53" s="20" t="inlineStr">
        <is>
          <t>0.003700</t>
        </is>
      </c>
      <c r="E53" s="20" t="inlineStr">
        <is>
          <t>1.100 SOL</t>
        </is>
      </c>
      <c r="F53" s="20" t="inlineStr">
        <is>
          <t>1.236 SOL</t>
        </is>
      </c>
      <c r="G53" s="22" t="inlineStr">
        <is>
          <t>0.132 SOL</t>
        </is>
      </c>
      <c r="H53" s="22" t="inlineStr">
        <is>
          <t>11.98%</t>
        </is>
      </c>
      <c r="I53" s="20" t="inlineStr">
        <is>
          <t>N/A</t>
        </is>
      </c>
      <c r="J53" s="20" t="n">
        <v>4</v>
      </c>
      <c r="K53" s="20" t="n">
        <v>4</v>
      </c>
      <c r="L53" s="20" t="inlineStr">
        <is>
          <t>23.10.2024 14:52:07</t>
        </is>
      </c>
      <c r="M53" s="20" t="inlineStr">
        <is>
          <t>1 hours</t>
        </is>
      </c>
      <c r="N53" s="20" t="inlineStr">
        <is>
          <t xml:space="preserve">        673K           436K           138K</t>
        </is>
      </c>
      <c r="O53" s="20" t="inlineStr">
        <is>
          <t>3xv6pWP1oVENMkZAASxoiAF4dFH9PGVtDnVw8xrbpump</t>
        </is>
      </c>
      <c r="P53" s="20">
        <f>HYPERLINK("https://dexscreener.com/solana/3xv6pWP1oVENMkZAASxoiAF4dFH9PGVtDnVw8xrbpump", "View")</f>
        <v/>
      </c>
    </row>
    <row r="54">
      <c r="A54" s="15" t="inlineStr">
        <is>
          <t>THE</t>
        </is>
      </c>
      <c r="B54" s="16" t="n">
        <v>193142</v>
      </c>
      <c r="C54" s="16" t="n">
        <v>230358</v>
      </c>
      <c r="D54" s="16" t="inlineStr">
        <is>
          <t>0.004390</t>
        </is>
      </c>
      <c r="E54" s="16" t="inlineStr">
        <is>
          <t>1.000 SOL</t>
        </is>
      </c>
      <c r="F54" s="16" t="inlineStr">
        <is>
          <t>1.285 SOL</t>
        </is>
      </c>
      <c r="G54" s="22" t="inlineStr">
        <is>
          <t>0.281 SOL</t>
        </is>
      </c>
      <c r="H54" s="22" t="inlineStr">
        <is>
          <t>27.99%</t>
        </is>
      </c>
      <c r="I54" s="16" t="inlineStr">
        <is>
          <t>N/A</t>
        </is>
      </c>
      <c r="J54" s="16" t="n">
        <v>5</v>
      </c>
      <c r="K54" s="16" t="n">
        <v>4</v>
      </c>
      <c r="L54" s="16" t="inlineStr">
        <is>
          <t>23.10.2024 13:27:34</t>
        </is>
      </c>
      <c r="M54" s="16" t="inlineStr">
        <is>
          <t>43 min</t>
        </is>
      </c>
      <c r="N54" s="16" t="inlineStr">
        <is>
          <t xml:space="preserve">        858K             1M            41K</t>
        </is>
      </c>
      <c r="O54" s="16" t="inlineStr">
        <is>
          <t>EPtGK4deG13EmxhkrM3uQFay5txx3hRT4ipQpKsfpump</t>
        </is>
      </c>
      <c r="P54" s="16">
        <f>HYPERLINK("https://dexscreener.com/solana/EPtGK4deG13EmxhkrM3uQFay5txx3hRT4ipQpKsfpump", "View")</f>
        <v/>
      </c>
    </row>
    <row r="55">
      <c r="A55" s="19" t="inlineStr">
        <is>
          <t>$LYNX</t>
        </is>
      </c>
      <c r="B55" s="20" t="n">
        <v>312091</v>
      </c>
      <c r="C55" s="20" t="n">
        <v>312091</v>
      </c>
      <c r="D55" s="20" t="inlineStr">
        <is>
          <t>0.002500</t>
        </is>
      </c>
      <c r="E55" s="20" t="inlineStr">
        <is>
          <t>0.580 SOL</t>
        </is>
      </c>
      <c r="F55" s="20" t="inlineStr">
        <is>
          <t>0.609 SOL</t>
        </is>
      </c>
      <c r="G55" s="22" t="inlineStr">
        <is>
          <t>0.027 SOL</t>
        </is>
      </c>
      <c r="H55" s="22" t="inlineStr">
        <is>
          <t>4.61%</t>
        </is>
      </c>
      <c r="I55" s="20" t="inlineStr">
        <is>
          <t>N/A</t>
        </is>
      </c>
      <c r="J55" s="20" t="n">
        <v>3</v>
      </c>
      <c r="K55" s="20" t="n">
        <v>1</v>
      </c>
      <c r="L55" s="20" t="inlineStr">
        <is>
          <t>23.10.2024 05:09:48</t>
        </is>
      </c>
      <c r="M55" s="20" t="inlineStr">
        <is>
          <t>5 hours</t>
        </is>
      </c>
      <c r="N55" s="20" t="inlineStr">
        <is>
          <t xml:space="preserve">        502K           342K            21K</t>
        </is>
      </c>
      <c r="O55" s="20" t="inlineStr">
        <is>
          <t>HYTWunEns5k3CBBrr8gTJjNqA93avuEPB3RB1Kud3MWg</t>
        </is>
      </c>
      <c r="P55" s="20">
        <f>HYPERLINK("https://dexscreener.com/solana/HYTWunEns5k3CBBrr8gTJjNqA93avuEPB3RB1Kud3MWg", "View")</f>
        <v/>
      </c>
    </row>
    <row r="56">
      <c r="A56" s="15" t="inlineStr">
        <is>
          <t>BLU</t>
        </is>
      </c>
      <c r="B56" s="16" t="n">
        <v>176640</v>
      </c>
      <c r="C56" s="16" t="n">
        <v>176640</v>
      </c>
      <c r="D56" s="16" t="inlineStr">
        <is>
          <t>0.003930</t>
        </is>
      </c>
      <c r="E56" s="16" t="inlineStr">
        <is>
          <t>0.600 SOL</t>
        </is>
      </c>
      <c r="F56" s="16" t="inlineStr">
        <is>
          <t>0.565 SOL</t>
        </is>
      </c>
      <c r="G56" s="21" t="inlineStr">
        <is>
          <t>-0.039 SOL</t>
        </is>
      </c>
      <c r="H56" s="21" t="inlineStr">
        <is>
          <t>-6.43%</t>
        </is>
      </c>
      <c r="I56" s="16" t="inlineStr">
        <is>
          <t>N/A</t>
        </is>
      </c>
      <c r="J56" s="16" t="n">
        <v>3</v>
      </c>
      <c r="K56" s="16" t="n">
        <v>2</v>
      </c>
      <c r="L56" s="16" t="inlineStr">
        <is>
          <t>22.10.2024 13:04:57</t>
        </is>
      </c>
      <c r="M56" s="16" t="inlineStr">
        <is>
          <t>7 hours</t>
        </is>
      </c>
      <c r="N56" s="16" t="inlineStr">
        <is>
          <t xml:space="preserve">        655K           457K            34K</t>
        </is>
      </c>
      <c r="O56" s="16" t="inlineStr">
        <is>
          <t>FXPn4kM8M252tbRXV4mvdqSQvY6jrg3J5cuRCphXpump</t>
        </is>
      </c>
      <c r="P56" s="16">
        <f>HYPERLINK("https://dexscreener.com/solana/FXPn4kM8M252tbRXV4mvdqSQvY6jrg3J5cuRCphXpump", "View")</f>
        <v/>
      </c>
    </row>
    <row r="57">
      <c r="A57" s="19" t="inlineStr">
        <is>
          <t>HAIRDOS</t>
        </is>
      </c>
      <c r="B57" s="20" t="n">
        <v>967820</v>
      </c>
      <c r="C57" s="20" t="n">
        <v>967820</v>
      </c>
      <c r="D57" s="20" t="inlineStr">
        <is>
          <t>0.000170</t>
        </is>
      </c>
      <c r="E57" s="20" t="inlineStr">
        <is>
          <t>0.500 SOL</t>
        </is>
      </c>
      <c r="F57" s="20" t="inlineStr">
        <is>
          <t>0.209 SOL</t>
        </is>
      </c>
      <c r="G57" s="24" t="inlineStr">
        <is>
          <t>-0.291 SOL</t>
        </is>
      </c>
      <c r="H57" s="24" t="inlineStr">
        <is>
          <t>-58.26%</t>
        </is>
      </c>
      <c r="I57" s="20" t="inlineStr">
        <is>
          <t>N/A</t>
        </is>
      </c>
      <c r="J57" s="20" t="n">
        <v>2</v>
      </c>
      <c r="K57" s="20" t="n">
        <v>1</v>
      </c>
      <c r="L57" s="20" t="inlineStr">
        <is>
          <t>22.10.2024 01:59:33</t>
        </is>
      </c>
      <c r="M57" s="20" t="inlineStr">
        <is>
          <t>55 min</t>
        </is>
      </c>
      <c r="N57" s="20" t="inlineStr">
        <is>
          <t xml:space="preserve">        111K            39K             7K</t>
        </is>
      </c>
      <c r="O57" s="20" t="inlineStr">
        <is>
          <t>B1LaQNzBvUV5Yog8qozfX8AzZjZVuTt8Gy2JALoqpump</t>
        </is>
      </c>
      <c r="P57" s="20">
        <f>HYPERLINK("https://dexscreener.com/solana/B1LaQNzBvUV5Yog8qozfX8AzZjZVuTt8Gy2JALoqpump", "View")</f>
        <v/>
      </c>
    </row>
    <row r="58">
      <c r="A58" s="15" t="inlineStr">
        <is>
          <t>WMM</t>
        </is>
      </c>
      <c r="B58" s="16" t="n">
        <v>17590</v>
      </c>
      <c r="C58" s="16" t="n">
        <v>17590</v>
      </c>
      <c r="D58" s="16" t="inlineStr">
        <is>
          <t>0.003260</t>
        </is>
      </c>
      <c r="E58" s="16" t="inlineStr">
        <is>
          <t>0.200 SOL</t>
        </is>
      </c>
      <c r="F58" s="16" t="inlineStr">
        <is>
          <t>0.302 SOL</t>
        </is>
      </c>
      <c r="G58" s="22" t="inlineStr">
        <is>
          <t>0.099 SOL</t>
        </is>
      </c>
      <c r="H58" s="22" t="inlineStr">
        <is>
          <t>48.64%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22.10.2024 00:59:48</t>
        </is>
      </c>
      <c r="M58" s="16" t="inlineStr">
        <is>
          <t>12 min</t>
        </is>
      </c>
      <c r="N58" s="16" t="inlineStr">
        <is>
          <t xml:space="preserve">          2M             2M             4M</t>
        </is>
      </c>
      <c r="O58" s="16" t="inlineStr">
        <is>
          <t>9pWPUXoZKWNPWyaegPQeR3Kn8aFz9nrGtm5jeAFzpump</t>
        </is>
      </c>
      <c r="P58" s="16">
        <f>HYPERLINK("https://dexscreener.com/solana/9pWPUXoZKWNPWyaegPQeR3Kn8aFz9nrGtm5jeAFzpump", "View")</f>
        <v/>
      </c>
    </row>
    <row r="59">
      <c r="A59" s="19" t="inlineStr">
        <is>
          <t>SAUSAGE</t>
        </is>
      </c>
      <c r="B59" s="20" t="n">
        <v>1803887</v>
      </c>
      <c r="C59" s="20" t="n">
        <v>1803887</v>
      </c>
      <c r="D59" s="20" t="inlineStr">
        <is>
          <t>0.000350</t>
        </is>
      </c>
      <c r="E59" s="20" t="inlineStr">
        <is>
          <t>0.800 SOL</t>
        </is>
      </c>
      <c r="F59" s="20" t="inlineStr">
        <is>
          <t>0.973 SOL</t>
        </is>
      </c>
      <c r="G59" s="22" t="inlineStr">
        <is>
          <t>0.172 SOL</t>
        </is>
      </c>
      <c r="H59" s="22" t="inlineStr">
        <is>
          <t>21.55%</t>
        </is>
      </c>
      <c r="I59" s="20" t="inlineStr">
        <is>
          <t>N/A</t>
        </is>
      </c>
      <c r="J59" s="20" t="n">
        <v>3</v>
      </c>
      <c r="K59" s="20" t="n">
        <v>2</v>
      </c>
      <c r="L59" s="20" t="inlineStr">
        <is>
          <t>22.10.2024 00:36:37</t>
        </is>
      </c>
      <c r="M59" s="20" t="inlineStr">
        <is>
          <t>1 hours</t>
        </is>
      </c>
      <c r="N59" s="20" t="inlineStr">
        <is>
          <t xml:space="preserve">         79K            93K             6K</t>
        </is>
      </c>
      <c r="O59" s="20" t="inlineStr">
        <is>
          <t>Eo7eZsR2oqSUTG4MWiCG6qN2bUCCZF8HQM3fGawUpump</t>
        </is>
      </c>
      <c r="P59" s="20">
        <f>HYPERLINK("https://dexscreener.com/solana/Eo7eZsR2oqSUTG4MWiCG6qN2bUCCZF8HQM3fGawUpump", "View")</f>
        <v/>
      </c>
    </row>
    <row r="60">
      <c r="A60" s="15" t="inlineStr">
        <is>
          <t>SOLM</t>
        </is>
      </c>
      <c r="B60" s="16" t="n">
        <v>77665</v>
      </c>
      <c r="C60" s="16" t="n">
        <v>77665</v>
      </c>
      <c r="D60" s="16" t="inlineStr">
        <is>
          <t>0.000520</t>
        </is>
      </c>
      <c r="E60" s="16" t="inlineStr">
        <is>
          <t>0.200 SOL</t>
        </is>
      </c>
      <c r="F60" s="16" t="inlineStr">
        <is>
          <t>0.252 SOL</t>
        </is>
      </c>
      <c r="G60" s="22" t="inlineStr">
        <is>
          <t>0.051 SOL</t>
        </is>
      </c>
      <c r="H60" s="22" t="inlineStr">
        <is>
          <t>25.46%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21.10.2024 22:08:17</t>
        </is>
      </c>
      <c r="M60" s="16" t="inlineStr">
        <is>
          <t>8 min</t>
        </is>
      </c>
      <c r="N60" s="16" t="inlineStr">
        <is>
          <t xml:space="preserve">        405K           508K            14K</t>
        </is>
      </c>
      <c r="O60" s="16" t="inlineStr">
        <is>
          <t>AGLsGEYqNHxkZomHMo1jESRGZ98kfuaLGgNHgT92pump</t>
        </is>
      </c>
      <c r="P60" s="16">
        <f>HYPERLINK("https://dexscreener.com/solana/AGLsGEYqNHxkZomHMo1jESRGZ98kfuaLGgNHgT92pump", "View")</f>
        <v/>
      </c>
    </row>
    <row r="61">
      <c r="A61" s="19" t="inlineStr">
        <is>
          <t>Thebes</t>
        </is>
      </c>
      <c r="B61" s="20" t="n">
        <v>1205827</v>
      </c>
      <c r="C61" s="20" t="n">
        <v>1205827</v>
      </c>
      <c r="D61" s="20" t="inlineStr">
        <is>
          <t>0.000260</t>
        </is>
      </c>
      <c r="E61" s="20" t="inlineStr">
        <is>
          <t>0.900 SOL</t>
        </is>
      </c>
      <c r="F61" s="20" t="inlineStr">
        <is>
          <t>0.991 SOL</t>
        </is>
      </c>
      <c r="G61" s="22" t="inlineStr">
        <is>
          <t>0.091 SOL</t>
        </is>
      </c>
      <c r="H61" s="22" t="inlineStr">
        <is>
          <t>10.08%</t>
        </is>
      </c>
      <c r="I61" s="20" t="inlineStr">
        <is>
          <t>N/A</t>
        </is>
      </c>
      <c r="J61" s="20" t="n">
        <v>3</v>
      </c>
      <c r="K61" s="20" t="n">
        <v>2</v>
      </c>
      <c r="L61" s="20" t="inlineStr">
        <is>
          <t>21.10.2024 21:53:17</t>
        </is>
      </c>
      <c r="M61" s="20" t="inlineStr">
        <is>
          <t>1 days</t>
        </is>
      </c>
      <c r="N61" s="20" t="inlineStr">
        <is>
          <t xml:space="preserve">        141K           216K            64K</t>
        </is>
      </c>
      <c r="O61" s="20" t="inlineStr">
        <is>
          <t>AgHg9Q1s9aUhU7YNMH7c5pvCghFVSFcnCEJ4ePKjrDZg</t>
        </is>
      </c>
      <c r="P61" s="20">
        <f>HYPERLINK("https://dexscreener.com/solana/AgHg9Q1s9aUhU7YNMH7c5pvCghFVSFcnCEJ4ePKjrDZg", "View")</f>
        <v/>
      </c>
    </row>
    <row r="62">
      <c r="A62" s="15" t="inlineStr">
        <is>
          <t>⌥</t>
        </is>
      </c>
      <c r="B62" s="16" t="n">
        <v>440862</v>
      </c>
      <c r="C62" s="16" t="n">
        <v>101795</v>
      </c>
      <c r="D62" s="16" t="inlineStr">
        <is>
          <t>0.000760</t>
        </is>
      </c>
      <c r="E62" s="16" t="inlineStr">
        <is>
          <t>1.100 SOL</t>
        </is>
      </c>
      <c r="F62" s="16" t="inlineStr">
        <is>
          <t>0.208 SOL</t>
        </is>
      </c>
      <c r="G62" s="24" t="inlineStr">
        <is>
          <t>-0.893 SOL</t>
        </is>
      </c>
      <c r="H62" s="24" t="inlineStr">
        <is>
          <t>-81.15%</t>
        </is>
      </c>
      <c r="I62" s="16" t="inlineStr">
        <is>
          <t>N/A</t>
        </is>
      </c>
      <c r="J62" s="16" t="n">
        <v>5</v>
      </c>
      <c r="K62" s="16" t="n">
        <v>1</v>
      </c>
      <c r="L62" s="16" t="inlineStr">
        <is>
          <t>21.10.2024 09:29:29</t>
        </is>
      </c>
      <c r="M62" s="16" t="inlineStr">
        <is>
          <t>10 hours</t>
        </is>
      </c>
      <c r="N62" s="16" t="inlineStr">
        <is>
          <t xml:space="preserve">        504K           358K            25K</t>
        </is>
      </c>
      <c r="O62" s="16" t="inlineStr">
        <is>
          <t>CJJbVYyrX92FjZGWn6Ckg9SnszxGF33C6okcKsmFpump</t>
        </is>
      </c>
      <c r="P62" s="16">
        <f>HYPERLINK("https://dexscreener.com/solana/CJJbVYyrX92FjZGWn6Ckg9SnszxGF33C6okcKsmFpump", "View")</f>
        <v/>
      </c>
    </row>
    <row r="63">
      <c r="A63" s="19" t="inlineStr">
        <is>
          <t>LAMDUAN</t>
        </is>
      </c>
      <c r="B63" s="20" t="n">
        <v>44899</v>
      </c>
      <c r="C63" s="20" t="n">
        <v>44899</v>
      </c>
      <c r="D63" s="20" t="inlineStr">
        <is>
          <t>0.003320</t>
        </is>
      </c>
      <c r="E63" s="20" t="inlineStr">
        <is>
          <t>0.200 SOL</t>
        </is>
      </c>
      <c r="F63" s="20" t="inlineStr">
        <is>
          <t>0.232 SOL</t>
        </is>
      </c>
      <c r="G63" s="22" t="inlineStr">
        <is>
          <t>0.029 SOL</t>
        </is>
      </c>
      <c r="H63" s="22" t="inlineStr">
        <is>
          <t>14.13%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21.10.2024 08:50:29</t>
        </is>
      </c>
      <c r="M63" s="20" t="inlineStr">
        <is>
          <t>4 min</t>
        </is>
      </c>
      <c r="N63" s="20" t="inlineStr">
        <is>
          <t xml:space="preserve">        781K           908K           195K</t>
        </is>
      </c>
      <c r="O63" s="20" t="inlineStr">
        <is>
          <t>6WSppYPevaDEZxdmW2WoHLoSnJMeVyqz8Rqkm8MCpump</t>
        </is>
      </c>
      <c r="P63" s="20">
        <f>HYPERLINK("https://dexscreener.com/solana/6WSppYPevaDEZxdmW2WoHLoSnJMeVyqz8Rqkm8MCpump", "View")</f>
        <v/>
      </c>
    </row>
    <row r="64">
      <c r="A64" s="15" t="inlineStr">
        <is>
          <t>HOPE</t>
        </is>
      </c>
      <c r="B64" s="16" t="n">
        <v>82172</v>
      </c>
      <c r="C64" s="16" t="n">
        <v>82172</v>
      </c>
      <c r="D64" s="16" t="inlineStr">
        <is>
          <t>0.000120</t>
        </is>
      </c>
      <c r="E64" s="16" t="inlineStr">
        <is>
          <t>0.200 SOL</t>
        </is>
      </c>
      <c r="F64" s="16" t="inlineStr">
        <is>
          <t>0.217 SOL</t>
        </is>
      </c>
      <c r="G64" s="22" t="inlineStr">
        <is>
          <t>0.017 SOL</t>
        </is>
      </c>
      <c r="H64" s="22" t="inlineStr">
        <is>
          <t>8.63%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20.10.2024 22:40:05</t>
        </is>
      </c>
      <c r="M64" s="16" t="inlineStr">
        <is>
          <t>31 min</t>
        </is>
      </c>
      <c r="N64" s="16" t="inlineStr">
        <is>
          <t xml:space="preserve">        N/A           N/A           N/A</t>
        </is>
      </c>
      <c r="O64" s="16" t="inlineStr">
        <is>
          <t>BBhmss7WDYaBud8PWyVAL2hEpgfLmxRczsRPNaNHpump</t>
        </is>
      </c>
      <c r="P64" s="16">
        <f>HYPERLINK("https://dexscreener.com/solana/BBhmss7WDYaBud8PWyVAL2hEpgfLmxRczsRPNaNHpump", "View")</f>
        <v/>
      </c>
    </row>
    <row r="65">
      <c r="A65" s="19" t="inlineStr">
        <is>
          <t>TASTYLQD</t>
        </is>
      </c>
      <c r="B65" s="20" t="n">
        <v>282502</v>
      </c>
      <c r="C65" s="20" t="n">
        <v>282502</v>
      </c>
      <c r="D65" s="20" t="inlineStr">
        <is>
          <t>0.000790</t>
        </is>
      </c>
      <c r="E65" s="20" t="inlineStr">
        <is>
          <t>0.600 SOL</t>
        </is>
      </c>
      <c r="F65" s="20" t="inlineStr">
        <is>
          <t>0.644 SOL</t>
        </is>
      </c>
      <c r="G65" s="22" t="inlineStr">
        <is>
          <t>0.043 SOL</t>
        </is>
      </c>
      <c r="H65" s="22" t="inlineStr">
        <is>
          <t>7.16%</t>
        </is>
      </c>
      <c r="I65" s="20" t="inlineStr">
        <is>
          <t>N/A</t>
        </is>
      </c>
      <c r="J65" s="20" t="n">
        <v>3</v>
      </c>
      <c r="K65" s="20" t="n">
        <v>1</v>
      </c>
      <c r="L65" s="20" t="inlineStr">
        <is>
          <t>20.10.2024 18:11:58</t>
        </is>
      </c>
      <c r="M65" s="20" t="inlineStr">
        <is>
          <t>4 hours</t>
        </is>
      </c>
      <c r="N65" s="20" t="inlineStr">
        <is>
          <t xml:space="preserve">        508K           400K           106K</t>
        </is>
      </c>
      <c r="O65" s="20" t="inlineStr">
        <is>
          <t>HAnwjuZhPE7aCWtdVpahtrACgV9wgQfHBvea56Fypump</t>
        </is>
      </c>
      <c r="P65" s="20">
        <f>HYPERLINK("https://dexscreener.com/solana/HAnwjuZhPE7aCWtdVpahtrACgV9wgQfHBvea56Fypump", "View")</f>
        <v/>
      </c>
    </row>
    <row r="66">
      <c r="A66" s="15" t="inlineStr">
        <is>
          <t>MEME</t>
        </is>
      </c>
      <c r="B66" s="16" t="n">
        <v>94165</v>
      </c>
      <c r="C66" s="16" t="n">
        <v>94165</v>
      </c>
      <c r="D66" s="16" t="inlineStr">
        <is>
          <t>0.001600</t>
        </is>
      </c>
      <c r="E66" s="16" t="inlineStr">
        <is>
          <t>0.200 SOL</t>
        </is>
      </c>
      <c r="F66" s="16" t="inlineStr">
        <is>
          <t>0.240 SOL</t>
        </is>
      </c>
      <c r="G66" s="22" t="inlineStr">
        <is>
          <t>0.038 SOL</t>
        </is>
      </c>
      <c r="H66" s="22" t="inlineStr">
        <is>
          <t>18.94%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20.10.2024 13:56:28</t>
        </is>
      </c>
      <c r="M66" s="16" t="inlineStr">
        <is>
          <t>16 min</t>
        </is>
      </c>
      <c r="N66" s="16" t="inlineStr">
        <is>
          <t xml:space="preserve">        372K           448K            66K</t>
        </is>
      </c>
      <c r="O66" s="16" t="inlineStr">
        <is>
          <t>EWy1HPEUq4Lgm6H4pQ8augEuJ7WRwJgENZMTAUzrpump</t>
        </is>
      </c>
      <c r="P66" s="16">
        <f>HYPERLINK("https://dexscreener.com/solana/EWy1HPEUq4Lgm6H4pQ8augEuJ7WRwJgENZMTAUzrpump", "View")</f>
        <v/>
      </c>
    </row>
    <row r="67">
      <c r="A67" s="19" t="inlineStr">
        <is>
          <t>Maxwell</t>
        </is>
      </c>
      <c r="B67" s="20" t="n">
        <v>27013</v>
      </c>
      <c r="C67" s="20" t="n">
        <v>27013</v>
      </c>
      <c r="D67" s="20" t="inlineStr">
        <is>
          <t>0.000130</t>
        </is>
      </c>
      <c r="E67" s="20" t="inlineStr">
        <is>
          <t>0.200 SOL</t>
        </is>
      </c>
      <c r="F67" s="20" t="inlineStr">
        <is>
          <t>0.220 SOL</t>
        </is>
      </c>
      <c r="G67" s="22" t="inlineStr">
        <is>
          <t>0.020 SOL</t>
        </is>
      </c>
      <c r="H67" s="22" t="inlineStr">
        <is>
          <t>9.95%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20.10.2024 13:35:07</t>
        </is>
      </c>
      <c r="M67" s="20" t="inlineStr">
        <is>
          <t>43 min</t>
        </is>
      </c>
      <c r="N67" s="20" t="inlineStr">
        <is>
          <t xml:space="preserve">          1M             1M           320K</t>
        </is>
      </c>
      <c r="O67" s="20" t="inlineStr">
        <is>
          <t>H84qihes12nVQarr8rzmw87hDXUbHtFKRm5joBcbpump</t>
        </is>
      </c>
      <c r="P67" s="20">
        <f>HYPERLINK("https://dexscreener.com/solana/H84qihes12nVQarr8rzmw87hDXUbHtFKRm5joBcbpump", "View")</f>
        <v/>
      </c>
    </row>
    <row r="68">
      <c r="A68" s="15" t="inlineStr">
        <is>
          <t>CATGF</t>
        </is>
      </c>
      <c r="B68" s="16" t="n">
        <v>118841</v>
      </c>
      <c r="C68" s="16" t="n">
        <v>118841</v>
      </c>
      <c r="D68" s="16" t="inlineStr">
        <is>
          <t>0.000560</t>
        </is>
      </c>
      <c r="E68" s="16" t="inlineStr">
        <is>
          <t>1.000 SOL</t>
        </is>
      </c>
      <c r="F68" s="16" t="inlineStr">
        <is>
          <t>1.238 SOL</t>
        </is>
      </c>
      <c r="G68" s="22" t="inlineStr">
        <is>
          <t>0.237 SOL</t>
        </is>
      </c>
      <c r="H68" s="22" t="inlineStr">
        <is>
          <t>23.69%</t>
        </is>
      </c>
      <c r="I68" s="16" t="inlineStr">
        <is>
          <t>N/A</t>
        </is>
      </c>
      <c r="J68" s="16" t="n">
        <v>2</v>
      </c>
      <c r="K68" s="16" t="n">
        <v>1</v>
      </c>
      <c r="L68" s="16" t="inlineStr">
        <is>
          <t>20.10.2024 02:37:44</t>
        </is>
      </c>
      <c r="M68" s="16" t="inlineStr">
        <is>
          <t>57 min</t>
        </is>
      </c>
      <c r="N68" s="16" t="inlineStr">
        <is>
          <t xml:space="preserve">          1M             2M             4M</t>
        </is>
      </c>
      <c r="O68" s="16" t="inlineStr">
        <is>
          <t>GVwpWU5PtJFHS1mH35sHmsRN1XWUwRV3Qo94h5Lepump</t>
        </is>
      </c>
      <c r="P68" s="16">
        <f>HYPERLINK("https://dexscreener.com/solana/GVwpWU5PtJFHS1mH35sHmsRN1XWUwRV3Qo94h5Lepump", "View")</f>
        <v/>
      </c>
    </row>
    <row r="69">
      <c r="A69" s="19" t="inlineStr">
        <is>
          <t>LOOM</t>
        </is>
      </c>
      <c r="B69" s="20" t="n">
        <v>13258</v>
      </c>
      <c r="C69" s="20" t="n">
        <v>10666</v>
      </c>
      <c r="D69" s="20" t="inlineStr">
        <is>
          <t>0.001160</t>
        </is>
      </c>
      <c r="E69" s="20" t="inlineStr">
        <is>
          <t>0.500 SOL</t>
        </is>
      </c>
      <c r="F69" s="20" t="inlineStr">
        <is>
          <t>0.306 SOL</t>
        </is>
      </c>
      <c r="G69" s="21" t="inlineStr">
        <is>
          <t>-0.195 SOL</t>
        </is>
      </c>
      <c r="H69" s="21" t="inlineStr">
        <is>
          <t>-38.96%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20.10.2024 01:30:14</t>
        </is>
      </c>
      <c r="M69" s="20" t="inlineStr">
        <is>
          <t>11 hours</t>
        </is>
      </c>
      <c r="N69" s="20" t="inlineStr">
        <is>
          <t xml:space="preserve">          7M             7M           147K</t>
        </is>
      </c>
      <c r="O69" s="20" t="inlineStr">
        <is>
          <t>D57CP6MA7G5idNmxAuigU6W8uPeiGvDVuuwh4z2ypump</t>
        </is>
      </c>
      <c r="P69" s="20">
        <f>HYPERLINK("https://dexscreener.com/solana/D57CP6MA7G5idNmxAuigU6W8uPeiGvDVuuwh4z2ypump", "View")</f>
        <v/>
      </c>
    </row>
    <row r="70">
      <c r="A70" s="15" t="inlineStr">
        <is>
          <t>maxy</t>
        </is>
      </c>
      <c r="B70" s="16" t="n">
        <v>371128</v>
      </c>
      <c r="C70" s="16" t="n">
        <v>371128</v>
      </c>
      <c r="D70" s="16" t="inlineStr">
        <is>
          <t>0.002470</t>
        </is>
      </c>
      <c r="E70" s="16" t="inlineStr">
        <is>
          <t>1.000 SOL</t>
        </is>
      </c>
      <c r="F70" s="16" t="inlineStr">
        <is>
          <t>1.266 SOL</t>
        </is>
      </c>
      <c r="G70" s="22" t="inlineStr">
        <is>
          <t>0.263 SOL</t>
        </is>
      </c>
      <c r="H70" s="22" t="inlineStr">
        <is>
          <t>26.26%</t>
        </is>
      </c>
      <c r="I70" s="16" t="inlineStr">
        <is>
          <t>N/A</t>
        </is>
      </c>
      <c r="J70" s="16" t="n">
        <v>4</v>
      </c>
      <c r="K70" s="16" t="n">
        <v>2</v>
      </c>
      <c r="L70" s="16" t="inlineStr">
        <is>
          <t>20.10.2024 01:21:45</t>
        </is>
      </c>
      <c r="M70" s="16" t="inlineStr">
        <is>
          <t>2 hours</t>
        </is>
      </c>
      <c r="N70" s="16" t="inlineStr">
        <is>
          <t xml:space="preserve">        653K           418K            37K</t>
        </is>
      </c>
      <c r="O70" s="16" t="inlineStr">
        <is>
          <t>2tBPEZp3uChtKvdKhWgaA8AsqK3J6Mvt8w7XQo39pump</t>
        </is>
      </c>
      <c r="P70" s="16">
        <f>HYPERLINK("https://dexscreener.com/solana/2tBPEZp3uChtKvdKhWgaA8AsqK3J6Mvt8w7XQo39pump", "View")</f>
        <v/>
      </c>
    </row>
    <row r="71">
      <c r="A71" s="19" t="inlineStr">
        <is>
          <t>Elysium</t>
        </is>
      </c>
      <c r="B71" s="20" t="n">
        <v>413746</v>
      </c>
      <c r="C71" s="20" t="n">
        <v>413746</v>
      </c>
      <c r="D71" s="20" t="inlineStr">
        <is>
          <t>0.000500</t>
        </is>
      </c>
      <c r="E71" s="20" t="inlineStr">
        <is>
          <t>1.100 SOL</t>
        </is>
      </c>
      <c r="F71" s="20" t="inlineStr">
        <is>
          <t>1.250 SOL</t>
        </is>
      </c>
      <c r="G71" s="22" t="inlineStr">
        <is>
          <t>0.150 SOL</t>
        </is>
      </c>
      <c r="H71" s="22" t="inlineStr">
        <is>
          <t>13.60%</t>
        </is>
      </c>
      <c r="I71" s="20" t="inlineStr">
        <is>
          <t>N/A</t>
        </is>
      </c>
      <c r="J71" s="20" t="n">
        <v>3</v>
      </c>
      <c r="K71" s="20" t="n">
        <v>3</v>
      </c>
      <c r="L71" s="20" t="inlineStr">
        <is>
          <t>20.10.2024 01:07:41</t>
        </is>
      </c>
      <c r="M71" s="20" t="inlineStr">
        <is>
          <t>10 hours</t>
        </is>
      </c>
      <c r="N71" s="20" t="inlineStr">
        <is>
          <t xml:space="preserve">        420K           899K            24K</t>
        </is>
      </c>
      <c r="O71" s="20" t="inlineStr">
        <is>
          <t>9Za5hA1XFyGBNbGNEJH7v411AXaW19WMhKaAvamUgT7T</t>
        </is>
      </c>
      <c r="P71" s="20">
        <f>HYPERLINK("https://dexscreener.com/solana/9Za5hA1XFyGBNbGNEJH7v411AXaW19WMhKaAvamUgT7T", "View")</f>
        <v/>
      </c>
    </row>
    <row r="72">
      <c r="A72" s="15" t="inlineStr">
        <is>
          <t>DOAEM</t>
        </is>
      </c>
      <c r="B72" s="16" t="n">
        <v>797783</v>
      </c>
      <c r="C72" s="16" t="n">
        <v>797783</v>
      </c>
      <c r="D72" s="16" t="inlineStr">
        <is>
          <t>0.000150</t>
        </is>
      </c>
      <c r="E72" s="16" t="inlineStr">
        <is>
          <t>1.200 SOL</t>
        </is>
      </c>
      <c r="F72" s="16" t="inlineStr">
        <is>
          <t>0.637 SOL</t>
        </is>
      </c>
      <c r="G72" s="21" t="inlineStr">
        <is>
          <t>-0.563 SOL</t>
        </is>
      </c>
      <c r="H72" s="21" t="inlineStr">
        <is>
          <t>-46.91%</t>
        </is>
      </c>
      <c r="I72" s="16" t="inlineStr">
        <is>
          <t>N/A</t>
        </is>
      </c>
      <c r="J72" s="16" t="n">
        <v>3</v>
      </c>
      <c r="K72" s="16" t="n">
        <v>1</v>
      </c>
      <c r="L72" s="16" t="inlineStr">
        <is>
          <t>19.10.2024 22:20:16</t>
        </is>
      </c>
      <c r="M72" s="16" t="inlineStr">
        <is>
          <t>33 min</t>
        </is>
      </c>
      <c r="N72" s="16" t="inlineStr">
        <is>
          <t xml:space="preserve">        472K           141K            24K</t>
        </is>
      </c>
      <c r="O72" s="16" t="inlineStr">
        <is>
          <t>3VR9UzXZn56Xstds3g7X8E6TtsSc6AKEJUrRYeVKpump</t>
        </is>
      </c>
      <c r="P72" s="16">
        <f>HYPERLINK("https://dexscreener.com/solana/3VR9UzXZn56Xstds3g7X8E6TtsSc6AKEJUrRYeVKpump", "View")</f>
        <v/>
      </c>
    </row>
    <row r="73">
      <c r="A73" s="19" t="inlineStr">
        <is>
          <t>xcog</t>
        </is>
      </c>
      <c r="B73" s="20" t="n">
        <v>2317998</v>
      </c>
      <c r="C73" s="20" t="n">
        <v>2317998</v>
      </c>
      <c r="D73" s="20" t="inlineStr">
        <is>
          <t>0.000370</t>
        </is>
      </c>
      <c r="E73" s="20" t="inlineStr">
        <is>
          <t>1.500 SOL</t>
        </is>
      </c>
      <c r="F73" s="20" t="inlineStr">
        <is>
          <t>1.639 SOL</t>
        </is>
      </c>
      <c r="G73" s="22" t="inlineStr">
        <is>
          <t>0.138 SOL</t>
        </is>
      </c>
      <c r="H73" s="22" t="inlineStr">
        <is>
          <t>9.23%</t>
        </is>
      </c>
      <c r="I73" s="20" t="inlineStr">
        <is>
          <t>N/A</t>
        </is>
      </c>
      <c r="J73" s="20" t="n">
        <v>3</v>
      </c>
      <c r="K73" s="20" t="n">
        <v>2</v>
      </c>
      <c r="L73" s="20" t="inlineStr">
        <is>
          <t>19.10.2024 14:15:03</t>
        </is>
      </c>
      <c r="M73" s="20" t="inlineStr">
        <is>
          <t>1 hours</t>
        </is>
      </c>
      <c r="N73" s="20" t="inlineStr">
        <is>
          <t xml:space="preserve">        107K           121K            27K</t>
        </is>
      </c>
      <c r="O73" s="20" t="inlineStr">
        <is>
          <t>ETZDTrZp1tWSTPHf22cyUXiv5xGzXuBFEwJAsE8ypump</t>
        </is>
      </c>
      <c r="P73" s="20">
        <f>HYPERLINK("https://dexscreener.com/solana/ETZDTrZp1tWSTPHf22cyUXiv5xGzXuBFEwJAsE8ypump", "View")</f>
        <v/>
      </c>
    </row>
    <row r="74">
      <c r="A74" s="15" t="inlineStr">
        <is>
          <t>GOTE</t>
        </is>
      </c>
      <c r="B74" s="16" t="n">
        <v>1490102</v>
      </c>
      <c r="C74" s="16" t="n">
        <v>1490102</v>
      </c>
      <c r="D74" s="16" t="inlineStr">
        <is>
          <t>0.000410</t>
        </is>
      </c>
      <c r="E74" s="16" t="inlineStr">
        <is>
          <t>1.880 SOL</t>
        </is>
      </c>
      <c r="F74" s="16" t="inlineStr">
        <is>
          <t>2.187 SOL</t>
        </is>
      </c>
      <c r="G74" s="22" t="inlineStr">
        <is>
          <t>0.307 SOL</t>
        </is>
      </c>
      <c r="H74" s="22" t="inlineStr">
        <is>
          <t>16.31%</t>
        </is>
      </c>
      <c r="I74" s="16" t="inlineStr">
        <is>
          <t>N/A</t>
        </is>
      </c>
      <c r="J74" s="16" t="n">
        <v>5</v>
      </c>
      <c r="K74" s="16" t="n">
        <v>4</v>
      </c>
      <c r="L74" s="16" t="inlineStr">
        <is>
          <t>19.10.2024 13:03:05</t>
        </is>
      </c>
      <c r="M74" s="16" t="inlineStr">
        <is>
          <t>9 hours</t>
        </is>
      </c>
      <c r="N74" s="16" t="inlineStr">
        <is>
          <t xml:space="preserve">        451K           140K            22K</t>
        </is>
      </c>
      <c r="O74" s="16" t="inlineStr">
        <is>
          <t>Fgn3y5zLZTfi5UxP59yHbLmryWgWnHS4BFJHcsuVpump</t>
        </is>
      </c>
      <c r="P74" s="16">
        <f>HYPERLINK("https://dexscreener.com/solana/Fgn3y5zLZTfi5UxP59yHbLmryWgWnHS4BFJHcsuVpump", "View")</f>
        <v/>
      </c>
    </row>
    <row r="75">
      <c r="A75" s="19" t="inlineStr">
        <is>
          <t>Cyborgism</t>
        </is>
      </c>
      <c r="B75" s="20" t="n">
        <v>587732</v>
      </c>
      <c r="C75" s="20" t="n">
        <v>587732</v>
      </c>
      <c r="D75" s="20" t="inlineStr">
        <is>
          <t>0.000450</t>
        </is>
      </c>
      <c r="E75" s="20" t="inlineStr">
        <is>
          <t>0.700 SOL</t>
        </is>
      </c>
      <c r="F75" s="20" t="inlineStr">
        <is>
          <t>0.923 SOL</t>
        </is>
      </c>
      <c r="G75" s="22" t="inlineStr">
        <is>
          <t>0.223 SOL</t>
        </is>
      </c>
      <c r="H75" s="22" t="inlineStr">
        <is>
          <t>31.79%</t>
        </is>
      </c>
      <c r="I75" s="20" t="inlineStr">
        <is>
          <t>N/A</t>
        </is>
      </c>
      <c r="J75" s="20" t="n">
        <v>3</v>
      </c>
      <c r="K75" s="20" t="n">
        <v>2</v>
      </c>
      <c r="L75" s="20" t="inlineStr">
        <is>
          <t>19.10.2024 12:23:50</t>
        </is>
      </c>
      <c r="M75" s="20" t="inlineStr">
        <is>
          <t>45 min</t>
        </is>
      </c>
      <c r="N75" s="20" t="inlineStr">
        <is>
          <t xml:space="preserve">        228K           290K            20K</t>
        </is>
      </c>
      <c r="O75" s="20" t="inlineStr">
        <is>
          <t>8X7emJy8CV5pK7UjyBKCywdfc4MTKShpUddqrqyepump</t>
        </is>
      </c>
      <c r="P75" s="20">
        <f>HYPERLINK("https://dexscreener.com/solana/8X7emJy8CV5pK7UjyBKCywdfc4MTKShpUddqrqyepump", "View")</f>
        <v/>
      </c>
    </row>
    <row r="76">
      <c r="A76" s="15" t="inlineStr">
        <is>
          <t>ARCANE</t>
        </is>
      </c>
      <c r="B76" s="16" t="n">
        <v>240491</v>
      </c>
      <c r="C76" s="16" t="n">
        <v>240491</v>
      </c>
      <c r="D76" s="16" t="inlineStr">
        <is>
          <t>0.000140</t>
        </is>
      </c>
      <c r="E76" s="16" t="inlineStr">
        <is>
          <t>0.400 SOL</t>
        </is>
      </c>
      <c r="F76" s="16" t="inlineStr">
        <is>
          <t>0.452 SOL</t>
        </is>
      </c>
      <c r="G76" s="22" t="inlineStr">
        <is>
          <t>0.052 SOL</t>
        </is>
      </c>
      <c r="H76" s="22" t="inlineStr">
        <is>
          <t>13.00%</t>
        </is>
      </c>
      <c r="I76" s="16" t="inlineStr">
        <is>
          <t>N/A</t>
        </is>
      </c>
      <c r="J76" s="16" t="n">
        <v>1</v>
      </c>
      <c r="K76" s="16" t="n">
        <v>1</v>
      </c>
      <c r="L76" s="16" t="inlineStr">
        <is>
          <t>19.10.2024 05:10:11</t>
        </is>
      </c>
      <c r="M76" s="16" t="inlineStr">
        <is>
          <t>52 min</t>
        </is>
      </c>
      <c r="N76" s="16" t="inlineStr">
        <is>
          <t xml:space="preserve">        292K           330K            31K</t>
        </is>
      </c>
      <c r="O76" s="16" t="inlineStr">
        <is>
          <t>CK8jBy1R7JKr6FMSmaHJGi8GS3XPryWFJ1ebX3Uvpump</t>
        </is>
      </c>
      <c r="P76" s="16">
        <f>HYPERLINK("https://dexscreener.com/solana/CK8jBy1R7JKr6FMSmaHJGi8GS3XPryWFJ1ebX3Uvpump", "View")</f>
        <v/>
      </c>
    </row>
    <row r="77">
      <c r="A77" s="19" t="inlineStr">
        <is>
          <t>CTG</t>
        </is>
      </c>
      <c r="B77" s="20" t="n">
        <v>348551</v>
      </c>
      <c r="C77" s="20" t="n">
        <v>348551</v>
      </c>
      <c r="D77" s="20" t="inlineStr">
        <is>
          <t>0.000550</t>
        </is>
      </c>
      <c r="E77" s="20" t="inlineStr">
        <is>
          <t>0.550 SOL</t>
        </is>
      </c>
      <c r="F77" s="20" t="inlineStr">
        <is>
          <t>0.679 SOL</t>
        </is>
      </c>
      <c r="G77" s="22" t="inlineStr">
        <is>
          <t>0.128 SOL</t>
        </is>
      </c>
      <c r="H77" s="22" t="inlineStr">
        <is>
          <t>23.31%</t>
        </is>
      </c>
      <c r="I77" s="20" t="inlineStr">
        <is>
          <t>N/A</t>
        </is>
      </c>
      <c r="J77" s="20" t="n">
        <v>3</v>
      </c>
      <c r="K77" s="20" t="n">
        <v>1</v>
      </c>
      <c r="L77" s="20" t="inlineStr">
        <is>
          <t>19.10.2024 03:29:30</t>
        </is>
      </c>
      <c r="M77" s="20" t="inlineStr">
        <is>
          <t>58 min</t>
        </is>
      </c>
      <c r="N77" s="20" t="inlineStr">
        <is>
          <t xml:space="preserve">        305K           342K             7K</t>
        </is>
      </c>
      <c r="O77" s="20" t="inlineStr">
        <is>
          <t>BfUfnLMCNwKYamhJXzaxgUmFjrGFHdkjRLAxeaxqpump</t>
        </is>
      </c>
      <c r="P77" s="20">
        <f>HYPERLINK("https://dexscreener.com/solana/BfUfnLMCNwKYamhJXzaxgUmFjrGFHdkjRLAxeaxqpump", "View")</f>
        <v/>
      </c>
    </row>
    <row r="78">
      <c r="A78" s="15" t="inlineStr">
        <is>
          <t>Gaia</t>
        </is>
      </c>
      <c r="B78" s="16" t="n">
        <v>77810</v>
      </c>
      <c r="C78" s="16" t="n">
        <v>77810</v>
      </c>
      <c r="D78" s="16" t="inlineStr">
        <is>
          <t>0.000160</t>
        </is>
      </c>
      <c r="E78" s="16" t="inlineStr">
        <is>
          <t>0.400 SOL</t>
        </is>
      </c>
      <c r="F78" s="16" t="inlineStr">
        <is>
          <t>0.524 SOL</t>
        </is>
      </c>
      <c r="G78" s="22" t="inlineStr">
        <is>
          <t>0.123 SOL</t>
        </is>
      </c>
      <c r="H78" s="22" t="inlineStr">
        <is>
          <t>30.86%</t>
        </is>
      </c>
      <c r="I78" s="16" t="inlineStr">
        <is>
          <t>N/A</t>
        </is>
      </c>
      <c r="J78" s="16" t="n">
        <v>1</v>
      </c>
      <c r="K78" s="16" t="n">
        <v>1</v>
      </c>
      <c r="L78" s="16" t="inlineStr">
        <is>
          <t>19.10.2024 01:24:41</t>
        </is>
      </c>
      <c r="M78" s="16" t="inlineStr">
        <is>
          <t>18 min</t>
        </is>
      </c>
      <c r="N78" s="16" t="inlineStr">
        <is>
          <t xml:space="preserve">        903K             1M            54K</t>
        </is>
      </c>
      <c r="O78" s="16" t="inlineStr">
        <is>
          <t>mchXra9PGqbMPuJ5FW9YxkkoSVKWAhyu5xP5tk4pump</t>
        </is>
      </c>
      <c r="P78" s="16">
        <f>HYPERLINK("https://dexscreener.com/solana/mchXra9PGqbMPuJ5FW9YxkkoSVKWAhyu5xP5tk4pump", "View")</f>
        <v/>
      </c>
    </row>
    <row r="79">
      <c r="A79" s="19" t="inlineStr">
        <is>
          <t>PENIS</t>
        </is>
      </c>
      <c r="B79" s="20" t="n">
        <v>696085</v>
      </c>
      <c r="C79" s="20" t="n">
        <v>696085</v>
      </c>
      <c r="D79" s="20" t="inlineStr">
        <is>
          <t>0.002380</t>
        </is>
      </c>
      <c r="E79" s="20" t="inlineStr">
        <is>
          <t>0.550 SOL</t>
        </is>
      </c>
      <c r="F79" s="20" t="inlineStr">
        <is>
          <t>0.326 SOL</t>
        </is>
      </c>
      <c r="G79" s="21" t="inlineStr">
        <is>
          <t>-0.226 SOL</t>
        </is>
      </c>
      <c r="H79" s="21" t="inlineStr">
        <is>
          <t>-40.97%</t>
        </is>
      </c>
      <c r="I79" s="20" t="inlineStr">
        <is>
          <t>N/A</t>
        </is>
      </c>
      <c r="J79" s="20" t="n">
        <v>3</v>
      </c>
      <c r="K79" s="20" t="n">
        <v>2</v>
      </c>
      <c r="L79" s="20" t="inlineStr">
        <is>
          <t>19.10.2024 00:11:31</t>
        </is>
      </c>
      <c r="M79" s="20" t="inlineStr">
        <is>
          <t>1 hours</t>
        </is>
      </c>
      <c r="N79" s="20" t="inlineStr">
        <is>
          <t xml:space="preserve">        173K            31K             8K</t>
        </is>
      </c>
      <c r="O79" s="20" t="inlineStr">
        <is>
          <t>4t4ConHMXXcwtTuW86NXQcdvWBVsLzHLzcnHpW1c6Det</t>
        </is>
      </c>
      <c r="P79" s="20">
        <f>HYPERLINK("https://dexscreener.com/solana/4t4ConHMXXcwtTuW86NXQcdvWBVsLzHLzcnHpW1c6Det", "View")</f>
        <v/>
      </c>
    </row>
    <row r="80">
      <c r="A80" s="15" t="inlineStr">
        <is>
          <t>AUTER</t>
        </is>
      </c>
      <c r="B80" s="16" t="n">
        <v>153719</v>
      </c>
      <c r="C80" s="16" t="n">
        <v>153719</v>
      </c>
      <c r="D80" s="16" t="inlineStr">
        <is>
          <t>0.000670</t>
        </is>
      </c>
      <c r="E80" s="16" t="inlineStr">
        <is>
          <t>0.200 SOL</t>
        </is>
      </c>
      <c r="F80" s="16" t="inlineStr">
        <is>
          <t>0.335 SOL</t>
        </is>
      </c>
      <c r="G80" s="23" t="inlineStr">
        <is>
          <t>0.134 SOL</t>
        </is>
      </c>
      <c r="H80" s="23" t="inlineStr">
        <is>
          <t>66.73%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18.10.2024 23:24:58</t>
        </is>
      </c>
      <c r="M80" s="16" t="inlineStr">
        <is>
          <t>24 min</t>
        </is>
      </c>
      <c r="N80" s="16" t="inlineStr">
        <is>
          <t xml:space="preserve">        228K           383K            14K</t>
        </is>
      </c>
      <c r="O80" s="16" t="inlineStr">
        <is>
          <t>NmpfpJ7s7UBA4dLbrHVe8utkZqGjCEf2w552uZ5pump</t>
        </is>
      </c>
      <c r="P80" s="16">
        <f>HYPERLINK("https://dexscreener.com/solana/NmpfpJ7s7UBA4dLbrHVe8utkZqGjCEf2w552uZ5pump", "View")</f>
        <v/>
      </c>
    </row>
    <row r="81">
      <c r="A81" s="19" t="inlineStr">
        <is>
          <t>fleebr</t>
        </is>
      </c>
      <c r="B81" s="20" t="n">
        <v>391849</v>
      </c>
      <c r="C81" s="20" t="n">
        <v>391849</v>
      </c>
      <c r="D81" s="20" t="inlineStr">
        <is>
          <t>0.000700</t>
        </is>
      </c>
      <c r="E81" s="20" t="inlineStr">
        <is>
          <t>0.740 SOL</t>
        </is>
      </c>
      <c r="F81" s="20" t="inlineStr">
        <is>
          <t>0.529 SOL</t>
        </is>
      </c>
      <c r="G81" s="21" t="inlineStr">
        <is>
          <t>-0.211 SOL</t>
        </is>
      </c>
      <c r="H81" s="21" t="inlineStr">
        <is>
          <t>-28.52%</t>
        </is>
      </c>
      <c r="I81" s="20" t="inlineStr">
        <is>
          <t>N/A</t>
        </is>
      </c>
      <c r="J81" s="20" t="n">
        <v>3</v>
      </c>
      <c r="K81" s="20" t="n">
        <v>1</v>
      </c>
      <c r="L81" s="20" t="inlineStr">
        <is>
          <t>18.10.2024 19:48:30</t>
        </is>
      </c>
      <c r="M81" s="20" t="inlineStr">
        <is>
          <t>11 hours</t>
        </is>
      </c>
      <c r="N81" s="20" t="inlineStr">
        <is>
          <t xml:space="preserve">        490K           237K            56K</t>
        </is>
      </c>
      <c r="O81" s="20" t="inlineStr">
        <is>
          <t>4FxtVVjQSkwKghNXnGBxx3iSoN3XQcsZ4fmjAbLPpump</t>
        </is>
      </c>
      <c r="P81" s="20">
        <f>HYPERLINK("https://dexscreener.com/solana/4FxtVVjQSkwKghNXnGBxx3iSoN3XQcsZ4fmjAbLPpump", "View")</f>
        <v/>
      </c>
    </row>
    <row r="82">
      <c r="A82" s="15" t="inlineStr">
        <is>
          <t>EREBUS</t>
        </is>
      </c>
      <c r="B82" s="16" t="n">
        <v>153189</v>
      </c>
      <c r="C82" s="16" t="n">
        <v>153189</v>
      </c>
      <c r="D82" s="16" t="inlineStr">
        <is>
          <t>0.000200</t>
        </is>
      </c>
      <c r="E82" s="16" t="inlineStr">
        <is>
          <t>0.400 SOL</t>
        </is>
      </c>
      <c r="F82" s="16" t="inlineStr">
        <is>
          <t>0.121 SOL</t>
        </is>
      </c>
      <c r="G82" s="24" t="inlineStr">
        <is>
          <t>-0.279 SOL</t>
        </is>
      </c>
      <c r="H82" s="24" t="inlineStr">
        <is>
          <t>-69.76%</t>
        </is>
      </c>
      <c r="I82" s="16" t="inlineStr">
        <is>
          <t>N/A</t>
        </is>
      </c>
      <c r="J82" s="16" t="n">
        <v>2</v>
      </c>
      <c r="K82" s="16" t="n">
        <v>1</v>
      </c>
      <c r="L82" s="16" t="inlineStr">
        <is>
          <t>18.10.2024 16:42:13</t>
        </is>
      </c>
      <c r="M82" s="16" t="inlineStr">
        <is>
          <t>1 hours</t>
        </is>
      </c>
      <c r="N82" s="16" t="inlineStr">
        <is>
          <t xml:space="preserve">        476K           139K           120K</t>
        </is>
      </c>
      <c r="O82" s="16" t="inlineStr">
        <is>
          <t>A17gzfib2UaxteKXzMK37G4AtVqYKRqRLT54aDjYpump</t>
        </is>
      </c>
      <c r="P82" s="16">
        <f>HYPERLINK("https://dexscreener.com/solana/A17gzfib2UaxteKXzMK37G4AtVqYKRqRLT54aDjYpump", "View")</f>
        <v/>
      </c>
    </row>
    <row r="83">
      <c r="A83" s="19" t="inlineStr">
        <is>
          <t>ICK</t>
        </is>
      </c>
      <c r="B83" s="20" t="n">
        <v>950552</v>
      </c>
      <c r="C83" s="20" t="n">
        <v>950552</v>
      </c>
      <c r="D83" s="20" t="inlineStr">
        <is>
          <t>0.000160</t>
        </is>
      </c>
      <c r="E83" s="20" t="inlineStr">
        <is>
          <t>0.900 SOL</t>
        </is>
      </c>
      <c r="F83" s="20" t="inlineStr">
        <is>
          <t>1.029 SOL</t>
        </is>
      </c>
      <c r="G83" s="22" t="inlineStr">
        <is>
          <t>0.129 SOL</t>
        </is>
      </c>
      <c r="H83" s="22" t="inlineStr">
        <is>
          <t>14.35%</t>
        </is>
      </c>
      <c r="I83" s="20" t="inlineStr">
        <is>
          <t>N/A</t>
        </is>
      </c>
      <c r="J83" s="20" t="n">
        <v>3</v>
      </c>
      <c r="K83" s="20" t="n">
        <v>1</v>
      </c>
      <c r="L83" s="20" t="inlineStr">
        <is>
          <t>18.10.2024 07:10:57</t>
        </is>
      </c>
      <c r="M83" s="20" t="inlineStr">
        <is>
          <t>4 hours</t>
        </is>
      </c>
      <c r="N83" s="20" t="inlineStr">
        <is>
          <t xml:space="preserve">        197K           190K            12K</t>
        </is>
      </c>
      <c r="O83" s="20" t="inlineStr">
        <is>
          <t>2J1iS9awQkhjrpUqmTBWtP1EyopH5H7G5wJ7pCQHpump</t>
        </is>
      </c>
      <c r="P83" s="20">
        <f>HYPERLINK("https://dexscreener.com/solana/2J1iS9awQkhjrpUqmTBWtP1EyopH5H7G5wJ7pCQHpump", "View")</f>
        <v/>
      </c>
    </row>
    <row r="84">
      <c r="A84" s="15" t="inlineStr">
        <is>
          <t>DOGAI</t>
        </is>
      </c>
      <c r="B84" s="16" t="n">
        <v>148985</v>
      </c>
      <c r="C84" s="16" t="n">
        <v>148985</v>
      </c>
      <c r="D84" s="16" t="inlineStr">
        <is>
          <t>0.000120</t>
        </is>
      </c>
      <c r="E84" s="16" t="inlineStr">
        <is>
          <t>0.400 SOL</t>
        </is>
      </c>
      <c r="F84" s="16" t="inlineStr">
        <is>
          <t>0.411 SOL</t>
        </is>
      </c>
      <c r="G84" s="22" t="inlineStr">
        <is>
          <t>0.011 SOL</t>
        </is>
      </c>
      <c r="H84" s="22" t="inlineStr">
        <is>
          <t>2.65%</t>
        </is>
      </c>
      <c r="I84" s="16" t="inlineStr">
        <is>
          <t>N/A</t>
        </is>
      </c>
      <c r="J84" s="16" t="n">
        <v>1</v>
      </c>
      <c r="K84" s="16" t="n">
        <v>1</v>
      </c>
      <c r="L84" s="16" t="inlineStr">
        <is>
          <t>18.10.2024 02:33:46</t>
        </is>
      </c>
      <c r="M84" s="16" t="inlineStr">
        <is>
          <t>31 min</t>
        </is>
      </c>
      <c r="N84" s="16" t="inlineStr">
        <is>
          <t xml:space="preserve">        471K           485K             2M</t>
        </is>
      </c>
      <c r="O84" s="16" t="inlineStr">
        <is>
          <t>Dogg6xWSgkF8KbsHkTWD3Et4J9a8VBLZjrASURXGiLe1</t>
        </is>
      </c>
      <c r="P84" s="16">
        <f>HYPERLINK("https://dexscreener.com/solana/Dogg6xWSgkF8KbsHkTWD3Et4J9a8VBLZjrASURXGiLe1", "View")</f>
        <v/>
      </c>
    </row>
    <row r="85">
      <c r="A85" s="19" t="inlineStr">
        <is>
          <t>Fu</t>
        </is>
      </c>
      <c r="B85" s="20" t="n">
        <v>1313221</v>
      </c>
      <c r="C85" s="20" t="n">
        <v>1313221</v>
      </c>
      <c r="D85" s="20" t="inlineStr">
        <is>
          <t>0.000280</t>
        </is>
      </c>
      <c r="E85" s="20" t="inlineStr">
        <is>
          <t>1.000 SOL</t>
        </is>
      </c>
      <c r="F85" s="20" t="inlineStr">
        <is>
          <t>0.830 SOL</t>
        </is>
      </c>
      <c r="G85" s="21" t="inlineStr">
        <is>
          <t>-0.170 SOL</t>
        </is>
      </c>
      <c r="H85" s="21" t="inlineStr">
        <is>
          <t>-16.99%</t>
        </is>
      </c>
      <c r="I85" s="20" t="inlineStr">
        <is>
          <t>N/A</t>
        </is>
      </c>
      <c r="J85" s="20" t="n">
        <v>3</v>
      </c>
      <c r="K85" s="20" t="n">
        <v>1</v>
      </c>
      <c r="L85" s="20" t="inlineStr">
        <is>
          <t>18.10.2024 00:30:31</t>
        </is>
      </c>
      <c r="M85" s="20" t="inlineStr">
        <is>
          <t>2 hours</t>
        </is>
      </c>
      <c r="N85" s="20" t="inlineStr">
        <is>
          <t xml:space="preserve">        177K           111K            11K</t>
        </is>
      </c>
      <c r="O85" s="20" t="inlineStr">
        <is>
          <t>F2xBLb6jj39LJ5rg6wh8VaTq9CLEvDqLFL9gxmEapump</t>
        </is>
      </c>
      <c r="P85" s="20">
        <f>HYPERLINK("https://dexscreener.com/solana/F2xBLb6jj39LJ5rg6wh8VaTq9CLEvDqLFL9gxmEapump", "View")</f>
        <v/>
      </c>
    </row>
    <row r="86">
      <c r="A86" s="15" t="inlineStr">
        <is>
          <t>muu</t>
        </is>
      </c>
      <c r="B86" s="16" t="n">
        <v>765076</v>
      </c>
      <c r="C86" s="16" t="n">
        <v>765076</v>
      </c>
      <c r="D86" s="16" t="inlineStr">
        <is>
          <t>0.001260</t>
        </is>
      </c>
      <c r="E86" s="16" t="inlineStr">
        <is>
          <t>0.900 SOL</t>
        </is>
      </c>
      <c r="F86" s="16" t="inlineStr">
        <is>
          <t>0.786 SOL</t>
        </is>
      </c>
      <c r="G86" s="21" t="inlineStr">
        <is>
          <t>-0.115 SOL</t>
        </is>
      </c>
      <c r="H86" s="21" t="inlineStr">
        <is>
          <t>-12.73%</t>
        </is>
      </c>
      <c r="I86" s="16" t="inlineStr">
        <is>
          <t>N/A</t>
        </is>
      </c>
      <c r="J86" s="16" t="n">
        <v>3</v>
      </c>
      <c r="K86" s="16" t="n">
        <v>2</v>
      </c>
      <c r="L86" s="16" t="inlineStr">
        <is>
          <t>17.10.2024 16:03:45</t>
        </is>
      </c>
      <c r="M86" s="16" t="inlineStr">
        <is>
          <t>41 min</t>
        </is>
      </c>
      <c r="N86" s="16" t="inlineStr">
        <is>
          <t xml:space="preserve">        204K           156K            30K</t>
        </is>
      </c>
      <c r="O86" s="16" t="inlineStr">
        <is>
          <t>13DB6vz6AVBnPkQdA4GbRTTGtpiZutbM47N1arKhpump</t>
        </is>
      </c>
      <c r="P86" s="16">
        <f>HYPERLINK("https://dexscreener.com/solana/13DB6vz6AVBnPkQdA4GbRTTGtpiZutbM47N1arKhpump", "View")</f>
        <v/>
      </c>
    </row>
    <row r="87">
      <c r="A87" s="19" t="inlineStr">
        <is>
          <t>GMika</t>
        </is>
      </c>
      <c r="B87" s="20" t="n">
        <v>148955</v>
      </c>
      <c r="C87" s="20" t="n">
        <v>148955</v>
      </c>
      <c r="D87" s="20" t="inlineStr">
        <is>
          <t>0.000540</t>
        </is>
      </c>
      <c r="E87" s="20" t="inlineStr">
        <is>
          <t>0.500 SOL</t>
        </is>
      </c>
      <c r="F87" s="20" t="inlineStr">
        <is>
          <t>0.522 SOL</t>
        </is>
      </c>
      <c r="G87" s="22" t="inlineStr">
        <is>
          <t>0.022 SOL</t>
        </is>
      </c>
      <c r="H87" s="22" t="inlineStr">
        <is>
          <t>4.33%</t>
        </is>
      </c>
      <c r="I87" s="20" t="inlineStr">
        <is>
          <t>N/A</t>
        </is>
      </c>
      <c r="J87" s="20" t="n">
        <v>2</v>
      </c>
      <c r="K87" s="20" t="n">
        <v>1</v>
      </c>
      <c r="L87" s="20" t="inlineStr">
        <is>
          <t>17.10.2024 14:53:16</t>
        </is>
      </c>
      <c r="M87" s="20" t="inlineStr">
        <is>
          <t>55 min</t>
        </is>
      </c>
      <c r="N87" s="20" t="inlineStr">
        <is>
          <t xml:space="preserve">        625K           617K             2M</t>
        </is>
      </c>
      <c r="O87" s="20" t="inlineStr">
        <is>
          <t>HtCqD3o5aF1RXcyGi6AW11PoB3bZmFdA8kvVyhJrpump</t>
        </is>
      </c>
      <c r="P87" s="20">
        <f>HYPERLINK("https://dexscreener.com/solana/HtCqD3o5aF1RXcyGi6AW11PoB3bZmFdA8kvVyhJrpump", "View")</f>
        <v/>
      </c>
    </row>
    <row r="88">
      <c r="A88" s="15" t="inlineStr">
        <is>
          <t>JENNY</t>
        </is>
      </c>
      <c r="B88" s="16" t="n">
        <v>117683</v>
      </c>
      <c r="C88" s="16" t="n">
        <v>117683</v>
      </c>
      <c r="D88" s="16" t="inlineStr">
        <is>
          <t>0.000030</t>
        </is>
      </c>
      <c r="E88" s="16" t="inlineStr">
        <is>
          <t>0.300 SOL</t>
        </is>
      </c>
      <c r="F88" s="16" t="inlineStr">
        <is>
          <t>0.349 SOL</t>
        </is>
      </c>
      <c r="G88" s="22" t="inlineStr">
        <is>
          <t>0.049 SOL</t>
        </is>
      </c>
      <c r="H88" s="22" t="inlineStr">
        <is>
          <t>16.46%</t>
        </is>
      </c>
      <c r="I88" s="16" t="inlineStr">
        <is>
          <t>N/A</t>
        </is>
      </c>
      <c r="J88" s="16" t="n">
        <v>1</v>
      </c>
      <c r="K88" s="16" t="n">
        <v>1</v>
      </c>
      <c r="L88" s="16" t="inlineStr">
        <is>
          <t>17.10.2024 13:43:44</t>
        </is>
      </c>
      <c r="M88" s="16" t="inlineStr">
        <is>
          <t>11 min</t>
        </is>
      </c>
      <c r="N88" s="16" t="inlineStr">
        <is>
          <t xml:space="preserve">        448K           522K             1M</t>
        </is>
      </c>
      <c r="O88" s="16" t="inlineStr">
        <is>
          <t>fDJVuPCzsi4pfc5wBEan5PEUDPvtvcTWm5gjLAtpump</t>
        </is>
      </c>
      <c r="P88" s="16">
        <f>HYPERLINK("https://dexscreener.com/solana/fDJVuPCzsi4pfc5wBEan5PEUDPvtvcTWm5gjLAtpump", "View")</f>
        <v/>
      </c>
    </row>
    <row r="89">
      <c r="A89" s="19" t="inlineStr">
        <is>
          <t>MIMI</t>
        </is>
      </c>
      <c r="B89" s="20" t="n">
        <v>409387</v>
      </c>
      <c r="C89" s="20" t="n">
        <v>409387</v>
      </c>
      <c r="D89" s="20" t="inlineStr">
        <is>
          <t>0.000150</t>
        </is>
      </c>
      <c r="E89" s="20" t="inlineStr">
        <is>
          <t>1.000 SOL</t>
        </is>
      </c>
      <c r="F89" s="20" t="inlineStr">
        <is>
          <t>0.598 SOL</t>
        </is>
      </c>
      <c r="G89" s="21" t="inlineStr">
        <is>
          <t>-0.402 SOL</t>
        </is>
      </c>
      <c r="H89" s="21" t="inlineStr">
        <is>
          <t>-40.21%</t>
        </is>
      </c>
      <c r="I89" s="20" t="inlineStr">
        <is>
          <t>N/A</t>
        </is>
      </c>
      <c r="J89" s="20" t="n">
        <v>3</v>
      </c>
      <c r="K89" s="20" t="n">
        <v>1</v>
      </c>
      <c r="L89" s="20" t="inlineStr">
        <is>
          <t>17.10.2024 09:24:36</t>
        </is>
      </c>
      <c r="M89" s="20" t="inlineStr">
        <is>
          <t>4 hours</t>
        </is>
      </c>
      <c r="N89" s="20" t="inlineStr">
        <is>
          <t xml:space="preserve">        650K           251K            20K</t>
        </is>
      </c>
      <c r="O89" s="20" t="inlineStr">
        <is>
          <t>mimiR8NUUF4PmBh7YSjcgnpqkKCZ7NsDfEasvtj5FXj</t>
        </is>
      </c>
      <c r="P89" s="20">
        <f>HYPERLINK("https://dexscreener.com/solana/mimiR8NUUF4PmBh7YSjcgnpqkKCZ7NsDfEasvtj5FXj", "View")</f>
        <v/>
      </c>
    </row>
    <row r="90">
      <c r="A90" s="15" t="inlineStr">
        <is>
          <t>RLTY</t>
        </is>
      </c>
      <c r="B90" s="16" t="n">
        <v>1104165</v>
      </c>
      <c r="C90" s="16" t="n">
        <v>1104165</v>
      </c>
      <c r="D90" s="16" t="inlineStr">
        <is>
          <t>0.002370</t>
        </is>
      </c>
      <c r="E90" s="16" t="inlineStr">
        <is>
          <t>2.600 SOL</t>
        </is>
      </c>
      <c r="F90" s="16" t="inlineStr">
        <is>
          <t>3.367 SOL</t>
        </is>
      </c>
      <c r="G90" s="22" t="inlineStr">
        <is>
          <t>0.764 SOL</t>
        </is>
      </c>
      <c r="H90" s="22" t="inlineStr">
        <is>
          <t>29.37%</t>
        </is>
      </c>
      <c r="I90" s="16" t="inlineStr">
        <is>
          <t>N/A</t>
        </is>
      </c>
      <c r="J90" s="16" t="n">
        <v>10</v>
      </c>
      <c r="K90" s="16" t="n">
        <v>4</v>
      </c>
      <c r="L90" s="16" t="inlineStr">
        <is>
          <t>17.10.2024 04:50:54</t>
        </is>
      </c>
      <c r="M90" s="16" t="inlineStr">
        <is>
          <t>4 hours</t>
        </is>
      </c>
      <c r="N90" s="16" t="inlineStr">
        <is>
          <t xml:space="preserve">        146K           616K            17K</t>
        </is>
      </c>
      <c r="O90" s="16" t="inlineStr">
        <is>
          <t>9Q8BNPzujkGcrGnybA2BqB5xh3Q3cYUGYmfnz2bYpump</t>
        </is>
      </c>
      <c r="P90" s="16">
        <f>HYPERLINK("https://dexscreener.com/solana/9Q8BNPzujkGcrGnybA2BqB5xh3Q3cYUGYmfnz2bYpump", "View")</f>
        <v/>
      </c>
    </row>
    <row r="91">
      <c r="A91" s="19" t="inlineStr">
        <is>
          <t>IZZY</t>
        </is>
      </c>
      <c r="B91" s="20" t="n">
        <v>131250</v>
      </c>
      <c r="C91" s="20" t="n">
        <v>131250</v>
      </c>
      <c r="D91" s="20" t="inlineStr">
        <is>
          <t>0.000090</t>
        </is>
      </c>
      <c r="E91" s="20" t="inlineStr">
        <is>
          <t>0.500 SOL</t>
        </is>
      </c>
      <c r="F91" s="20" t="inlineStr">
        <is>
          <t>0.484 SOL</t>
        </is>
      </c>
      <c r="G91" s="21" t="inlineStr">
        <is>
          <t>-0.016 SOL</t>
        </is>
      </c>
      <c r="H91" s="21" t="inlineStr">
        <is>
          <t>-3.16%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17.10.2024 00:12:37</t>
        </is>
      </c>
      <c r="M91" s="20" t="inlineStr">
        <is>
          <t>42 min</t>
        </is>
      </c>
      <c r="N91" s="20" t="inlineStr">
        <is>
          <t xml:space="preserve">        N/A           N/A           N/A</t>
        </is>
      </c>
      <c r="O91" s="20" t="inlineStr">
        <is>
          <t>CY3dUcXrBt37dibZcg1bk8q1ZqtndKQZ77U4aKb6RcY2</t>
        </is>
      </c>
      <c r="P91" s="20">
        <f>HYPERLINK("https://dexscreener.com/solana/CY3dUcXrBt37dibZcg1bk8q1ZqtndKQZ77U4aKb6RcY2", "View")</f>
        <v/>
      </c>
    </row>
    <row r="92">
      <c r="A92" s="15" t="inlineStr">
        <is>
          <t>WD40</t>
        </is>
      </c>
      <c r="B92" s="16" t="n">
        <v>2698228</v>
      </c>
      <c r="C92" s="16" t="n">
        <v>2698228</v>
      </c>
      <c r="D92" s="16" t="inlineStr">
        <is>
          <t>0.001130</t>
        </is>
      </c>
      <c r="E92" s="16" t="inlineStr">
        <is>
          <t>1.200 SOL</t>
        </is>
      </c>
      <c r="F92" s="16" t="inlineStr">
        <is>
          <t>0.771 SOL</t>
        </is>
      </c>
      <c r="G92" s="21" t="inlineStr">
        <is>
          <t>-0.430 SOL</t>
        </is>
      </c>
      <c r="H92" s="21" t="inlineStr">
        <is>
          <t>-35.81%</t>
        </is>
      </c>
      <c r="I92" s="16" t="inlineStr">
        <is>
          <t>N/A</t>
        </is>
      </c>
      <c r="J92" s="16" t="n">
        <v>4</v>
      </c>
      <c r="K92" s="16" t="n">
        <v>1</v>
      </c>
      <c r="L92" s="16" t="inlineStr">
        <is>
          <t>16.10.2024 23:20:21</t>
        </is>
      </c>
      <c r="M92" s="16" t="inlineStr">
        <is>
          <t>48 min</t>
        </is>
      </c>
      <c r="N92" s="16" t="inlineStr">
        <is>
          <t xml:space="preserve">        100K            51K             6K</t>
        </is>
      </c>
      <c r="O92" s="16" t="inlineStr">
        <is>
          <t>AshCp63UfAaagrGmiuuMTAotvNeGUWwmnPSsqW7mpump</t>
        </is>
      </c>
      <c r="P92" s="16">
        <f>HYPERLINK("https://dexscreener.com/solana/AshCp63UfAaagrGmiuuMTAotvNeGUWwmnPSsqW7mpump", "View")</f>
        <v/>
      </c>
    </row>
    <row r="93">
      <c r="A93" s="19" t="inlineStr">
        <is>
          <t>DONGUS</t>
        </is>
      </c>
      <c r="B93" s="20" t="n">
        <v>314738</v>
      </c>
      <c r="C93" s="20" t="n">
        <v>314738</v>
      </c>
      <c r="D93" s="20" t="inlineStr">
        <is>
          <t>0.000580</t>
        </is>
      </c>
      <c r="E93" s="20" t="inlineStr">
        <is>
          <t>0.500 SOL</t>
        </is>
      </c>
      <c r="F93" s="20" t="inlineStr">
        <is>
          <t>0.552 SOL</t>
        </is>
      </c>
      <c r="G93" s="22" t="inlineStr">
        <is>
          <t>0.052 SOL</t>
        </is>
      </c>
      <c r="H93" s="22" t="inlineStr">
        <is>
          <t>10.31%</t>
        </is>
      </c>
      <c r="I93" s="20" t="inlineStr">
        <is>
          <t>N/A</t>
        </is>
      </c>
      <c r="J93" s="20" t="n">
        <v>2</v>
      </c>
      <c r="K93" s="20" t="n">
        <v>2</v>
      </c>
      <c r="L93" s="20" t="inlineStr">
        <is>
          <t>16.10.2024 22:21:05</t>
        </is>
      </c>
      <c r="M93" s="20" t="inlineStr">
        <is>
          <t>17 min</t>
        </is>
      </c>
      <c r="N93" s="20" t="inlineStr">
        <is>
          <t xml:space="preserve">        233K           328K             7K</t>
        </is>
      </c>
      <c r="O93" s="20" t="inlineStr">
        <is>
          <t>772R3VvyT58ryLJpuKXzVX54vRBfzuBi9XcKcyHHpump</t>
        </is>
      </c>
      <c r="P93" s="20">
        <f>HYPERLINK("https://dexscreener.com/solana/772R3VvyT58ryLJpuKXzVX54vRBfzuBi9XcKcyHHpump", "View")</f>
        <v/>
      </c>
    </row>
    <row r="94">
      <c r="A94" s="15" t="inlineStr">
        <is>
          <t>DINGUS</t>
        </is>
      </c>
      <c r="B94" s="16" t="n">
        <v>509063</v>
      </c>
      <c r="C94" s="16" t="n">
        <v>509063</v>
      </c>
      <c r="D94" s="16" t="inlineStr">
        <is>
          <t>0.000590</t>
        </is>
      </c>
      <c r="E94" s="16" t="inlineStr">
        <is>
          <t>0.400 SOL</t>
        </is>
      </c>
      <c r="F94" s="16" t="inlineStr">
        <is>
          <t>0.566 SOL</t>
        </is>
      </c>
      <c r="G94" s="22" t="inlineStr">
        <is>
          <t>0.166 SOL</t>
        </is>
      </c>
      <c r="H94" s="22" t="inlineStr">
        <is>
          <t>41.40%</t>
        </is>
      </c>
      <c r="I94" s="16" t="inlineStr">
        <is>
          <t>N/A</t>
        </is>
      </c>
      <c r="J94" s="16" t="n">
        <v>2</v>
      </c>
      <c r="K94" s="16" t="n">
        <v>1</v>
      </c>
      <c r="L94" s="16" t="inlineStr">
        <is>
          <t>16.10.2024 15:31:20</t>
        </is>
      </c>
      <c r="M94" s="16" t="inlineStr">
        <is>
          <t>59 min</t>
        </is>
      </c>
      <c r="N94" s="16" t="inlineStr">
        <is>
          <t xml:space="preserve">        211K           195K             7K</t>
        </is>
      </c>
      <c r="O94" s="16" t="inlineStr">
        <is>
          <t>8sj6CvKd8tZttApYFpDKfTrA2osx1eemhemK1YMbpump</t>
        </is>
      </c>
      <c r="P94" s="16">
        <f>HYPERLINK("https://dexscreener.com/solana/8sj6CvKd8tZttApYFpDKfTrA2osx1eemhemK1YMbpump", "View")</f>
        <v/>
      </c>
    </row>
    <row r="95">
      <c r="A95" s="19" t="inlineStr">
        <is>
          <t>KAORI</t>
        </is>
      </c>
      <c r="B95" s="20" t="n">
        <v>146520</v>
      </c>
      <c r="C95" s="20" t="n">
        <v>146520</v>
      </c>
      <c r="D95" s="20" t="inlineStr">
        <is>
          <t>0.000870</t>
        </is>
      </c>
      <c r="E95" s="20" t="inlineStr">
        <is>
          <t>0.400 SOL</t>
        </is>
      </c>
      <c r="F95" s="20" t="inlineStr">
        <is>
          <t>0.414 SOL</t>
        </is>
      </c>
      <c r="G95" s="22" t="inlineStr">
        <is>
          <t>0.013 SOL</t>
        </is>
      </c>
      <c r="H95" s="22" t="inlineStr">
        <is>
          <t>3.22%</t>
        </is>
      </c>
      <c r="I95" s="20" t="inlineStr">
        <is>
          <t>N/A</t>
        </is>
      </c>
      <c r="J95" s="20" t="n">
        <v>2</v>
      </c>
      <c r="K95" s="20" t="n">
        <v>1</v>
      </c>
      <c r="L95" s="20" t="inlineStr">
        <is>
          <t>16.10.2024 13:44:57</t>
        </is>
      </c>
      <c r="M95" s="20" t="inlineStr">
        <is>
          <t>10 min</t>
        </is>
      </c>
      <c r="N95" s="20" t="inlineStr">
        <is>
          <t xml:space="preserve">        611K           495K            16K</t>
        </is>
      </c>
      <c r="O95" s="20" t="inlineStr">
        <is>
          <t>CcTxy8iD42BR4PGA3MV3SdMfa8snn2rRgvXJfdDypump</t>
        </is>
      </c>
      <c r="P95" s="20">
        <f>HYPERLINK("https://dexscreener.com/solana/CcTxy8iD42BR4PGA3MV3SdMfa8snn2rRgvXJfdDypump", "View")</f>
        <v/>
      </c>
    </row>
    <row r="96">
      <c r="A96" s="15" t="inlineStr">
        <is>
          <t>ATF</t>
        </is>
      </c>
      <c r="B96" s="16" t="n">
        <v>14463</v>
      </c>
      <c r="C96" s="16" t="n">
        <v>14463</v>
      </c>
      <c r="D96" s="16" t="inlineStr">
        <is>
          <t>0.000070</t>
        </is>
      </c>
      <c r="E96" s="16" t="inlineStr">
        <is>
          <t>0.200 SOL</t>
        </is>
      </c>
      <c r="F96" s="16" t="inlineStr">
        <is>
          <t>0.477 SOL</t>
        </is>
      </c>
      <c r="G96" s="23" t="inlineStr">
        <is>
          <t>0.277 SOL</t>
        </is>
      </c>
      <c r="H96" s="23" t="inlineStr">
        <is>
          <t>138.25%</t>
        </is>
      </c>
      <c r="I96" s="16" t="inlineStr">
        <is>
          <t>N/A</t>
        </is>
      </c>
      <c r="J96" s="16" t="n">
        <v>1</v>
      </c>
      <c r="K96" s="16" t="n">
        <v>1</v>
      </c>
      <c r="L96" s="16" t="inlineStr">
        <is>
          <t>16.10.2024 12:41:57</t>
        </is>
      </c>
      <c r="M96" s="16" t="inlineStr">
        <is>
          <t>39 min</t>
        </is>
      </c>
      <c r="N96" s="16" t="inlineStr">
        <is>
          <t xml:space="preserve">          2M             6M             14</t>
        </is>
      </c>
      <c r="O96" s="16" t="inlineStr">
        <is>
          <t>GALu39DTU13jfyYQKiCcJ8aoyRofHM9Ed4CkrcX2cyky</t>
        </is>
      </c>
      <c r="P96" s="16">
        <f>HYPERLINK("https://dexscreener.com/solana/GALu39DTU13jfyYQKiCcJ8aoyRofHM9Ed4CkrcX2cyky", "View")</f>
        <v/>
      </c>
    </row>
    <row r="97">
      <c r="A97" s="19" t="inlineStr">
        <is>
          <t>PawPaw</t>
        </is>
      </c>
      <c r="B97" s="20" t="n">
        <v>272410</v>
      </c>
      <c r="C97" s="20" t="n">
        <v>272410</v>
      </c>
      <c r="D97" s="20" t="inlineStr">
        <is>
          <t>0.000370</t>
        </is>
      </c>
      <c r="E97" s="20" t="inlineStr">
        <is>
          <t>0.800 SOL</t>
        </is>
      </c>
      <c r="F97" s="20" t="inlineStr">
        <is>
          <t>1.126 SOL</t>
        </is>
      </c>
      <c r="G97" s="22" t="inlineStr">
        <is>
          <t>0.325 SOL</t>
        </is>
      </c>
      <c r="H97" s="22" t="inlineStr">
        <is>
          <t>40.63%</t>
        </is>
      </c>
      <c r="I97" s="20" t="inlineStr">
        <is>
          <t>N/A</t>
        </is>
      </c>
      <c r="J97" s="20" t="n">
        <v>2</v>
      </c>
      <c r="K97" s="20" t="n">
        <v>1</v>
      </c>
      <c r="L97" s="20" t="inlineStr">
        <is>
          <t>16.10.2024 09:43:15</t>
        </is>
      </c>
      <c r="M97" s="20" t="inlineStr">
        <is>
          <t>34 min</t>
        </is>
      </c>
      <c r="N97" s="20" t="inlineStr">
        <is>
          <t xml:space="preserve">        486K           654K           158K</t>
        </is>
      </c>
      <c r="O97" s="20" t="inlineStr">
        <is>
          <t>KkqCJwRvyoGmMQ93p8U4Kr6t9NTXWr1PehFYFzPpump</t>
        </is>
      </c>
      <c r="P97" s="20">
        <f>HYPERLINK("https://dexscreener.com/solana/KkqCJwRvyoGmMQ93p8U4Kr6t9NTXWr1PehFYFzPpump", "View")</f>
        <v/>
      </c>
    </row>
    <row r="98">
      <c r="A98" s="15" t="inlineStr">
        <is>
          <t>SOUNWIRE</t>
        </is>
      </c>
      <c r="B98" s="16" t="n">
        <v>274331</v>
      </c>
      <c r="C98" s="16" t="n">
        <v>274331</v>
      </c>
      <c r="D98" s="16" t="inlineStr">
        <is>
          <t>0.000050</t>
        </is>
      </c>
      <c r="E98" s="16" t="inlineStr">
        <is>
          <t>0.200 SOL</t>
        </is>
      </c>
      <c r="F98" s="16" t="inlineStr">
        <is>
          <t>0.214 SOL</t>
        </is>
      </c>
      <c r="G98" s="22" t="inlineStr">
        <is>
          <t>0.014 SOL</t>
        </is>
      </c>
      <c r="H98" s="22" t="inlineStr">
        <is>
          <t>6.92%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16.10.2024 07:25:24</t>
        </is>
      </c>
      <c r="M98" s="16" t="inlineStr">
        <is>
          <t>23 min</t>
        </is>
      </c>
      <c r="N98" s="16" t="inlineStr">
        <is>
          <t xml:space="preserve">        128K           137K            11K</t>
        </is>
      </c>
      <c r="O98" s="16" t="inlineStr">
        <is>
          <t>BbakUCxXyqgR5PtuyLHcweDpPSUw8WwysEkL2cUCpump</t>
        </is>
      </c>
      <c r="P98" s="16">
        <f>HYPERLINK("https://dexscreener.com/solana/BbakUCxXyqgR5PtuyLHcweDpPSUw8WwysEkL2cUCpump", "View")</f>
        <v/>
      </c>
    </row>
    <row r="99">
      <c r="A99" s="19" t="inlineStr">
        <is>
          <t>Billy</t>
        </is>
      </c>
      <c r="B99" s="20" t="n">
        <v>813375</v>
      </c>
      <c r="C99" s="20" t="n">
        <v>813375</v>
      </c>
      <c r="D99" s="20" t="inlineStr">
        <is>
          <t>0.001190</t>
        </is>
      </c>
      <c r="E99" s="20" t="inlineStr">
        <is>
          <t>1.100 SOL</t>
        </is>
      </c>
      <c r="F99" s="20" t="inlineStr">
        <is>
          <t>1.452 SOL</t>
        </is>
      </c>
      <c r="G99" s="22" t="inlineStr">
        <is>
          <t>0.350 SOL</t>
        </is>
      </c>
      <c r="H99" s="22" t="inlineStr">
        <is>
          <t>31.81%</t>
        </is>
      </c>
      <c r="I99" s="20" t="inlineStr">
        <is>
          <t>N/A</t>
        </is>
      </c>
      <c r="J99" s="20" t="n">
        <v>4</v>
      </c>
      <c r="K99" s="20" t="n">
        <v>2</v>
      </c>
      <c r="L99" s="20" t="inlineStr">
        <is>
          <t>16.10.2024 06:43:05</t>
        </is>
      </c>
      <c r="M99" s="20" t="inlineStr">
        <is>
          <t>4 hours</t>
        </is>
      </c>
      <c r="N99" s="20" t="inlineStr">
        <is>
          <t xml:space="preserve">        269K           248K            15K</t>
        </is>
      </c>
      <c r="O99" s="20" t="inlineStr">
        <is>
          <t>3rsLopLpKA926Ckq5unv2XUixSAC2Z1hJXVJrDQapump</t>
        </is>
      </c>
      <c r="P99" s="20">
        <f>HYPERLINK("https://dexscreener.com/solana/3rsLopLpKA926Ckq5unv2XUixSAC2Z1hJXVJrDQapump", "View")</f>
        <v/>
      </c>
    </row>
    <row r="100">
      <c r="A100" s="15" t="inlineStr">
        <is>
          <t>$RATi</t>
        </is>
      </c>
      <c r="B100" s="16" t="n">
        <v>272341</v>
      </c>
      <c r="C100" s="16" t="n">
        <v>272341</v>
      </c>
      <c r="D100" s="16" t="inlineStr">
        <is>
          <t>0.000070</t>
        </is>
      </c>
      <c r="E100" s="16" t="inlineStr">
        <is>
          <t>0.500 SOL</t>
        </is>
      </c>
      <c r="F100" s="16" t="inlineStr">
        <is>
          <t>1.497 SOL</t>
        </is>
      </c>
      <c r="G100" s="23" t="inlineStr">
        <is>
          <t>0.997 SOL</t>
        </is>
      </c>
      <c r="H100" s="23" t="inlineStr">
        <is>
          <t>199.35%</t>
        </is>
      </c>
      <c r="I100" s="16" t="inlineStr">
        <is>
          <t>N/A</t>
        </is>
      </c>
      <c r="J100" s="16" t="n">
        <v>2</v>
      </c>
      <c r="K100" s="16" t="n">
        <v>1</v>
      </c>
      <c r="L100" s="16" t="inlineStr">
        <is>
          <t>15.10.2024 03:00:08</t>
        </is>
      </c>
      <c r="M100" s="16" t="inlineStr">
        <is>
          <t>2 hours</t>
        </is>
      </c>
      <c r="N100" s="16" t="inlineStr">
        <is>
          <t xml:space="preserve">        348K           966K           245K</t>
        </is>
      </c>
      <c r="O100" s="16" t="inlineStr">
        <is>
          <t>Ci6Y1UX8bY4jxn6YiogJmdCxFEu2jmZhCcG65PStpump</t>
        </is>
      </c>
      <c r="P100" s="16">
        <f>HYPERLINK("https://dexscreener.com/solana/Ci6Y1UX8bY4jxn6YiogJmdCxFEu2jmZhCcG65PStpump", "View")</f>
        <v/>
      </c>
    </row>
    <row r="101">
      <c r="A101" s="19" t="inlineStr">
        <is>
          <t>glob</t>
        </is>
      </c>
      <c r="B101" s="20" t="n">
        <v>286387</v>
      </c>
      <c r="C101" s="20" t="n">
        <v>286387</v>
      </c>
      <c r="D101" s="20" t="inlineStr">
        <is>
          <t>0.000110</t>
        </is>
      </c>
      <c r="E101" s="20" t="inlineStr">
        <is>
          <t>0.200 SOL</t>
        </is>
      </c>
      <c r="F101" s="20" t="inlineStr">
        <is>
          <t>0.257 SOL</t>
        </is>
      </c>
      <c r="G101" s="22" t="inlineStr">
        <is>
          <t>0.057 SOL</t>
        </is>
      </c>
      <c r="H101" s="22" t="inlineStr">
        <is>
          <t>28.23%</t>
        </is>
      </c>
      <c r="I101" s="20" t="inlineStr">
        <is>
          <t>N/A</t>
        </is>
      </c>
      <c r="J101" s="20" t="n">
        <v>1</v>
      </c>
      <c r="K101" s="20" t="n">
        <v>1</v>
      </c>
      <c r="L101" s="20" t="inlineStr">
        <is>
          <t>15.10.2024 00:07:16</t>
        </is>
      </c>
      <c r="M101" s="20" t="inlineStr">
        <is>
          <t>16 min</t>
        </is>
      </c>
      <c r="N101" s="20" t="inlineStr">
        <is>
          <t xml:space="preserve">        123K           158K            13K</t>
        </is>
      </c>
      <c r="O101" s="20" t="inlineStr">
        <is>
          <t>FDTJzoVQ7rHPFyKhyJzdHh1nbX66sBKPzmknWsobpump</t>
        </is>
      </c>
      <c r="P101" s="20">
        <f>HYPERLINK("https://dexscreener.com/solana/FDTJzoVQ7rHPFyKhyJzdHh1nbX66sBKPzmknWsobpump", "View")</f>
        <v/>
      </c>
    </row>
    <row r="102">
      <c r="A102" s="15" t="inlineStr">
        <is>
          <t>LILY</t>
        </is>
      </c>
      <c r="B102" s="16" t="n">
        <v>505063</v>
      </c>
      <c r="C102" s="16" t="n">
        <v>505063</v>
      </c>
      <c r="D102" s="16" t="inlineStr">
        <is>
          <t>0.007400</t>
        </is>
      </c>
      <c r="E102" s="16" t="inlineStr">
        <is>
          <t>2.690 SOL</t>
        </is>
      </c>
      <c r="F102" s="16" t="inlineStr">
        <is>
          <t>3.415 SOL</t>
        </is>
      </c>
      <c r="G102" s="22" t="inlineStr">
        <is>
          <t>0.717 SOL</t>
        </is>
      </c>
      <c r="H102" s="22" t="inlineStr">
        <is>
          <t>26.59%</t>
        </is>
      </c>
      <c r="I102" s="16" t="inlineStr">
        <is>
          <t>N/A</t>
        </is>
      </c>
      <c r="J102" s="16" t="n">
        <v>11</v>
      </c>
      <c r="K102" s="16" t="n">
        <v>4</v>
      </c>
      <c r="L102" s="16" t="inlineStr">
        <is>
          <t>14.10.2024 16:42:02</t>
        </is>
      </c>
      <c r="M102" s="16" t="inlineStr">
        <is>
          <t>8 hours</t>
        </is>
      </c>
      <c r="N102" s="16" t="inlineStr">
        <is>
          <t xml:space="preserve">        N/A           N/A           N/A</t>
        </is>
      </c>
      <c r="O102" s="16" t="inlineStr">
        <is>
          <t>9o81cWB4kAWZ1hxxpakTsCTorJAwehPtxDKxMA564poi</t>
        </is>
      </c>
      <c r="P102" s="16">
        <f>HYPERLINK("https://dexscreener.com/solana/9o81cWB4kAWZ1hxxpakTsCTorJAwehPtxDKxMA564poi", "View")</f>
        <v/>
      </c>
    </row>
    <row r="103">
      <c r="A103" s="19" t="inlineStr">
        <is>
          <t>BCAT</t>
        </is>
      </c>
      <c r="B103" s="20" t="n">
        <v>33831</v>
      </c>
      <c r="C103" s="20" t="n">
        <v>33831</v>
      </c>
      <c r="D103" s="20" t="inlineStr">
        <is>
          <t>0.000240</t>
        </is>
      </c>
      <c r="E103" s="20" t="inlineStr">
        <is>
          <t>0.500 SOL</t>
        </is>
      </c>
      <c r="F103" s="20" t="inlineStr">
        <is>
          <t>0.634 SOL</t>
        </is>
      </c>
      <c r="G103" s="22" t="inlineStr">
        <is>
          <t>0.133 SOL</t>
        </is>
      </c>
      <c r="H103" s="22" t="inlineStr">
        <is>
          <t>26.65%</t>
        </is>
      </c>
      <c r="I103" s="20" t="inlineStr">
        <is>
          <t>N/A</t>
        </is>
      </c>
      <c r="J103" s="20" t="n">
        <v>2</v>
      </c>
      <c r="K103" s="20" t="n">
        <v>1</v>
      </c>
      <c r="L103" s="20" t="inlineStr">
        <is>
          <t>14.10.2024 15:00:31</t>
        </is>
      </c>
      <c r="M103" s="20" t="inlineStr">
        <is>
          <t>16 min</t>
        </is>
      </c>
      <c r="N103" s="20" t="inlineStr">
        <is>
          <t xml:space="preserve">          3M             3M           805K</t>
        </is>
      </c>
      <c r="O103" s="20" t="inlineStr">
        <is>
          <t>7bQsj9DciGXs6cTkhB3D1WbcEjuMpmD7amQRWjEVBpu</t>
        </is>
      </c>
      <c r="P103" s="20">
        <f>HYPERLINK("https://dexscreener.com/solana/7bQsj9DciGXs6cTkhB3D1WbcEjuMpmD7amQRWjEVBpu", "View")</f>
        <v/>
      </c>
    </row>
    <row r="104">
      <c r="A104" s="15" t="inlineStr">
        <is>
          <t>🪲</t>
        </is>
      </c>
      <c r="B104" s="16" t="n">
        <v>185716</v>
      </c>
      <c r="C104" s="16" t="n">
        <v>185716</v>
      </c>
      <c r="D104" s="16" t="inlineStr">
        <is>
          <t>0.000060</t>
        </is>
      </c>
      <c r="E104" s="16" t="inlineStr">
        <is>
          <t>0.300 SOL</t>
        </is>
      </c>
      <c r="F104" s="16" t="inlineStr">
        <is>
          <t>0.477 SOL</t>
        </is>
      </c>
      <c r="G104" s="23" t="inlineStr">
        <is>
          <t>0.177 SOL</t>
        </is>
      </c>
      <c r="H104" s="23" t="inlineStr">
        <is>
          <t>58.91%</t>
        </is>
      </c>
      <c r="I104" s="16" t="inlineStr">
        <is>
          <t>N/A</t>
        </is>
      </c>
      <c r="J104" s="16" t="n">
        <v>1</v>
      </c>
      <c r="K104" s="16" t="n">
        <v>1</v>
      </c>
      <c r="L104" s="16" t="inlineStr">
        <is>
          <t>14.10.2024 14:18:20</t>
        </is>
      </c>
      <c r="M104" s="16" t="inlineStr">
        <is>
          <t>44 min</t>
        </is>
      </c>
      <c r="N104" s="16" t="inlineStr">
        <is>
          <t xml:space="preserve">        285K           451K           406K</t>
        </is>
      </c>
      <c r="O104" s="16" t="inlineStr">
        <is>
          <t>HQXwjVBUU2fvvrM7xNq6gfX3vsACkqHtZo7mwKwUpump</t>
        </is>
      </c>
      <c r="P104" s="16">
        <f>HYPERLINK("https://dexscreener.com/solana/HQXwjVBUU2fvvrM7xNq6gfX3vsACkqHtZo7mwKwUpump", "View")</f>
        <v/>
      </c>
    </row>
    <row r="105">
      <c r="A105" s="19" t="inlineStr">
        <is>
          <t>Sophia</t>
        </is>
      </c>
      <c r="B105" s="20" t="n">
        <v>252358</v>
      </c>
      <c r="C105" s="20" t="n">
        <v>252358</v>
      </c>
      <c r="D105" s="20" t="inlineStr">
        <is>
          <t>0.000190</t>
        </is>
      </c>
      <c r="E105" s="20" t="inlineStr">
        <is>
          <t>0.200 SOL</t>
        </is>
      </c>
      <c r="F105" s="20" t="inlineStr">
        <is>
          <t>0.219 SOL</t>
        </is>
      </c>
      <c r="G105" s="22" t="inlineStr">
        <is>
          <t>0.019 SOL</t>
        </is>
      </c>
      <c r="H105" s="22" t="inlineStr">
        <is>
          <t>9.33%</t>
        </is>
      </c>
      <c r="I105" s="20" t="inlineStr">
        <is>
          <t>N/A</t>
        </is>
      </c>
      <c r="J105" s="20" t="n">
        <v>1</v>
      </c>
      <c r="K105" s="20" t="n">
        <v>1</v>
      </c>
      <c r="L105" s="20" t="inlineStr">
        <is>
          <t>14.10.2024 13:05:46</t>
        </is>
      </c>
      <c r="M105" s="20" t="inlineStr">
        <is>
          <t>35 min</t>
        </is>
      </c>
      <c r="N105" s="20" t="inlineStr">
        <is>
          <t xml:space="preserve">        139K           153K             7K</t>
        </is>
      </c>
      <c r="O105" s="20" t="inlineStr">
        <is>
          <t>9VhXzgWS9kveRVi8JQdf129nZha3Ugr7sZGmm9Dypump</t>
        </is>
      </c>
      <c r="P105" s="20">
        <f>HYPERLINK("https://dexscreener.com/solana/9VhXzgWS9kveRVi8JQdf129nZha3Ugr7sZGmm9Dypump", "View")</f>
        <v/>
      </c>
    </row>
    <row r="106">
      <c r="A106" s="15" t="inlineStr">
        <is>
          <t>RICKROLL</t>
        </is>
      </c>
      <c r="B106" s="16" t="n">
        <v>12821</v>
      </c>
      <c r="C106" s="16" t="n">
        <v>12821</v>
      </c>
      <c r="D106" s="16" t="inlineStr">
        <is>
          <t>0.000080</t>
        </is>
      </c>
      <c r="E106" s="16" t="inlineStr">
        <is>
          <t>0.200 SOL</t>
        </is>
      </c>
      <c r="F106" s="16" t="inlineStr">
        <is>
          <t>0.241 SOL</t>
        </is>
      </c>
      <c r="G106" s="22" t="inlineStr">
        <is>
          <t>0.041 SOL</t>
        </is>
      </c>
      <c r="H106" s="22" t="inlineStr">
        <is>
          <t>20.64%</t>
        </is>
      </c>
      <c r="I106" s="16" t="inlineStr">
        <is>
          <t>N/A</t>
        </is>
      </c>
      <c r="J106" s="16" t="n">
        <v>2</v>
      </c>
      <c r="K106" s="16" t="n">
        <v>1</v>
      </c>
      <c r="L106" s="16" t="inlineStr">
        <is>
          <t>14.10.2024 07:08:50</t>
        </is>
      </c>
      <c r="M106" s="16" t="inlineStr">
        <is>
          <t>55 min</t>
        </is>
      </c>
      <c r="N106" s="16" t="inlineStr">
        <is>
          <t xml:space="preserve">          3M             3M           861K</t>
        </is>
      </c>
      <c r="O106" s="16" t="inlineStr">
        <is>
          <t>B9pmGiVoXPyPKFViY6se32qtRGX85qv4mYB7Gp1os4w4</t>
        </is>
      </c>
      <c r="P106" s="16">
        <f>HYPERLINK("https://dexscreener.com/solana/B9pmGiVoXPyPKFViY6se32qtRGX85qv4mYB7Gp1os4w4", "View")</f>
        <v/>
      </c>
    </row>
    <row r="107">
      <c r="A107" s="19" t="inlineStr">
        <is>
          <t>BWOB</t>
        </is>
      </c>
      <c r="B107" s="20" t="n">
        <v>262918</v>
      </c>
      <c r="C107" s="20" t="n">
        <v>262918</v>
      </c>
      <c r="D107" s="20" t="inlineStr">
        <is>
          <t>0.000060</t>
        </is>
      </c>
      <c r="E107" s="20" t="inlineStr">
        <is>
          <t>0.200 SOL</t>
        </is>
      </c>
      <c r="F107" s="20" t="inlineStr">
        <is>
          <t>0.233 SOL</t>
        </is>
      </c>
      <c r="G107" s="22" t="inlineStr">
        <is>
          <t>0.033 SOL</t>
        </is>
      </c>
      <c r="H107" s="22" t="inlineStr">
        <is>
          <t>16.34%</t>
        </is>
      </c>
      <c r="I107" s="20" t="inlineStr">
        <is>
          <t>N/A</t>
        </is>
      </c>
      <c r="J107" s="20" t="n">
        <v>1</v>
      </c>
      <c r="K107" s="20" t="n">
        <v>1</v>
      </c>
      <c r="L107" s="20" t="inlineStr">
        <is>
          <t>14.10.2024 05:44:08</t>
        </is>
      </c>
      <c r="M107" s="20" t="inlineStr">
        <is>
          <t>13 min</t>
        </is>
      </c>
      <c r="N107" s="20" t="inlineStr">
        <is>
          <t xml:space="preserve">        125K           147K             6K</t>
        </is>
      </c>
      <c r="O107" s="20" t="inlineStr">
        <is>
          <t>wJKaQEDxnBXwj4RCqNKE3K8NZaG992bZYnottcupump</t>
        </is>
      </c>
      <c r="P107" s="20">
        <f>HYPERLINK("https://dexscreener.com/solana/wJKaQEDxnBXwj4RCqNKE3K8NZaG992bZYnottcupump", "View")</f>
        <v/>
      </c>
    </row>
    <row r="108">
      <c r="A108" s="15" t="inlineStr">
        <is>
          <t>TINA</t>
        </is>
      </c>
      <c r="B108" s="16" t="n">
        <v>260043</v>
      </c>
      <c r="C108" s="16" t="n">
        <v>260043</v>
      </c>
      <c r="D108" s="16" t="inlineStr">
        <is>
          <t>0.000280</t>
        </is>
      </c>
      <c r="E108" s="16" t="inlineStr">
        <is>
          <t>0.400 SOL</t>
        </is>
      </c>
      <c r="F108" s="16" t="inlineStr">
        <is>
          <t>0.008 SOL</t>
        </is>
      </c>
      <c r="G108" s="24" t="inlineStr">
        <is>
          <t>-0.392 SOL</t>
        </is>
      </c>
      <c r="H108" s="24" t="inlineStr">
        <is>
          <t>-97.91%</t>
        </is>
      </c>
      <c r="I108" s="16" t="inlineStr">
        <is>
          <t>N/A</t>
        </is>
      </c>
      <c r="J108" s="16" t="n">
        <v>2</v>
      </c>
      <c r="K108" s="16" t="n">
        <v>1</v>
      </c>
      <c r="L108" s="16" t="inlineStr">
        <is>
          <t>14.10.2024 04:26:28</t>
        </is>
      </c>
      <c r="M108" s="16" t="inlineStr">
        <is>
          <t>10 min</t>
        </is>
      </c>
      <c r="N108" s="16" t="inlineStr">
        <is>
          <t xml:space="preserve">        318K             5K             4K</t>
        </is>
      </c>
      <c r="O108" s="16" t="inlineStr">
        <is>
          <t>J11Tak5BKjU3AMrrbQA4HCJ6QZMba5eHTRdYQMopump</t>
        </is>
      </c>
      <c r="P108" s="16">
        <f>HYPERLINK("https://dexscreener.com/solana/J11Tak5BKjU3AMrrbQA4HCJ6QZMba5eHTRdYQMopump", "View")</f>
        <v/>
      </c>
    </row>
    <row r="109">
      <c r="A109" s="19" t="inlineStr">
        <is>
          <t>RSI</t>
        </is>
      </c>
      <c r="B109" s="20" t="n">
        <v>67692</v>
      </c>
      <c r="C109" s="20" t="n">
        <v>67692</v>
      </c>
      <c r="D109" s="20" t="inlineStr">
        <is>
          <t>0.000090</t>
        </is>
      </c>
      <c r="E109" s="20" t="inlineStr">
        <is>
          <t>0.200 SOL</t>
        </is>
      </c>
      <c r="F109" s="20" t="inlineStr">
        <is>
          <t>0.247 SOL</t>
        </is>
      </c>
      <c r="G109" s="22" t="inlineStr">
        <is>
          <t>0.047 SOL</t>
        </is>
      </c>
      <c r="H109" s="22" t="inlineStr">
        <is>
          <t>23.54%</t>
        </is>
      </c>
      <c r="I109" s="20" t="inlineStr">
        <is>
          <t>N/A</t>
        </is>
      </c>
      <c r="J109" s="20" t="n">
        <v>1</v>
      </c>
      <c r="K109" s="20" t="n">
        <v>1</v>
      </c>
      <c r="L109" s="20" t="inlineStr">
        <is>
          <t>14.10.2024 04:07:47</t>
        </is>
      </c>
      <c r="M109" s="20" t="inlineStr">
        <is>
          <t>46 min</t>
        </is>
      </c>
      <c r="N109" s="20" t="inlineStr">
        <is>
          <t xml:space="preserve">        518K           641K            22K</t>
        </is>
      </c>
      <c r="O109" s="20" t="inlineStr">
        <is>
          <t>2eCKzhXd4v9QS4Huic592afTNMgHr5HjwE7Gurbepump</t>
        </is>
      </c>
      <c r="P109" s="20">
        <f>HYPERLINK("https://dexscreener.com/solana/2eCKzhXd4v9QS4Huic592afTNMgHr5HjwE7Gurbepump", "View")</f>
        <v/>
      </c>
    </row>
    <row r="110">
      <c r="A110" s="15" t="inlineStr">
        <is>
          <t>genz</t>
        </is>
      </c>
      <c r="B110" s="16" t="n">
        <v>69325</v>
      </c>
      <c r="C110" s="16" t="n">
        <v>69325</v>
      </c>
      <c r="D110" s="16" t="inlineStr">
        <is>
          <t>0.000110</t>
        </is>
      </c>
      <c r="E110" s="16" t="inlineStr">
        <is>
          <t>0.200 SOL</t>
        </is>
      </c>
      <c r="F110" s="16" t="inlineStr">
        <is>
          <t>0.206 SOL</t>
        </is>
      </c>
      <c r="G110" s="22" t="inlineStr">
        <is>
          <t>0.006 SOL</t>
        </is>
      </c>
      <c r="H110" s="22" t="inlineStr">
        <is>
          <t>3.09%</t>
        </is>
      </c>
      <c r="I110" s="16" t="inlineStr">
        <is>
          <t>N/A</t>
        </is>
      </c>
      <c r="J110" s="16" t="n">
        <v>1</v>
      </c>
      <c r="K110" s="16" t="n">
        <v>1</v>
      </c>
      <c r="L110" s="16" t="inlineStr">
        <is>
          <t>14.10.2024 03:28:41</t>
        </is>
      </c>
      <c r="M110" s="16" t="inlineStr">
        <is>
          <t>9 min</t>
        </is>
      </c>
      <c r="N110" s="16" t="inlineStr">
        <is>
          <t xml:space="preserve">        506K           523K             8K</t>
        </is>
      </c>
      <c r="O110" s="16" t="inlineStr">
        <is>
          <t>Huz7DeiAJKATSEofkS1Bry2NkCwkfcQuZFE2wRqRpump</t>
        </is>
      </c>
      <c r="P110" s="16">
        <f>HYPERLINK("https://dexscreener.com/solana/Huz7DeiAJKATSEofkS1Bry2NkCwkfcQuZFE2wRqRpump", "View")</f>
        <v/>
      </c>
    </row>
    <row r="111">
      <c r="A111" s="19" t="inlineStr">
        <is>
          <t>OPUS</t>
        </is>
      </c>
      <c r="B111" s="20" t="n">
        <v>148421</v>
      </c>
      <c r="C111" s="20" t="n">
        <v>148421</v>
      </c>
      <c r="D111" s="20" t="inlineStr">
        <is>
          <t>0.000150</t>
        </is>
      </c>
      <c r="E111" s="20" t="inlineStr">
        <is>
          <t>0.400 SOL</t>
        </is>
      </c>
      <c r="F111" s="20" t="inlineStr">
        <is>
          <t>0.453 SOL</t>
        </is>
      </c>
      <c r="G111" s="22" t="inlineStr">
        <is>
          <t>0.053 SOL</t>
        </is>
      </c>
      <c r="H111" s="22" t="inlineStr">
        <is>
          <t>13.27%</t>
        </is>
      </c>
      <c r="I111" s="20" t="inlineStr">
        <is>
          <t>N/A</t>
        </is>
      </c>
      <c r="J111" s="20" t="n">
        <v>2</v>
      </c>
      <c r="K111" s="20" t="n">
        <v>2</v>
      </c>
      <c r="L111" s="20" t="inlineStr">
        <is>
          <t>14.10.2024 03:10:51</t>
        </is>
      </c>
      <c r="M111" s="20" t="inlineStr">
        <is>
          <t>4 hours</t>
        </is>
      </c>
      <c r="N111" s="20" t="inlineStr">
        <is>
          <t xml:space="preserve">        446K           608K             4M</t>
        </is>
      </c>
      <c r="O111" s="20" t="inlineStr">
        <is>
          <t>9JhFqCA21MoAXs2PTaeqNQp2XngPn1PgYr2rsEVCpump</t>
        </is>
      </c>
      <c r="P111" s="20">
        <f>HYPERLINK("https://dexscreener.com/solana/9JhFqCA21MoAXs2PTaeqNQp2XngPn1PgYr2rsEVCpump", "View")</f>
        <v/>
      </c>
    </row>
    <row r="112">
      <c r="A112" s="15" t="inlineStr">
        <is>
          <t>DDog</t>
        </is>
      </c>
      <c r="B112" s="16" t="n">
        <v>903233</v>
      </c>
      <c r="C112" s="16" t="n">
        <v>903233</v>
      </c>
      <c r="D112" s="16" t="inlineStr">
        <is>
          <t>0.000140</t>
        </is>
      </c>
      <c r="E112" s="16" t="inlineStr">
        <is>
          <t>0.400 SOL</t>
        </is>
      </c>
      <c r="F112" s="16" t="inlineStr">
        <is>
          <t>0.491 SOL</t>
        </is>
      </c>
      <c r="G112" s="22" t="inlineStr">
        <is>
          <t>0.091 SOL</t>
        </is>
      </c>
      <c r="H112" s="22" t="inlineStr">
        <is>
          <t>22.63%</t>
        </is>
      </c>
      <c r="I112" s="16" t="inlineStr">
        <is>
          <t>N/A</t>
        </is>
      </c>
      <c r="J112" s="16" t="n">
        <v>2</v>
      </c>
      <c r="K112" s="16" t="n">
        <v>2</v>
      </c>
      <c r="L112" s="16" t="inlineStr">
        <is>
          <t>13.10.2024 22:41:46</t>
        </is>
      </c>
      <c r="M112" s="16" t="inlineStr">
        <is>
          <t>40 min</t>
        </is>
      </c>
      <c r="N112" s="16" t="inlineStr">
        <is>
          <t xml:space="preserve">         93K            86K             5K</t>
        </is>
      </c>
      <c r="O112" s="16" t="inlineStr">
        <is>
          <t>F2pWEJ5MXy7QaoMW7HAuFxBFek6wEQYrqTUNcAGqpump</t>
        </is>
      </c>
      <c r="P112" s="16">
        <f>HYPERLINK("https://dexscreener.com/solana/F2pWEJ5MXy7QaoMW7HAuFxBFek6wEQYrqTUNcAGqpump", "View")</f>
        <v/>
      </c>
    </row>
    <row r="113">
      <c r="A113" s="19" t="inlineStr">
        <is>
          <t>Him</t>
        </is>
      </c>
      <c r="B113" s="20" t="n">
        <v>2159423</v>
      </c>
      <c r="C113" s="20" t="n">
        <v>2159423</v>
      </c>
      <c r="D113" s="20" t="inlineStr">
        <is>
          <t>0.000200</t>
        </is>
      </c>
      <c r="E113" s="20" t="inlineStr">
        <is>
          <t>1.070 SOL</t>
        </is>
      </c>
      <c r="F113" s="20" t="inlineStr">
        <is>
          <t>1.164 SOL</t>
        </is>
      </c>
      <c r="G113" s="22" t="inlineStr">
        <is>
          <t>0.094 SOL</t>
        </is>
      </c>
      <c r="H113" s="22" t="inlineStr">
        <is>
          <t>8.77%</t>
        </is>
      </c>
      <c r="I113" s="20" t="inlineStr">
        <is>
          <t>N/A</t>
        </is>
      </c>
      <c r="J113" s="20" t="n">
        <v>6</v>
      </c>
      <c r="K113" s="20" t="n">
        <v>4</v>
      </c>
      <c r="L113" s="20" t="inlineStr">
        <is>
          <t>13.10.2024 21:49:48</t>
        </is>
      </c>
      <c r="M113" s="20" t="inlineStr">
        <is>
          <t>23 hours</t>
        </is>
      </c>
      <c r="N113" s="20" t="inlineStr">
        <is>
          <t xml:space="preserve">        146K            35K             6K</t>
        </is>
      </c>
      <c r="O113" s="20" t="inlineStr">
        <is>
          <t>5H3nbrLqv2LhCy69PVEuGvcpjYTj9EgDwS16pMwKpump</t>
        </is>
      </c>
      <c r="P113" s="20">
        <f>HYPERLINK("https://dexscreener.com/solana/5H3nbrLqv2LhCy69PVEuGvcpjYTj9EgDwS16pMwKpump", "View")</f>
        <v/>
      </c>
    </row>
    <row r="114">
      <c r="A114" s="15" t="inlineStr">
        <is>
          <t>aped</t>
        </is>
      </c>
      <c r="B114" s="16" t="n">
        <v>74309</v>
      </c>
      <c r="C114" s="16" t="n">
        <v>74309</v>
      </c>
      <c r="D114" s="16" t="inlineStr">
        <is>
          <t>0.000040</t>
        </is>
      </c>
      <c r="E114" s="16" t="inlineStr">
        <is>
          <t>0.200 SOL</t>
        </is>
      </c>
      <c r="F114" s="16" t="inlineStr">
        <is>
          <t>0.219 SOL</t>
        </is>
      </c>
      <c r="G114" s="22" t="inlineStr">
        <is>
          <t>0.019 SOL</t>
        </is>
      </c>
      <c r="H114" s="22" t="inlineStr">
        <is>
          <t>9.37%</t>
        </is>
      </c>
      <c r="I114" s="16" t="inlineStr">
        <is>
          <t>N/A</t>
        </is>
      </c>
      <c r="J114" s="16" t="n">
        <v>1</v>
      </c>
      <c r="K114" s="16" t="n">
        <v>1</v>
      </c>
      <c r="L114" s="16" t="inlineStr">
        <is>
          <t>12.10.2024 22:44:00</t>
        </is>
      </c>
      <c r="M114" s="16" t="inlineStr">
        <is>
          <t>11 min</t>
        </is>
      </c>
      <c r="N114" s="16" t="inlineStr">
        <is>
          <t xml:space="preserve">        472K           516K            21K</t>
        </is>
      </c>
      <c r="O114" s="16" t="inlineStr">
        <is>
          <t>6ZUQAjQsAr3JQRRmbf5wXVgpCxD8vuq6jZGfRpTspump</t>
        </is>
      </c>
      <c r="P114" s="16">
        <f>HYPERLINK("https://dexscreener.com/solana/6ZUQAjQsAr3JQRRmbf5wXVgpCxD8vuq6jZGfRpTspump", "View")</f>
        <v/>
      </c>
    </row>
    <row r="115">
      <c r="A115" s="19" t="inlineStr">
        <is>
          <t>cult</t>
        </is>
      </c>
      <c r="B115" s="20" t="n">
        <v>1567807</v>
      </c>
      <c r="C115" s="20" t="n">
        <v>1567807</v>
      </c>
      <c r="D115" s="20" t="inlineStr">
        <is>
          <t>0.000150</t>
        </is>
      </c>
      <c r="E115" s="20" t="inlineStr">
        <is>
          <t>1.230 SOL</t>
        </is>
      </c>
      <c r="F115" s="20" t="inlineStr">
        <is>
          <t>0.865 SOL</t>
        </is>
      </c>
      <c r="G115" s="21" t="inlineStr">
        <is>
          <t>-0.366 SOL</t>
        </is>
      </c>
      <c r="H115" s="21" t="inlineStr">
        <is>
          <t>-29.71%</t>
        </is>
      </c>
      <c r="I115" s="20" t="inlineStr">
        <is>
          <t>N/A</t>
        </is>
      </c>
      <c r="J115" s="20" t="n">
        <v>4</v>
      </c>
      <c r="K115" s="20" t="n">
        <v>2</v>
      </c>
      <c r="L115" s="20" t="inlineStr">
        <is>
          <t>12.10.2024 04:02:49</t>
        </is>
      </c>
      <c r="M115" s="20" t="inlineStr">
        <is>
          <t>1 hours</t>
        </is>
      </c>
      <c r="N115" s="20" t="inlineStr">
        <is>
          <t xml:space="preserve">        168K            91K            10K</t>
        </is>
      </c>
      <c r="O115" s="20" t="inlineStr">
        <is>
          <t>AZnZjNctmBwzPb5aS2GYWhGVzv658Ae2e6X3yFMSpump</t>
        </is>
      </c>
      <c r="P115" s="20">
        <f>HYPERLINK("https://dexscreener.com/solana/AZnZjNctmBwzPb5aS2GYWhGVzv658Ae2e6X3yFMSpump", "View")</f>
        <v/>
      </c>
    </row>
    <row r="116">
      <c r="A116" s="15" t="inlineStr">
        <is>
          <t>OOGA</t>
        </is>
      </c>
      <c r="B116" s="16" t="n">
        <v>1589571</v>
      </c>
      <c r="C116" s="16" t="n">
        <v>1589571</v>
      </c>
      <c r="D116" s="16" t="inlineStr">
        <is>
          <t>0.000810</t>
        </is>
      </c>
      <c r="E116" s="16" t="inlineStr">
        <is>
          <t>0.800 SOL</t>
        </is>
      </c>
      <c r="F116" s="16" t="inlineStr">
        <is>
          <t>0.692 SOL</t>
        </is>
      </c>
      <c r="G116" s="21" t="inlineStr">
        <is>
          <t>-0.109 SOL</t>
        </is>
      </c>
      <c r="H116" s="21" t="inlineStr">
        <is>
          <t>-13.62%</t>
        </is>
      </c>
      <c r="I116" s="16" t="inlineStr">
        <is>
          <t>N/A</t>
        </is>
      </c>
      <c r="J116" s="16" t="n">
        <v>5</v>
      </c>
      <c r="K116" s="16" t="n">
        <v>4</v>
      </c>
      <c r="L116" s="16" t="inlineStr">
        <is>
          <t>12.10.2024 00:09:38</t>
        </is>
      </c>
      <c r="M116" s="16" t="inlineStr">
        <is>
          <t>1 hours</t>
        </is>
      </c>
      <c r="N116" s="16" t="inlineStr">
        <is>
          <t xml:space="preserve">        197K            51K             6K</t>
        </is>
      </c>
      <c r="O116" s="16" t="inlineStr">
        <is>
          <t>khDgKAP8mRb8PbZnVhLyMhLtaRWvgciAzB2XiSLpump</t>
        </is>
      </c>
      <c r="P116" s="16">
        <f>HYPERLINK("https://dexscreener.com/solana/khDgKAP8mRb8PbZnVhLyMhLtaRWvgciAzB2XiSLpump", "View")</f>
        <v/>
      </c>
    </row>
    <row r="117">
      <c r="A117" s="19" t="inlineStr">
        <is>
          <t>Orbdog</t>
        </is>
      </c>
      <c r="B117" s="20" t="n">
        <v>283856</v>
      </c>
      <c r="C117" s="20" t="n">
        <v>283856</v>
      </c>
      <c r="D117" s="20" t="inlineStr">
        <is>
          <t>0.000200</t>
        </is>
      </c>
      <c r="E117" s="20" t="inlineStr">
        <is>
          <t>0.900 SOL</t>
        </is>
      </c>
      <c r="F117" s="20" t="inlineStr">
        <is>
          <t>0.943 SOL</t>
        </is>
      </c>
      <c r="G117" s="22" t="inlineStr">
        <is>
          <t>0.043 SOL</t>
        </is>
      </c>
      <c r="H117" s="22" t="inlineStr">
        <is>
          <t>4.79%</t>
        </is>
      </c>
      <c r="I117" s="20" t="inlineStr">
        <is>
          <t>N/A</t>
        </is>
      </c>
      <c r="J117" s="20" t="n">
        <v>4</v>
      </c>
      <c r="K117" s="20" t="n">
        <v>2</v>
      </c>
      <c r="L117" s="20" t="inlineStr">
        <is>
          <t>11.10.2024 22:17:29</t>
        </is>
      </c>
      <c r="M117" s="20" t="inlineStr">
        <is>
          <t>23 hours</t>
        </is>
      </c>
      <c r="N117" s="20" t="inlineStr">
        <is>
          <t xml:space="preserve">        421K           716K            16K</t>
        </is>
      </c>
      <c r="O117" s="20" t="inlineStr">
        <is>
          <t>AnLQDZ8jAuFCohsPWisgWqkfkG5iw7zUfBC7imrdpump</t>
        </is>
      </c>
      <c r="P117" s="20">
        <f>HYPERLINK("https://dexscreener.com/solana/AnLQDZ8jAuFCohsPWisgWqkfkG5iw7zUfBC7imrdpump", "View")</f>
        <v/>
      </c>
    </row>
    <row r="118">
      <c r="A118" s="15" t="inlineStr">
        <is>
          <t>CBM</t>
        </is>
      </c>
      <c r="B118" s="16" t="n">
        <v>311201</v>
      </c>
      <c r="C118" s="16" t="n">
        <v>311201</v>
      </c>
      <c r="D118" s="16" t="inlineStr">
        <is>
          <t>0.000560</t>
        </is>
      </c>
      <c r="E118" s="16" t="inlineStr">
        <is>
          <t>0.600 SOL</t>
        </is>
      </c>
      <c r="F118" s="16" t="inlineStr">
        <is>
          <t>0.710 SOL</t>
        </is>
      </c>
      <c r="G118" s="22" t="inlineStr">
        <is>
          <t>0.109 SOL</t>
        </is>
      </c>
      <c r="H118" s="22" t="inlineStr">
        <is>
          <t>18.22%</t>
        </is>
      </c>
      <c r="I118" s="16" t="inlineStr">
        <is>
          <t>N/A</t>
        </is>
      </c>
      <c r="J118" s="16" t="n">
        <v>2</v>
      </c>
      <c r="K118" s="16" t="n">
        <v>1</v>
      </c>
      <c r="L118" s="16" t="inlineStr">
        <is>
          <t>11.10.2024 13:03:14</t>
        </is>
      </c>
      <c r="M118" s="16" t="inlineStr">
        <is>
          <t>18 min</t>
        </is>
      </c>
      <c r="N118" s="16" t="inlineStr">
        <is>
          <t xml:space="preserve">        359K           393K            19K</t>
        </is>
      </c>
      <c r="O118" s="16" t="inlineStr">
        <is>
          <t>DZBztmgHuuY49pVkwCTzusg6SXCpbj16ZeSFfQLapump</t>
        </is>
      </c>
      <c r="P118" s="16">
        <f>HYPERLINK("https://dexscreener.com/solana/DZBztmgHuuY49pVkwCTzusg6SXCpbj16ZeSFfQLapump", "View")</f>
        <v/>
      </c>
    </row>
    <row r="119">
      <c r="A119" s="19" t="inlineStr">
        <is>
          <t>DORAE</t>
        </is>
      </c>
      <c r="B119" s="20" t="n">
        <v>845624</v>
      </c>
      <c r="C119" s="20" t="n">
        <v>845624</v>
      </c>
      <c r="D119" s="20" t="inlineStr">
        <is>
          <t>0.000160</t>
        </is>
      </c>
      <c r="E119" s="20" t="inlineStr">
        <is>
          <t>1.600 SOL</t>
        </is>
      </c>
      <c r="F119" s="20" t="inlineStr">
        <is>
          <t>1.615 SOL</t>
        </is>
      </c>
      <c r="G119" s="22" t="inlineStr">
        <is>
          <t>0.015 SOL</t>
        </is>
      </c>
      <c r="H119" s="22" t="inlineStr">
        <is>
          <t>0.95%</t>
        </is>
      </c>
      <c r="I119" s="20" t="inlineStr">
        <is>
          <t>N/A</t>
        </is>
      </c>
      <c r="J119" s="20" t="n">
        <v>6</v>
      </c>
      <c r="K119" s="20" t="n">
        <v>4</v>
      </c>
      <c r="L119" s="20" t="inlineStr">
        <is>
          <t>11.10.2024 12:24:02</t>
        </is>
      </c>
      <c r="M119" s="20" t="inlineStr">
        <is>
          <t>2 hours</t>
        </is>
      </c>
      <c r="N119" s="20" t="inlineStr">
        <is>
          <t xml:space="preserve">        327K           281K           237K</t>
        </is>
      </c>
      <c r="O119" s="20" t="inlineStr">
        <is>
          <t>F6s6hxSW6yWF4h5YBbW28JHLFEGXKYbEmungaTPtpump</t>
        </is>
      </c>
      <c r="P119" s="20">
        <f>HYPERLINK("https://dexscreener.com/solana/F6s6hxSW6yWF4h5YBbW28JHLFEGXKYbEmungaTPtpump", "View")</f>
        <v/>
      </c>
    </row>
    <row r="120">
      <c r="A120" s="15" t="inlineStr">
        <is>
          <t>99%</t>
        </is>
      </c>
      <c r="B120" s="16" t="n">
        <v>1127658</v>
      </c>
      <c r="C120" s="16" t="n">
        <v>1127658</v>
      </c>
      <c r="D120" s="16" t="inlineStr">
        <is>
          <t>0.000200</t>
        </is>
      </c>
      <c r="E120" s="16" t="inlineStr">
        <is>
          <t>0.900 SOL</t>
        </is>
      </c>
      <c r="F120" s="16" t="inlineStr">
        <is>
          <t>1.125 SOL</t>
        </is>
      </c>
      <c r="G120" s="22" t="inlineStr">
        <is>
          <t>0.225 SOL</t>
        </is>
      </c>
      <c r="H120" s="22" t="inlineStr">
        <is>
          <t>24.98%</t>
        </is>
      </c>
      <c r="I120" s="16" t="inlineStr">
        <is>
          <t>N/A</t>
        </is>
      </c>
      <c r="J120" s="16" t="n">
        <v>6</v>
      </c>
      <c r="K120" s="16" t="n">
        <v>3</v>
      </c>
      <c r="L120" s="16" t="inlineStr">
        <is>
          <t>11.10.2024 06:58:54</t>
        </is>
      </c>
      <c r="M120" s="16" t="inlineStr">
        <is>
          <t>8 hours</t>
        </is>
      </c>
      <c r="N120" s="16" t="inlineStr">
        <is>
          <t xml:space="preserve">        163K           169K            14K</t>
        </is>
      </c>
      <c r="O120" s="16" t="inlineStr">
        <is>
          <t>6MsuX4Fc7aQ9FFwnBFnA9oQZhUsFKhnjritV8Hu1pump</t>
        </is>
      </c>
      <c r="P120" s="16">
        <f>HYPERLINK("https://dexscreener.com/solana/6MsuX4Fc7aQ9FFwnBFnA9oQZhUsFKhnjritV8Hu1pump", "View")</f>
        <v/>
      </c>
    </row>
    <row r="121">
      <c r="A121" s="19" t="inlineStr">
        <is>
          <t>WIZARD</t>
        </is>
      </c>
      <c r="B121" s="20" t="n">
        <v>1489671</v>
      </c>
      <c r="C121" s="20" t="n">
        <v>1489671</v>
      </c>
      <c r="D121" s="20" t="inlineStr">
        <is>
          <t>0.000240</t>
        </is>
      </c>
      <c r="E121" s="20" t="inlineStr">
        <is>
          <t>1.090 SOL</t>
        </is>
      </c>
      <c r="F121" s="20" t="inlineStr">
        <is>
          <t>0.881 SOL</t>
        </is>
      </c>
      <c r="G121" s="21" t="inlineStr">
        <is>
          <t>-0.209 SOL</t>
        </is>
      </c>
      <c r="H121" s="21" t="inlineStr">
        <is>
          <t>-19.16%</t>
        </is>
      </c>
      <c r="I121" s="20" t="inlineStr">
        <is>
          <t>N/A</t>
        </is>
      </c>
      <c r="J121" s="20" t="n">
        <v>4</v>
      </c>
      <c r="K121" s="20" t="n">
        <v>2</v>
      </c>
      <c r="L121" s="20" t="inlineStr">
        <is>
          <t>10.10.2024 16:50:03</t>
        </is>
      </c>
      <c r="M121" s="20" t="inlineStr">
        <is>
          <t>1 hours</t>
        </is>
      </c>
      <c r="N121" s="20" t="inlineStr">
        <is>
          <t xml:space="preserve">        149K            90K             5K</t>
        </is>
      </c>
      <c r="O121" s="20" t="inlineStr">
        <is>
          <t>Az3XuBe8HAZFYsVq6Dcnnqb65zbCx7PdFGf6QwHopump</t>
        </is>
      </c>
      <c r="P121" s="20">
        <f>HYPERLINK("https://dexscreener.com/solana/Az3XuBe8HAZFYsVq6Dcnnqb65zbCx7PdFGf6QwHopump", "View")</f>
        <v/>
      </c>
    </row>
    <row r="122">
      <c r="A122" s="15" t="inlineStr">
        <is>
          <t>casino</t>
        </is>
      </c>
      <c r="B122" s="16" t="n">
        <v>418340</v>
      </c>
      <c r="C122" s="16" t="n">
        <v>418340</v>
      </c>
      <c r="D122" s="16" t="inlineStr">
        <is>
          <t>0.000160</t>
        </is>
      </c>
      <c r="E122" s="16" t="inlineStr">
        <is>
          <t>0.600 SOL</t>
        </is>
      </c>
      <c r="F122" s="16" t="inlineStr">
        <is>
          <t>0.639 SOL</t>
        </is>
      </c>
      <c r="G122" s="22" t="inlineStr">
        <is>
          <t>0.038 SOL</t>
        </is>
      </c>
      <c r="H122" s="22" t="inlineStr">
        <is>
          <t>6.39%</t>
        </is>
      </c>
      <c r="I122" s="16" t="inlineStr">
        <is>
          <t>N/A</t>
        </is>
      </c>
      <c r="J122" s="16" t="n">
        <v>2</v>
      </c>
      <c r="K122" s="16" t="n">
        <v>2</v>
      </c>
      <c r="L122" s="16" t="inlineStr">
        <is>
          <t>10.10.2024 15:24:09</t>
        </is>
      </c>
      <c r="M122" s="16" t="inlineStr">
        <is>
          <t>3 hours</t>
        </is>
      </c>
      <c r="N122" s="16" t="inlineStr">
        <is>
          <t xml:space="preserve">        351K           237K           152K</t>
        </is>
      </c>
      <c r="O122" s="16" t="inlineStr">
        <is>
          <t>H4iSABxCygF5caEvqZeVY4ELqqXAUBkMhGh1z4GEpump</t>
        </is>
      </c>
      <c r="P122" s="16">
        <f>HYPERLINK("https://dexscreener.com/solana/H4iSABxCygF5caEvqZeVY4ELqqXAUBkMhGh1z4GEpump", "View")</f>
        <v/>
      </c>
    </row>
    <row r="123">
      <c r="A123" s="19" t="inlineStr">
        <is>
          <t>$DAN</t>
        </is>
      </c>
      <c r="B123" s="20" t="n">
        <v>222231</v>
      </c>
      <c r="C123" s="20" t="n">
        <v>222231</v>
      </c>
      <c r="D123" s="20" t="inlineStr">
        <is>
          <t>0.000620</t>
        </is>
      </c>
      <c r="E123" s="20" t="inlineStr">
        <is>
          <t>0.300 SOL</t>
        </is>
      </c>
      <c r="F123" s="20" t="inlineStr">
        <is>
          <t>0.304 SOL</t>
        </is>
      </c>
      <c r="G123" s="22" t="inlineStr">
        <is>
          <t>0.003 SOL</t>
        </is>
      </c>
      <c r="H123" s="22" t="inlineStr">
        <is>
          <t>1.00%</t>
        </is>
      </c>
      <c r="I123" s="20" t="inlineStr">
        <is>
          <t>N/A</t>
        </is>
      </c>
      <c r="J123" s="20" t="n">
        <v>1</v>
      </c>
      <c r="K123" s="20" t="n">
        <v>1</v>
      </c>
      <c r="L123" s="20" t="inlineStr">
        <is>
          <t>10.10.2024 14:53:46</t>
        </is>
      </c>
      <c r="M123" s="20" t="inlineStr">
        <is>
          <t>26 min</t>
        </is>
      </c>
      <c r="N123" s="20" t="inlineStr">
        <is>
          <t xml:space="preserve">        237K           241K            11K</t>
        </is>
      </c>
      <c r="O123" s="20" t="inlineStr">
        <is>
          <t>3ytQ1uY1XVJMuXcA5ndjpjA1aQ7etcHQCyqzuZxupump</t>
        </is>
      </c>
      <c r="P123" s="20">
        <f>HYPERLINK("https://dexscreener.com/solana/3ytQ1uY1XVJMuXcA5ndjpjA1aQ7etcHQCyqzuZxupump", "View")</f>
        <v/>
      </c>
    </row>
    <row r="124">
      <c r="A124" s="15" t="inlineStr">
        <is>
          <t>DIDDY</t>
        </is>
      </c>
      <c r="B124" s="16" t="n">
        <v>241333</v>
      </c>
      <c r="C124" s="16" t="n">
        <v>241333</v>
      </c>
      <c r="D124" s="16" t="inlineStr">
        <is>
          <t>0.000140</t>
        </is>
      </c>
      <c r="E124" s="16" t="inlineStr">
        <is>
          <t>1.200 SOL</t>
        </is>
      </c>
      <c r="F124" s="16" t="inlineStr">
        <is>
          <t>1.294 SOL</t>
        </is>
      </c>
      <c r="G124" s="22" t="inlineStr">
        <is>
          <t>0.094 SOL</t>
        </is>
      </c>
      <c r="H124" s="22" t="inlineStr">
        <is>
          <t>7.83%</t>
        </is>
      </c>
      <c r="I124" s="16" t="inlineStr">
        <is>
          <t>N/A</t>
        </is>
      </c>
      <c r="J124" s="16" t="n">
        <v>5</v>
      </c>
      <c r="K124" s="16" t="n">
        <v>3</v>
      </c>
      <c r="L124" s="16" t="inlineStr">
        <is>
          <t>10.10.2024 13:36:47</t>
        </is>
      </c>
      <c r="M124" s="16" t="inlineStr">
        <is>
          <t>12 hours</t>
        </is>
      </c>
      <c r="N124" s="16" t="inlineStr">
        <is>
          <t xml:space="preserve">          1M           940K            36K</t>
        </is>
      </c>
      <c r="O124" s="16" t="inlineStr">
        <is>
          <t>5QQRKwnJsoy5MHbYvUe1zgtNUGhesQ5SErQvnAZgpump</t>
        </is>
      </c>
      <c r="P124" s="16">
        <f>HYPERLINK("https://dexscreener.com/solana/5QQRKwnJsoy5MHbYvUe1zgtNUGhesQ5SErQvnAZgpump", "View")</f>
        <v/>
      </c>
    </row>
    <row r="125">
      <c r="A125" s="19" t="inlineStr">
        <is>
          <t>penis</t>
        </is>
      </c>
      <c r="B125" s="20" t="n">
        <v>383501</v>
      </c>
      <c r="C125" s="20" t="n">
        <v>383501</v>
      </c>
      <c r="D125" s="20" t="inlineStr">
        <is>
          <t>0.000120</t>
        </is>
      </c>
      <c r="E125" s="20" t="inlineStr">
        <is>
          <t>0.500 SOL</t>
        </is>
      </c>
      <c r="F125" s="20" t="inlineStr">
        <is>
          <t>0.536 SOL</t>
        </is>
      </c>
      <c r="G125" s="22" t="inlineStr">
        <is>
          <t>0.035 SOL</t>
        </is>
      </c>
      <c r="H125" s="22" t="inlineStr">
        <is>
          <t>7.08%</t>
        </is>
      </c>
      <c r="I125" s="20" t="inlineStr">
        <is>
          <t>N/A</t>
        </is>
      </c>
      <c r="J125" s="20" t="n">
        <v>3</v>
      </c>
      <c r="K125" s="20" t="n">
        <v>1</v>
      </c>
      <c r="L125" s="20" t="inlineStr">
        <is>
          <t>10.10.2024 06:27:24</t>
        </is>
      </c>
      <c r="M125" s="20" t="inlineStr">
        <is>
          <t>44 min</t>
        </is>
      </c>
      <c r="N125" s="20" t="inlineStr">
        <is>
          <t xml:space="preserve">        235K           246K            14K</t>
        </is>
      </c>
      <c r="O125" s="20" t="inlineStr">
        <is>
          <t>reTfz5xtwM91ew4kByz1fu5ybZdsr4zAVduq49Gpump</t>
        </is>
      </c>
      <c r="P125" s="20">
        <f>HYPERLINK("https://dexscreener.com/solana/reTfz5xtwM91ew4kByz1fu5ybZdsr4zAVduq49Gpump", "View")</f>
        <v/>
      </c>
    </row>
    <row r="126">
      <c r="A126" s="15" t="inlineStr">
        <is>
          <t>MPX6900</t>
        </is>
      </c>
      <c r="B126" s="16" t="n">
        <v>23630</v>
      </c>
      <c r="C126" s="16" t="n">
        <v>23630</v>
      </c>
      <c r="D126" s="16" t="inlineStr">
        <is>
          <t>0.000060</t>
        </is>
      </c>
      <c r="E126" s="16" t="inlineStr">
        <is>
          <t>0.200 SOL</t>
        </is>
      </c>
      <c r="F126" s="16" t="inlineStr">
        <is>
          <t>0.214 SOL</t>
        </is>
      </c>
      <c r="G126" s="22" t="inlineStr">
        <is>
          <t>0.014 SOL</t>
        </is>
      </c>
      <c r="H126" s="22" t="inlineStr">
        <is>
          <t>7.20%</t>
        </is>
      </c>
      <c r="I126" s="16" t="inlineStr">
        <is>
          <t>N/A</t>
        </is>
      </c>
      <c r="J126" s="16" t="n">
        <v>1</v>
      </c>
      <c r="K126" s="16" t="n">
        <v>1</v>
      </c>
      <c r="L126" s="16" t="inlineStr">
        <is>
          <t>10.10.2024 05:55:06</t>
        </is>
      </c>
      <c r="M126" s="16" t="inlineStr">
        <is>
          <t>18 min</t>
        </is>
      </c>
      <c r="N126" s="16" t="inlineStr">
        <is>
          <t xml:space="preserve">          1M             2M           247K</t>
        </is>
      </c>
      <c r="O126" s="16" t="inlineStr">
        <is>
          <t>39Mzpdw7NDGiXmZZGWiCdR6Nzoc7muWuYkPsVDV4pump</t>
        </is>
      </c>
      <c r="P126" s="16">
        <f>HYPERLINK("https://dexscreener.com/solana/39Mzpdw7NDGiXmZZGWiCdR6Nzoc7muWuYkPsVDV4pump", "View")</f>
        <v/>
      </c>
    </row>
    <row r="127">
      <c r="A127" s="19" t="inlineStr">
        <is>
          <t>risk</t>
        </is>
      </c>
      <c r="B127" s="20" t="n">
        <v>104335</v>
      </c>
      <c r="C127" s="20" t="n">
        <v>104335</v>
      </c>
      <c r="D127" s="20" t="inlineStr">
        <is>
          <t>0.000030</t>
        </is>
      </c>
      <c r="E127" s="20" t="inlineStr">
        <is>
          <t>0.400 SOL</t>
        </is>
      </c>
      <c r="F127" s="20" t="inlineStr">
        <is>
          <t>0.473 SOL</t>
        </is>
      </c>
      <c r="G127" s="22" t="inlineStr">
        <is>
          <t>0.073 SOL</t>
        </is>
      </c>
      <c r="H127" s="22" t="inlineStr">
        <is>
          <t>18.16%</t>
        </is>
      </c>
      <c r="I127" s="20" t="inlineStr">
        <is>
          <t>N/A</t>
        </is>
      </c>
      <c r="J127" s="20" t="n">
        <v>1</v>
      </c>
      <c r="K127" s="20" t="n">
        <v>1</v>
      </c>
      <c r="L127" s="20" t="inlineStr">
        <is>
          <t>10.10.2024 05:28:36</t>
        </is>
      </c>
      <c r="M127" s="20" t="inlineStr">
        <is>
          <t>24 min</t>
        </is>
      </c>
      <c r="N127" s="20" t="inlineStr">
        <is>
          <t xml:space="preserve">        673K           795K            26K</t>
        </is>
      </c>
      <c r="O127" s="20" t="inlineStr">
        <is>
          <t>8Qp6KM9rjySGj3WSbpVSam8xvoZzWYcWMnnXU1ypump</t>
        </is>
      </c>
      <c r="P127" s="20">
        <f>HYPERLINK("https://dexscreener.com/solana/8Qp6KM9rjySGj3WSbpVSam8xvoZzWYcWMnnXU1ypump", "View")</f>
        <v/>
      </c>
    </row>
    <row r="128">
      <c r="A128" s="15" t="inlineStr">
        <is>
          <t>MIHARU</t>
        </is>
      </c>
      <c r="B128" s="16" t="n">
        <v>167866</v>
      </c>
      <c r="C128" s="16" t="n">
        <v>167866</v>
      </c>
      <c r="D128" s="16" t="inlineStr">
        <is>
          <t>0.000810</t>
        </is>
      </c>
      <c r="E128" s="16" t="inlineStr">
        <is>
          <t>0.300 SOL</t>
        </is>
      </c>
      <c r="F128" s="16" t="inlineStr">
        <is>
          <t>0.257 SOL</t>
        </is>
      </c>
      <c r="G128" s="21" t="inlineStr">
        <is>
          <t>-0.044 SOL</t>
        </is>
      </c>
      <c r="H128" s="21" t="inlineStr">
        <is>
          <t>-14.56%</t>
        </is>
      </c>
      <c r="I128" s="16" t="inlineStr">
        <is>
          <t>N/A</t>
        </is>
      </c>
      <c r="J128" s="16" t="n">
        <v>3</v>
      </c>
      <c r="K128" s="16" t="n">
        <v>2</v>
      </c>
      <c r="L128" s="16" t="inlineStr">
        <is>
          <t>10.10.2024 02:08:44</t>
        </is>
      </c>
      <c r="M128" s="16" t="inlineStr">
        <is>
          <t>2 hours</t>
        </is>
      </c>
      <c r="N128" s="16" t="inlineStr">
        <is>
          <t xml:space="preserve">        170K           371K            18K</t>
        </is>
      </c>
      <c r="O128" s="16" t="inlineStr">
        <is>
          <t>6yG3pna19rfYm1k1P7eBTDhFqyFkyrW16j5iZwMWpump</t>
        </is>
      </c>
      <c r="P128" s="16">
        <f>HYPERLINK("https://dexscreener.com/solana/6yG3pna19rfYm1k1P7eBTDhFqyFkyrW16j5iZwMWpump", "View")</f>
        <v/>
      </c>
    </row>
    <row r="129">
      <c r="A129" s="19" t="inlineStr">
        <is>
          <t>MIHARU</t>
        </is>
      </c>
      <c r="B129" s="20" t="n">
        <v>283218</v>
      </c>
      <c r="C129" s="20" t="n">
        <v>283218</v>
      </c>
      <c r="D129" s="20" t="inlineStr">
        <is>
          <t>0.000050</t>
        </is>
      </c>
      <c r="E129" s="20" t="inlineStr">
        <is>
          <t>0.200 SOL</t>
        </is>
      </c>
      <c r="F129" s="20" t="inlineStr">
        <is>
          <t>0.263 SOL</t>
        </is>
      </c>
      <c r="G129" s="22" t="inlineStr">
        <is>
          <t>0.063 SOL</t>
        </is>
      </c>
      <c r="H129" s="22" t="inlineStr">
        <is>
          <t>31.33%</t>
        </is>
      </c>
      <c r="I129" s="20" t="inlineStr">
        <is>
          <t>N/A</t>
        </is>
      </c>
      <c r="J129" s="20" t="n">
        <v>2</v>
      </c>
      <c r="K129" s="20" t="n">
        <v>1</v>
      </c>
      <c r="L129" s="20" t="inlineStr">
        <is>
          <t>10.10.2024 00:15:13</t>
        </is>
      </c>
      <c r="M129" s="20" t="inlineStr">
        <is>
          <t>20 min</t>
        </is>
      </c>
      <c r="N129" s="20" t="inlineStr">
        <is>
          <t xml:space="preserve">        132K           163K            13K</t>
        </is>
      </c>
      <c r="O129" s="20" t="inlineStr">
        <is>
          <t>4wvuT22Marg5RWgmw9cB6PVsTPAmxsFBFauybXV4pump</t>
        </is>
      </c>
      <c r="P129" s="20">
        <f>HYPERLINK("https://dexscreener.com/solana/4wvuT22Marg5RWgmw9cB6PVsTPAmxsFBFauybXV4pump", "View")</f>
        <v/>
      </c>
    </row>
    <row r="130">
      <c r="A130" s="15" t="inlineStr">
        <is>
          <t>YRUGAY</t>
        </is>
      </c>
      <c r="B130" s="16" t="n">
        <v>649529</v>
      </c>
      <c r="C130" s="16" t="n">
        <v>649529</v>
      </c>
      <c r="D130" s="16" t="inlineStr">
        <is>
          <t>0.000780</t>
        </is>
      </c>
      <c r="E130" s="16" t="inlineStr">
        <is>
          <t>0.700 SOL</t>
        </is>
      </c>
      <c r="F130" s="16" t="inlineStr">
        <is>
          <t>0.835 SOL</t>
        </is>
      </c>
      <c r="G130" s="22" t="inlineStr">
        <is>
          <t>0.134 SOL</t>
        </is>
      </c>
      <c r="H130" s="22" t="inlineStr">
        <is>
          <t>19.12%</t>
        </is>
      </c>
      <c r="I130" s="16" t="inlineStr">
        <is>
          <t>N/A</t>
        </is>
      </c>
      <c r="J130" s="16" t="n">
        <v>4</v>
      </c>
      <c r="K130" s="16" t="n">
        <v>2</v>
      </c>
      <c r="L130" s="16" t="inlineStr">
        <is>
          <t>09.10.2024 11:56:22</t>
        </is>
      </c>
      <c r="M130" s="16" t="inlineStr">
        <is>
          <t>10 hours</t>
        </is>
      </c>
      <c r="N130" s="16" t="inlineStr">
        <is>
          <t xml:space="preserve">        256K           162K           115K</t>
        </is>
      </c>
      <c r="O130" s="16" t="inlineStr">
        <is>
          <t>Gx3jYBPFCKzDZmg466yHtEuCXKUpYuXTUWFwq9etpump</t>
        </is>
      </c>
      <c r="P130" s="16">
        <f>HYPERLINK("https://dexscreener.com/solana/Gx3jYBPFCKzDZmg466yHtEuCXKUpYuXTUWFwq9etpump", "View")</f>
        <v/>
      </c>
    </row>
    <row r="131">
      <c r="A131" s="19" t="inlineStr">
        <is>
          <t>BETA</t>
        </is>
      </c>
      <c r="B131" s="20" t="n">
        <v>1145788</v>
      </c>
      <c r="C131" s="20" t="n">
        <v>0</v>
      </c>
      <c r="D131" s="20" t="inlineStr">
        <is>
          <t>0.000240</t>
        </is>
      </c>
      <c r="E131" s="20" t="inlineStr">
        <is>
          <t>0.850 SOL</t>
        </is>
      </c>
      <c r="F131" s="20" t="inlineStr">
        <is>
          <t>0.000 SOL</t>
        </is>
      </c>
      <c r="G131" s="17" t="inlineStr">
        <is>
          <t>-0.850 SOL</t>
        </is>
      </c>
      <c r="H131" s="17" t="inlineStr">
        <is>
          <t>0.00%</t>
        </is>
      </c>
      <c r="I131" s="20" t="inlineStr">
        <is>
          <t>1,145,788</t>
        </is>
      </c>
      <c r="J131" s="20" t="n">
        <v>5</v>
      </c>
      <c r="K131" s="20" t="n">
        <v>0</v>
      </c>
      <c r="L131" s="20" t="inlineStr">
        <is>
          <t>09.10.2024 02:00:56</t>
        </is>
      </c>
      <c r="M131" s="20" t="inlineStr">
        <is>
          <t>50 min</t>
        </is>
      </c>
      <c r="N131" s="20" t="inlineStr">
        <is>
          <t xml:space="preserve">        209K           100K            63K</t>
        </is>
      </c>
      <c r="O131" s="20" t="inlineStr">
        <is>
          <t>BeDR8pw1xiBceucUS1xp2GsmnCW8bJg3ULTKbEdfpump</t>
        </is>
      </c>
      <c r="P131" s="20">
        <f>HYPERLINK("https://dexscreener.com/solana/BeDR8pw1xiBceucUS1xp2GsmnCW8bJg3ULTKbEdfpump", "View")</f>
        <v/>
      </c>
    </row>
    <row r="132">
      <c r="A132" s="15" t="inlineStr">
        <is>
          <t>pussyinbio</t>
        </is>
      </c>
      <c r="B132" s="16" t="n">
        <v>64784</v>
      </c>
      <c r="C132" s="16" t="n">
        <v>64784</v>
      </c>
      <c r="D132" s="16" t="inlineStr">
        <is>
          <t>0.000030</t>
        </is>
      </c>
      <c r="E132" s="16" t="inlineStr">
        <is>
          <t>0.100 SOL</t>
        </is>
      </c>
      <c r="F132" s="16" t="inlineStr">
        <is>
          <t>0.110 SOL</t>
        </is>
      </c>
      <c r="G132" s="22" t="inlineStr">
        <is>
          <t>0.010 SOL</t>
        </is>
      </c>
      <c r="H132" s="22" t="inlineStr">
        <is>
          <t>9.62%</t>
        </is>
      </c>
      <c r="I132" s="16" t="inlineStr">
        <is>
          <t>N/A</t>
        </is>
      </c>
      <c r="J132" s="16" t="n">
        <v>1</v>
      </c>
      <c r="K132" s="16" t="n">
        <v>1</v>
      </c>
      <c r="L132" s="16" t="inlineStr">
        <is>
          <t>09.10.2024 00:44:47</t>
        </is>
      </c>
      <c r="M132" s="16" t="inlineStr">
        <is>
          <t>12 min</t>
        </is>
      </c>
      <c r="N132" s="16" t="inlineStr">
        <is>
          <t xml:space="preserve">        270K           297K           113K</t>
        </is>
      </c>
      <c r="O132" s="16" t="inlineStr">
        <is>
          <t>E9pBR4xjscYLPqFZ4YM4gUkczqz7MHpB6dk4sfSQTnJD</t>
        </is>
      </c>
      <c r="P132" s="16">
        <f>HYPERLINK("https://dexscreener.com/solana/E9pBR4xjscYLPqFZ4YM4gUkczqz7MHpB6dk4sfSQTnJD", "View")</f>
        <v/>
      </c>
    </row>
    <row r="133">
      <c r="A133" s="19" t="inlineStr">
        <is>
          <t>KILO</t>
        </is>
      </c>
      <c r="B133" s="20" t="n">
        <v>401761</v>
      </c>
      <c r="C133" s="20" t="n">
        <v>401761</v>
      </c>
      <c r="D133" s="20" t="inlineStr">
        <is>
          <t>0.001210</t>
        </is>
      </c>
      <c r="E133" s="20" t="inlineStr">
        <is>
          <t>0.290 SOL</t>
        </is>
      </c>
      <c r="F133" s="20" t="inlineStr">
        <is>
          <t>0.362 SOL</t>
        </is>
      </c>
      <c r="G133" s="22" t="inlineStr">
        <is>
          <t>0.071 SOL</t>
        </is>
      </c>
      <c r="H133" s="22" t="inlineStr">
        <is>
          <t>24.31%</t>
        </is>
      </c>
      <c r="I133" s="20" t="inlineStr">
        <is>
          <t>N/A</t>
        </is>
      </c>
      <c r="J133" s="20" t="n">
        <v>3</v>
      </c>
      <c r="K133" s="20" t="n">
        <v>2</v>
      </c>
      <c r="L133" s="20" t="inlineStr">
        <is>
          <t>08.10.2024 23:11:50</t>
        </is>
      </c>
      <c r="M133" s="20" t="inlineStr">
        <is>
          <t>9 hours</t>
        </is>
      </c>
      <c r="N133" s="20" t="inlineStr">
        <is>
          <t xml:space="preserve">        132K           158K             7K</t>
        </is>
      </c>
      <c r="O133" s="20" t="inlineStr">
        <is>
          <t>HJnrVW8XfjAYkpKb5RjvUHufZ6WPRFWb89DtrL1epump</t>
        </is>
      </c>
      <c r="P133" s="20">
        <f>HYPERLINK("https://dexscreener.com/solana/HJnrVW8XfjAYkpKb5RjvUHufZ6WPRFWb89DtrL1epump", "View")</f>
        <v/>
      </c>
    </row>
    <row r="134">
      <c r="A134" s="15" t="inlineStr">
        <is>
          <t>DJX</t>
        </is>
      </c>
      <c r="B134" s="16" t="n">
        <v>30033</v>
      </c>
      <c r="C134" s="16" t="n">
        <v>30033</v>
      </c>
      <c r="D134" s="16" t="inlineStr">
        <is>
          <t>0.001070</t>
        </is>
      </c>
      <c r="E134" s="16" t="inlineStr">
        <is>
          <t>0.290 SOL</t>
        </is>
      </c>
      <c r="F134" s="16" t="inlineStr">
        <is>
          <t>0.362 SOL</t>
        </is>
      </c>
      <c r="G134" s="22" t="inlineStr">
        <is>
          <t>0.071 SOL</t>
        </is>
      </c>
      <c r="H134" s="22" t="inlineStr">
        <is>
          <t>24.50%</t>
        </is>
      </c>
      <c r="I134" s="16" t="inlineStr">
        <is>
          <t>N/A</t>
        </is>
      </c>
      <c r="J134" s="16" t="n">
        <v>3</v>
      </c>
      <c r="K134" s="16" t="n">
        <v>3</v>
      </c>
      <c r="L134" s="16" t="inlineStr">
        <is>
          <t>08.10.2024 05:35:23</t>
        </is>
      </c>
      <c r="M134" s="16" t="inlineStr">
        <is>
          <t>49 min</t>
        </is>
      </c>
      <c r="N134" s="16" t="inlineStr">
        <is>
          <t xml:space="preserve">        117K           188K            55K</t>
        </is>
      </c>
      <c r="O134" s="16" t="inlineStr">
        <is>
          <t>F62aBJWCCtuAc7xrwsXSvKRnSZozUrADo3Z2WUnim5aV</t>
        </is>
      </c>
      <c r="P134" s="16">
        <f>HYPERLINK("https://dexscreener.com/solana/F62aBJWCCtuAc7xrwsXSvKRnSZozUrADo3Z2WUnim5aV", "View")</f>
        <v/>
      </c>
    </row>
    <row r="135">
      <c r="A135" s="19" t="inlineStr">
        <is>
          <t>LEN</t>
        </is>
      </c>
      <c r="B135" s="20" t="n">
        <v>15802</v>
      </c>
      <c r="C135" s="20" t="n">
        <v>15802</v>
      </c>
      <c r="D135" s="20" t="inlineStr">
        <is>
          <t>0.000030</t>
        </is>
      </c>
      <c r="E135" s="20" t="inlineStr">
        <is>
          <t>0.050 SOL</t>
        </is>
      </c>
      <c r="F135" s="20" t="inlineStr">
        <is>
          <t>0.035 SOL</t>
        </is>
      </c>
      <c r="G135" s="21" t="inlineStr">
        <is>
          <t>-0.015 SOL</t>
        </is>
      </c>
      <c r="H135" s="21" t="inlineStr">
        <is>
          <t>-30.61%</t>
        </is>
      </c>
      <c r="I135" s="20" t="inlineStr">
        <is>
          <t>N/A</t>
        </is>
      </c>
      <c r="J135" s="20" t="n">
        <v>1</v>
      </c>
      <c r="K135" s="20" t="n">
        <v>1</v>
      </c>
      <c r="L135" s="20" t="inlineStr">
        <is>
          <t>08.10.2024 04:43:26</t>
        </is>
      </c>
      <c r="M135" s="20" t="inlineStr">
        <is>
          <t>2 hours</t>
        </is>
      </c>
      <c r="N135" s="20" t="inlineStr">
        <is>
          <t xml:space="preserve">        555K           386K            24K</t>
        </is>
      </c>
      <c r="O135" s="20" t="inlineStr">
        <is>
          <t>Dyg9HthwdkenToccZQM76TjWFoqSPfQd5d8iR8vspump</t>
        </is>
      </c>
      <c r="P135" s="20">
        <f>HYPERLINK("https://dexscreener.com/solana/Dyg9HthwdkenToccZQM76TjWFoqSPfQd5d8iR8vspump", "View")</f>
        <v/>
      </c>
    </row>
    <row r="136">
      <c r="A136" s="15" t="inlineStr">
        <is>
          <t>Len</t>
        </is>
      </c>
      <c r="B136" s="16" t="n">
        <v>12693</v>
      </c>
      <c r="C136" s="16" t="n">
        <v>12693</v>
      </c>
      <c r="D136" s="16" t="inlineStr">
        <is>
          <t>0.000700</t>
        </is>
      </c>
      <c r="E136" s="16" t="inlineStr">
        <is>
          <t>0.250 SOL</t>
        </is>
      </c>
      <c r="F136" s="16" t="inlineStr">
        <is>
          <t>0.287 SOL</t>
        </is>
      </c>
      <c r="G136" s="22" t="inlineStr">
        <is>
          <t>0.036 SOL</t>
        </is>
      </c>
      <c r="H136" s="22" t="inlineStr">
        <is>
          <t>14.46%</t>
        </is>
      </c>
      <c r="I136" s="16" t="inlineStr">
        <is>
          <t>N/A</t>
        </is>
      </c>
      <c r="J136" s="16" t="n">
        <v>1</v>
      </c>
      <c r="K136" s="16" t="n">
        <v>1</v>
      </c>
      <c r="L136" s="16" t="inlineStr">
        <is>
          <t>05.10.2024 14:08:21</t>
        </is>
      </c>
      <c r="M136" s="16" t="inlineStr">
        <is>
          <t>4 min</t>
        </is>
      </c>
      <c r="N136" s="16" t="inlineStr">
        <is>
          <t xml:space="preserve">          3M             4M            12K</t>
        </is>
      </c>
      <c r="O136" s="16" t="inlineStr">
        <is>
          <t>4sNbsEQuGQpFDVnyVNRrGaRMHPLpMqmuYsTLzTokpump</t>
        </is>
      </c>
      <c r="P136" s="16">
        <f>HYPERLINK("https://dexscreener.com/solana/4sNbsEQuGQpFDVnyVNRrGaRMHPLpMqmuYsTLzTokpump", "View")</f>
        <v/>
      </c>
    </row>
    <row r="137">
      <c r="A137" s="19" t="inlineStr">
        <is>
          <t>Odin</t>
        </is>
      </c>
      <c r="B137" s="20" t="n">
        <v>19154</v>
      </c>
      <c r="C137" s="20" t="n">
        <v>19154</v>
      </c>
      <c r="D137" s="20" t="inlineStr">
        <is>
          <t>0.000710</t>
        </is>
      </c>
      <c r="E137" s="20" t="inlineStr">
        <is>
          <t>0.100 SOL</t>
        </is>
      </c>
      <c r="F137" s="20" t="inlineStr">
        <is>
          <t>0.147 SOL</t>
        </is>
      </c>
      <c r="G137" s="22" t="inlineStr">
        <is>
          <t>0.046 SOL</t>
        </is>
      </c>
      <c r="H137" s="22" t="inlineStr">
        <is>
          <t>46.05%</t>
        </is>
      </c>
      <c r="I137" s="20" t="inlineStr">
        <is>
          <t>N/A</t>
        </is>
      </c>
      <c r="J137" s="20" t="n">
        <v>1</v>
      </c>
      <c r="K137" s="20" t="n">
        <v>1</v>
      </c>
      <c r="L137" s="20" t="inlineStr">
        <is>
          <t>05.10.2024 13:51:07</t>
        </is>
      </c>
      <c r="M137" s="20" t="inlineStr">
        <is>
          <t>16 min</t>
        </is>
      </c>
      <c r="N137" s="20" t="inlineStr">
        <is>
          <t xml:space="preserve">        916K             1M            11K</t>
        </is>
      </c>
      <c r="O137" s="20" t="inlineStr">
        <is>
          <t>9TWa7NPkeqEojoY9Kue7A38AvJV1QTfjKScvqGsEpump</t>
        </is>
      </c>
      <c r="P137" s="20">
        <f>HYPERLINK("https://dexscreener.com/solana/9TWa7NPkeqEojoY9Kue7A38AvJV1QTfjKScvqGsEpump", "View")</f>
        <v/>
      </c>
    </row>
    <row r="138">
      <c r="A138" s="15" t="inlineStr">
        <is>
          <t>ARKY</t>
        </is>
      </c>
      <c r="B138" s="16" t="n">
        <v>83769</v>
      </c>
      <c r="C138" s="16" t="n">
        <v>83769</v>
      </c>
      <c r="D138" s="16" t="inlineStr">
        <is>
          <t>0.000390</t>
        </is>
      </c>
      <c r="E138" s="16" t="inlineStr">
        <is>
          <t>0.100 SOL</t>
        </is>
      </c>
      <c r="F138" s="16" t="inlineStr">
        <is>
          <t>0.125 SOL</t>
        </is>
      </c>
      <c r="G138" s="22" t="inlineStr">
        <is>
          <t>0.025 SOL</t>
        </is>
      </c>
      <c r="H138" s="22" t="inlineStr">
        <is>
          <t>24.77%</t>
        </is>
      </c>
      <c r="I138" s="16" t="inlineStr">
        <is>
          <t>N/A</t>
        </is>
      </c>
      <c r="J138" s="16" t="n">
        <v>1</v>
      </c>
      <c r="K138" s="16" t="n">
        <v>1</v>
      </c>
      <c r="L138" s="16" t="inlineStr">
        <is>
          <t>05.10.2024 13:20:05</t>
        </is>
      </c>
      <c r="M138" s="16" t="inlineStr">
        <is>
          <t>4 min</t>
        </is>
      </c>
      <c r="N138" s="16" t="inlineStr">
        <is>
          <t xml:space="preserve">        209K           263K             8K</t>
        </is>
      </c>
      <c r="O138" s="16" t="inlineStr">
        <is>
          <t>8sUY1bHHNC7Ystya9cAKtH2RrLssaUfnj34kiyGbpump</t>
        </is>
      </c>
      <c r="P138" s="16">
        <f>HYPERLINK("https://dexscreener.com/solana/8sUY1bHHNC7Ystya9cAKtH2RrLssaUfnj34kiyGbpump", "View")</f>
        <v/>
      </c>
    </row>
    <row r="139">
      <c r="A139" s="19" t="inlineStr">
        <is>
          <t>GARGOYLE</t>
        </is>
      </c>
      <c r="B139" s="20" t="n">
        <v>200934</v>
      </c>
      <c r="C139" s="20" t="n">
        <v>200934</v>
      </c>
      <c r="D139" s="20" t="inlineStr">
        <is>
          <t>0.000080</t>
        </is>
      </c>
      <c r="E139" s="20" t="inlineStr">
        <is>
          <t>0.400 SOL</t>
        </is>
      </c>
      <c r="F139" s="20" t="inlineStr">
        <is>
          <t>0.423 SOL</t>
        </is>
      </c>
      <c r="G139" s="22" t="inlineStr">
        <is>
          <t>0.022 SOL</t>
        </is>
      </c>
      <c r="H139" s="22" t="inlineStr">
        <is>
          <t>5.62%</t>
        </is>
      </c>
      <c r="I139" s="20" t="inlineStr">
        <is>
          <t>N/A</t>
        </is>
      </c>
      <c r="J139" s="20" t="n">
        <v>2</v>
      </c>
      <c r="K139" s="20" t="n">
        <v>2</v>
      </c>
      <c r="L139" s="20" t="inlineStr">
        <is>
          <t>05.10.2024 13:07:21</t>
        </is>
      </c>
      <c r="M139" s="20" t="inlineStr">
        <is>
          <t>6 min</t>
        </is>
      </c>
      <c r="N139" s="20" t="inlineStr">
        <is>
          <t xml:space="preserve">        341K           379K             8K</t>
        </is>
      </c>
      <c r="O139" s="20" t="inlineStr">
        <is>
          <t>Gn1haSB4Jkh3E9PXSC2BRYrh97ReruvTqf13jd5Jpump</t>
        </is>
      </c>
      <c r="P139" s="20">
        <f>HYPERLINK("https://dexscreener.com/solana/Gn1haSB4Jkh3E9PXSC2BRYrh97ReruvTqf13jd5Jpump", "View")</f>
        <v/>
      </c>
    </row>
    <row r="140">
      <c r="A140" s="15" t="inlineStr">
        <is>
          <t>sirius</t>
        </is>
      </c>
      <c r="B140" s="16" t="n">
        <v>469</v>
      </c>
      <c r="C140" s="16" t="n">
        <v>0</v>
      </c>
      <c r="D140" s="16" t="inlineStr">
        <is>
          <t>0.000060</t>
        </is>
      </c>
      <c r="E140" s="16" t="inlineStr">
        <is>
          <t>0.030 SOL</t>
        </is>
      </c>
      <c r="F140" s="16" t="inlineStr">
        <is>
          <t>0.000 SOL</t>
        </is>
      </c>
      <c r="G140" s="17" t="inlineStr">
        <is>
          <t>-0.030 SOL</t>
        </is>
      </c>
      <c r="H140" s="17" t="inlineStr">
        <is>
          <t>0.00%</t>
        </is>
      </c>
      <c r="I140" s="16" t="inlineStr">
        <is>
          <t>469</t>
        </is>
      </c>
      <c r="J140" s="16" t="n">
        <v>1</v>
      </c>
      <c r="K140" s="16" t="n">
        <v>0</v>
      </c>
      <c r="L140" s="16" t="inlineStr">
        <is>
          <t>29.09.2024 03:08:37</t>
        </is>
      </c>
      <c r="M140" s="18" t="inlineStr">
        <is>
          <t>0 sec</t>
        </is>
      </c>
      <c r="N140" s="16" t="inlineStr">
        <is>
          <t xml:space="preserve">         11M            11M             1M</t>
        </is>
      </c>
      <c r="O140" s="16" t="inlineStr">
        <is>
          <t>6T44rfi9BDUdZbEvVddZWVfsGrpC6N1sSSKYnCsLpump</t>
        </is>
      </c>
      <c r="P140" s="16">
        <f>HYPERLINK("https://dexscreener.com/solana/6T44rfi9BDUdZbEvVddZWVfsGrpC6N1sSSKYnCsLpump", "View")</f>
        <v/>
      </c>
    </row>
    <row r="141">
      <c r="A141" s="19" t="inlineStr">
        <is>
          <t>MOSHI</t>
        </is>
      </c>
      <c r="B141" s="20" t="n">
        <v>8462</v>
      </c>
      <c r="C141" s="20" t="n">
        <v>8462</v>
      </c>
      <c r="D141" s="20" t="inlineStr">
        <is>
          <t>0.000130</t>
        </is>
      </c>
      <c r="E141" s="20" t="inlineStr">
        <is>
          <t>0.044 SOL</t>
        </is>
      </c>
      <c r="F141" s="20" t="inlineStr">
        <is>
          <t>0.044 SOL</t>
        </is>
      </c>
      <c r="G141" s="21" t="inlineStr">
        <is>
          <t>-0.000 SOL</t>
        </is>
      </c>
      <c r="H141" s="21" t="inlineStr">
        <is>
          <t>-0.14%</t>
        </is>
      </c>
      <c r="I141" s="20" t="inlineStr">
        <is>
          <t>N/A</t>
        </is>
      </c>
      <c r="J141" s="20" t="n">
        <v>1</v>
      </c>
      <c r="K141" s="20" t="n">
        <v>1</v>
      </c>
      <c r="L141" s="20" t="inlineStr">
        <is>
          <t>29.09.2024 01:19:30</t>
        </is>
      </c>
      <c r="M141" s="20" t="inlineStr">
        <is>
          <t>1 days</t>
        </is>
      </c>
      <c r="N141" s="20" t="inlineStr">
        <is>
          <t xml:space="preserve">        913K           915K           132K</t>
        </is>
      </c>
      <c r="O141" s="20" t="inlineStr">
        <is>
          <t>7U7FZaLfJTt2pN9Canp1Njt3vbz6eiqHbxn2bpmEwtYB</t>
        </is>
      </c>
      <c r="P141" s="20">
        <f>HYPERLINK("https://dexscreener.com/solana/7U7FZaLfJTt2pN9Canp1Njt3vbz6eiqHbxn2bpmEwtYB", "View")</f>
        <v/>
      </c>
    </row>
    <row r="142">
      <c r="A142" s="15" t="inlineStr">
        <is>
          <t>BNB</t>
        </is>
      </c>
      <c r="B142" s="16" t="n">
        <v>378416</v>
      </c>
      <c r="C142" s="16" t="n">
        <v>378416</v>
      </c>
      <c r="D142" s="16" t="inlineStr">
        <is>
          <t>0.000210</t>
        </is>
      </c>
      <c r="E142" s="16" t="inlineStr">
        <is>
          <t>0.120 SOL</t>
        </is>
      </c>
      <c r="F142" s="16" t="inlineStr">
        <is>
          <t>0.047 SOL</t>
        </is>
      </c>
      <c r="G142" s="24" t="inlineStr">
        <is>
          <t>-0.073 SOL</t>
        </is>
      </c>
      <c r="H142" s="24" t="inlineStr">
        <is>
          <t>-60.97%</t>
        </is>
      </c>
      <c r="I142" s="16" t="inlineStr">
        <is>
          <t>N/A</t>
        </is>
      </c>
      <c r="J142" s="16" t="n">
        <v>2</v>
      </c>
      <c r="K142" s="16" t="n">
        <v>1</v>
      </c>
      <c r="L142" s="16" t="inlineStr">
        <is>
          <t>27.09.2024 21:59:05</t>
        </is>
      </c>
      <c r="M142" s="16" t="inlineStr">
        <is>
          <t>5 hours</t>
        </is>
      </c>
      <c r="N142" s="16" t="inlineStr">
        <is>
          <t xml:space="preserve">         58K            21K             7K</t>
        </is>
      </c>
      <c r="O142" s="16" t="inlineStr">
        <is>
          <t>AMB4JC5Q28JvuQmZJkhWUuWQnhbKRxDcDRPrE1YmRSjX</t>
        </is>
      </c>
      <c r="P142" s="16">
        <f>HYPERLINK("https://dexscreener.com/solana/AMB4JC5Q28JvuQmZJkhWUuWQnhbKRxDcDRPrE1YmRSjX", "View")</f>
        <v/>
      </c>
    </row>
    <row r="143">
      <c r="A143" s="19" t="inlineStr">
        <is>
          <t>Bibi</t>
        </is>
      </c>
      <c r="B143" s="20" t="n">
        <v>330176</v>
      </c>
      <c r="C143" s="20" t="n">
        <v>330176</v>
      </c>
      <c r="D143" s="20" t="inlineStr">
        <is>
          <t>0.000080</t>
        </is>
      </c>
      <c r="E143" s="20" t="inlineStr">
        <is>
          <t>0.090 SOL</t>
        </is>
      </c>
      <c r="F143" s="20" t="inlineStr">
        <is>
          <t>0.085 SOL</t>
        </is>
      </c>
      <c r="G143" s="21" t="inlineStr">
        <is>
          <t>-0.005 SOL</t>
        </is>
      </c>
      <c r="H143" s="21" t="inlineStr">
        <is>
          <t>-5.44%</t>
        </is>
      </c>
      <c r="I143" s="20" t="inlineStr">
        <is>
          <t>N/A</t>
        </is>
      </c>
      <c r="J143" s="20" t="n">
        <v>2</v>
      </c>
      <c r="K143" s="20" t="n">
        <v>2</v>
      </c>
      <c r="L143" s="20" t="inlineStr">
        <is>
          <t>27.09.2024 15:18:20</t>
        </is>
      </c>
      <c r="M143" s="20" t="inlineStr">
        <is>
          <t>15 hours</t>
        </is>
      </c>
      <c r="N143" s="20" t="inlineStr">
        <is>
          <t xml:space="preserve">        114K            39K             9K</t>
        </is>
      </c>
      <c r="O143" s="20" t="inlineStr">
        <is>
          <t>E6L9YxLdB2MkKMZXYc9aziSV4EUPp4G1bbYqA2TTpump</t>
        </is>
      </c>
      <c r="P143" s="20">
        <f>HYPERLINK("https://dexscreener.com/solana/E6L9YxLdB2MkKMZXYc9aziSV4EUPp4G1bbYqA2TTpump", "View")</f>
        <v/>
      </c>
    </row>
    <row r="144">
      <c r="A144" s="15" t="inlineStr">
        <is>
          <t>Zina</t>
        </is>
      </c>
      <c r="B144" s="16" t="n">
        <v>32134</v>
      </c>
      <c r="C144" s="16" t="n">
        <v>46628</v>
      </c>
      <c r="D144" s="16" t="inlineStr">
        <is>
          <t>0.000820</t>
        </is>
      </c>
      <c r="E144" s="16" t="inlineStr">
        <is>
          <t>0.171 SOL</t>
        </is>
      </c>
      <c r="F144" s="16" t="inlineStr">
        <is>
          <t>0.312 SOL</t>
        </is>
      </c>
      <c r="G144" s="23" t="inlineStr">
        <is>
          <t>0.140 SOL</t>
        </is>
      </c>
      <c r="H144" s="23" t="inlineStr">
        <is>
          <t>81.69%</t>
        </is>
      </c>
      <c r="I144" s="16" t="inlineStr">
        <is>
          <t>N/A</t>
        </is>
      </c>
      <c r="J144" s="16" t="n">
        <v>3</v>
      </c>
      <c r="K144" s="16" t="n">
        <v>4</v>
      </c>
      <c r="L144" s="16" t="inlineStr">
        <is>
          <t>27.09.2024 13:08:36</t>
        </is>
      </c>
      <c r="M144" s="16" t="inlineStr">
        <is>
          <t>13 hours</t>
        </is>
      </c>
      <c r="N144" s="16" t="inlineStr">
        <is>
          <t xml:space="preserve">        661K             1M            14K</t>
        </is>
      </c>
      <c r="O144" s="16" t="inlineStr">
        <is>
          <t>8V4RtPRHdAjuSE5cPijYoAnTEUk3NHJp3RoxCCqppump</t>
        </is>
      </c>
      <c r="P144" s="16">
        <f>HYPERLINK("https://dexscreener.com/solana/8V4RtPRHdAjuSE5cPijYoAnTEUk3NHJp3RoxCCqppump", "View")</f>
        <v/>
      </c>
    </row>
    <row r="145">
      <c r="A145" s="19" t="inlineStr">
        <is>
          <t>MILA</t>
        </is>
      </c>
      <c r="B145" s="20" t="n">
        <v>28363</v>
      </c>
      <c r="C145" s="20" t="n">
        <v>28363</v>
      </c>
      <c r="D145" s="20" t="inlineStr">
        <is>
          <t>0.000290</t>
        </is>
      </c>
      <c r="E145" s="20" t="inlineStr">
        <is>
          <t>0.100 SOL</t>
        </is>
      </c>
      <c r="F145" s="20" t="inlineStr">
        <is>
          <t>0.106 SOL</t>
        </is>
      </c>
      <c r="G145" s="22" t="inlineStr">
        <is>
          <t>0.006 SOL</t>
        </is>
      </c>
      <c r="H145" s="22" t="inlineStr">
        <is>
          <t>5.60%</t>
        </is>
      </c>
      <c r="I145" s="20" t="inlineStr">
        <is>
          <t>N/A</t>
        </is>
      </c>
      <c r="J145" s="20" t="n">
        <v>2</v>
      </c>
      <c r="K145" s="20" t="n">
        <v>2</v>
      </c>
      <c r="L145" s="20" t="inlineStr">
        <is>
          <t>27.09.2024 07:43:32</t>
        </is>
      </c>
      <c r="M145" s="20" t="inlineStr">
        <is>
          <t>27 min</t>
        </is>
      </c>
      <c r="N145" s="20" t="inlineStr">
        <is>
          <t xml:space="preserve">        651K           630K            10K</t>
        </is>
      </c>
      <c r="O145" s="20" t="inlineStr">
        <is>
          <t>BWZTsjVfLRcMVXpWxDFHHX7yQJw8aZ9Yq7PhbUWxpump</t>
        </is>
      </c>
      <c r="P145" s="20">
        <f>HYPERLINK("https://dexscreener.com/solana/BWZTsjVfLRcMVXpWxDFHHX7yQJw8aZ9Yq7PhbUWxpump", "View")</f>
        <v/>
      </c>
    </row>
    <row r="146">
      <c r="A146" s="15" t="inlineStr">
        <is>
          <t>ROODENG</t>
        </is>
      </c>
      <c r="B146" s="16" t="n">
        <v>30100</v>
      </c>
      <c r="C146" s="16" t="n">
        <v>30100</v>
      </c>
      <c r="D146" s="16" t="inlineStr">
        <is>
          <t>0.000090</t>
        </is>
      </c>
      <c r="E146" s="16" t="inlineStr">
        <is>
          <t>0.150 SOL</t>
        </is>
      </c>
      <c r="F146" s="16" t="inlineStr">
        <is>
          <t>0.165 SOL</t>
        </is>
      </c>
      <c r="G146" s="22" t="inlineStr">
        <is>
          <t>0.015 SOL</t>
        </is>
      </c>
      <c r="H146" s="22" t="inlineStr">
        <is>
          <t>9.96%</t>
        </is>
      </c>
      <c r="I146" s="16" t="inlineStr">
        <is>
          <t>N/A</t>
        </is>
      </c>
      <c r="J146" s="16" t="n">
        <v>2</v>
      </c>
      <c r="K146" s="16" t="n">
        <v>2</v>
      </c>
      <c r="L146" s="16" t="inlineStr">
        <is>
          <t>27.09.2024 07:04:14</t>
        </is>
      </c>
      <c r="M146" s="16" t="inlineStr">
        <is>
          <t>3 hours</t>
        </is>
      </c>
      <c r="N146" s="16" t="inlineStr">
        <is>
          <t xml:space="preserve">        841K           994K            13K</t>
        </is>
      </c>
      <c r="O146" s="16" t="inlineStr">
        <is>
          <t>Ek81YYpoowq26kYMURPsUbgg5vB4c654rgraJfympump</t>
        </is>
      </c>
      <c r="P146" s="16">
        <f>HYPERLINK("https://dexscreener.com/solana/Ek81YYpoowq26kYMURPsUbgg5vB4c654rgraJfympump", "View")</f>
        <v/>
      </c>
    </row>
    <row r="147">
      <c r="A147" s="19" t="inlineStr">
        <is>
          <t>PANDA</t>
        </is>
      </c>
      <c r="B147" s="20" t="n">
        <v>38643</v>
      </c>
      <c r="C147" s="20" t="n">
        <v>38643</v>
      </c>
      <c r="D147" s="20" t="inlineStr">
        <is>
          <t>0.000220</t>
        </is>
      </c>
      <c r="E147" s="20" t="inlineStr">
        <is>
          <t>0.160 SOL</t>
        </is>
      </c>
      <c r="F147" s="20" t="inlineStr">
        <is>
          <t>0.158 SOL</t>
        </is>
      </c>
      <c r="G147" s="21" t="inlineStr">
        <is>
          <t>-0.003 SOL</t>
        </is>
      </c>
      <c r="H147" s="21" t="inlineStr">
        <is>
          <t>-1.62%</t>
        </is>
      </c>
      <c r="I147" s="20" t="inlineStr">
        <is>
          <t>N/A</t>
        </is>
      </c>
      <c r="J147" s="20" t="n">
        <v>3</v>
      </c>
      <c r="K147" s="20" t="n">
        <v>2</v>
      </c>
      <c r="L147" s="20" t="inlineStr">
        <is>
          <t>26.09.2024 22:57:39</t>
        </is>
      </c>
      <c r="M147" s="20" t="inlineStr">
        <is>
          <t>18 min</t>
        </is>
      </c>
      <c r="N147" s="20" t="inlineStr">
        <is>
          <t xml:space="preserve">        611K           723K            18K</t>
        </is>
      </c>
      <c r="O147" s="20" t="inlineStr">
        <is>
          <t>6BQJV72cYEo4ysjtwFPh3yZM8kbdFnP6E4oJWNzipump</t>
        </is>
      </c>
      <c r="P147" s="20">
        <f>HYPERLINK("https://dexscreener.com/solana/6BQJV72cYEo4ysjtwFPh3yZM8kbdFnP6E4oJWNzipump", "View")</f>
        <v/>
      </c>
    </row>
    <row r="148">
      <c r="A148" s="15" t="inlineStr">
        <is>
          <t>POE</t>
        </is>
      </c>
      <c r="B148" s="16" t="n">
        <v>1608807</v>
      </c>
      <c r="C148" s="16" t="n">
        <v>1608807</v>
      </c>
      <c r="D148" s="16" t="inlineStr">
        <is>
          <t>0.000830</t>
        </is>
      </c>
      <c r="E148" s="16" t="inlineStr">
        <is>
          <t>0.670 SOL</t>
        </is>
      </c>
      <c r="F148" s="16" t="inlineStr">
        <is>
          <t>0.485 SOL</t>
        </is>
      </c>
      <c r="G148" s="21" t="inlineStr">
        <is>
          <t>-0.186 SOL</t>
        </is>
      </c>
      <c r="H148" s="21" t="inlineStr">
        <is>
          <t>-27.67%</t>
        </is>
      </c>
      <c r="I148" s="16" t="inlineStr">
        <is>
          <t>N/A</t>
        </is>
      </c>
      <c r="J148" s="16" t="n">
        <v>8</v>
      </c>
      <c r="K148" s="16" t="n">
        <v>4</v>
      </c>
      <c r="L148" s="16" t="inlineStr">
        <is>
          <t>26.09.2024 03:07:29</t>
        </is>
      </c>
      <c r="M148" s="16" t="inlineStr">
        <is>
          <t>4 hours</t>
        </is>
      </c>
      <c r="N148" s="16" t="inlineStr">
        <is>
          <t xml:space="preserve">        102K            16K             6K</t>
        </is>
      </c>
      <c r="O148" s="16" t="inlineStr">
        <is>
          <t>8mmoSMCSwfV4XzU3nSqnVyc3q86vg7ogWwzfv3htpump</t>
        </is>
      </c>
      <c r="P148" s="16">
        <f>HYPERLINK("https://dexscreener.com/solana/8mmoSMCSwfV4XzU3nSqnVyc3q86vg7ogWwzfv3htpump", "View")</f>
        <v/>
      </c>
    </row>
    <row r="149">
      <c r="A149" s="19" t="inlineStr">
        <is>
          <t>VICKY</t>
        </is>
      </c>
      <c r="B149" s="20" t="n">
        <v>335504</v>
      </c>
      <c r="C149" s="20" t="n">
        <v>335504</v>
      </c>
      <c r="D149" s="20" t="inlineStr">
        <is>
          <t>0.000020</t>
        </is>
      </c>
      <c r="E149" s="20" t="inlineStr">
        <is>
          <t>0.100 SOL</t>
        </is>
      </c>
      <c r="F149" s="20" t="inlineStr">
        <is>
          <t>0.067 SOL</t>
        </is>
      </c>
      <c r="G149" s="21" t="inlineStr">
        <is>
          <t>-0.033 SOL</t>
        </is>
      </c>
      <c r="H149" s="21" t="inlineStr">
        <is>
          <t>-33.32%</t>
        </is>
      </c>
      <c r="I149" s="20" t="inlineStr">
        <is>
          <t>N/A</t>
        </is>
      </c>
      <c r="J149" s="20" t="n">
        <v>1</v>
      </c>
      <c r="K149" s="20" t="n">
        <v>1</v>
      </c>
      <c r="L149" s="20" t="inlineStr">
        <is>
          <t>25.09.2024 20:02:06</t>
        </is>
      </c>
      <c r="M149" s="20" t="inlineStr">
        <is>
          <t>4 hours</t>
        </is>
      </c>
      <c r="N149" s="20" t="inlineStr">
        <is>
          <t xml:space="preserve">         53K            35K             4K</t>
        </is>
      </c>
      <c r="O149" s="20" t="inlineStr">
        <is>
          <t>36gmCN9HLE5s6j8FdEYUCywByZU2KKKYy3UnAShmpump</t>
        </is>
      </c>
      <c r="P149" s="20">
        <f>HYPERLINK("https://dexscreener.com/solana/36gmCN9HLE5s6j8FdEYUCywByZU2KKKYy3UnAShmpump", "View")</f>
        <v/>
      </c>
    </row>
    <row r="150">
      <c r="A150" s="15" t="inlineStr">
        <is>
          <t>MOOWAAN</t>
        </is>
      </c>
      <c r="B150" s="16" t="n">
        <v>20697</v>
      </c>
      <c r="C150" s="16" t="n">
        <v>20697</v>
      </c>
      <c r="D150" s="16" t="inlineStr">
        <is>
          <t>0.000490</t>
        </is>
      </c>
      <c r="E150" s="16" t="inlineStr">
        <is>
          <t>0.100 SOL</t>
        </is>
      </c>
      <c r="F150" s="16" t="inlineStr">
        <is>
          <t>0.111 SOL</t>
        </is>
      </c>
      <c r="G150" s="22" t="inlineStr">
        <is>
          <t>0.011 SOL</t>
        </is>
      </c>
      <c r="H150" s="22" t="inlineStr">
        <is>
          <t>10.57%</t>
        </is>
      </c>
      <c r="I150" s="16" t="inlineStr">
        <is>
          <t>N/A</t>
        </is>
      </c>
      <c r="J150" s="16" t="n">
        <v>1</v>
      </c>
      <c r="K150" s="16" t="n">
        <v>1</v>
      </c>
      <c r="L150" s="16" t="inlineStr">
        <is>
          <t>25.09.2024 14:41:18</t>
        </is>
      </c>
      <c r="M150" s="16" t="inlineStr">
        <is>
          <t>14 min</t>
        </is>
      </c>
      <c r="N150" s="16" t="inlineStr">
        <is>
          <t xml:space="preserve">        848K           943K           491K</t>
        </is>
      </c>
      <c r="O150" s="16" t="inlineStr">
        <is>
          <t>iQuoGfqmXh6J3PShHDntayXGVixfp44wzGkVaH8r8RE</t>
        </is>
      </c>
      <c r="P150" s="16">
        <f>HYPERLINK("https://dexscreener.com/solana/iQuoGfqmXh6J3PShHDntayXGVixfp44wzGkVaH8r8RE", "View")</f>
        <v/>
      </c>
    </row>
    <row r="151">
      <c r="A151" s="19" t="inlineStr">
        <is>
          <t>r/moodeng</t>
        </is>
      </c>
      <c r="B151" s="20" t="n">
        <v>135735</v>
      </c>
      <c r="C151" s="20" t="n">
        <v>135735</v>
      </c>
      <c r="D151" s="20" t="inlineStr">
        <is>
          <t>0.000020</t>
        </is>
      </c>
      <c r="E151" s="20" t="inlineStr">
        <is>
          <t>0.050 SOL</t>
        </is>
      </c>
      <c r="F151" s="20" t="inlineStr">
        <is>
          <t>0.051 SOL</t>
        </is>
      </c>
      <c r="G151" s="22" t="inlineStr">
        <is>
          <t>0.001 SOL</t>
        </is>
      </c>
      <c r="H151" s="22" t="inlineStr">
        <is>
          <t>2.57%</t>
        </is>
      </c>
      <c r="I151" s="20" t="inlineStr">
        <is>
          <t>N/A</t>
        </is>
      </c>
      <c r="J151" s="20" t="n">
        <v>1</v>
      </c>
      <c r="K151" s="20" t="n">
        <v>1</v>
      </c>
      <c r="L151" s="20" t="inlineStr">
        <is>
          <t>25.09.2024 14:07:38</t>
        </is>
      </c>
      <c r="M151" s="20" t="inlineStr">
        <is>
          <t>21 min</t>
        </is>
      </c>
      <c r="N151" s="20" t="inlineStr">
        <is>
          <t xml:space="preserve">         65K            67K             4K</t>
        </is>
      </c>
      <c r="O151" s="20" t="inlineStr">
        <is>
          <t>7uNvdY4dMw1J4pdXeVesoJXGHaq56KWDJhpkjQM9pump</t>
        </is>
      </c>
      <c r="P151" s="20">
        <f>HYPERLINK("https://dexscreener.com/solana/7uNvdY4dMw1J4pdXeVesoJXGHaq56KWDJhpkjQM9pump", "View")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4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HYPERLINK("https://gmgn.ai/sol/address/DcbfdKmg5q6zeBQxdLvftVYQBazamZvUR3TuQmNiqTaX", "GMGN")</f>
        <v/>
      </c>
    </row>
    <row r="2">
      <c r="A2" s="3" t="inlineStr">
        <is>
          <t>DcbfdKmg5q6zeBQxdLvftVYQBazamZvUR3TuQmNiqTaX</t>
        </is>
      </c>
      <c r="B2" s="3" t="inlineStr">
        <is>
          <t>21.98 SOL</t>
        </is>
      </c>
      <c r="C2" s="3" t="inlineStr">
        <is>
          <t>7%</t>
        </is>
      </c>
      <c r="D2" s="3" t="inlineStr">
        <is>
          <t>-55%</t>
        </is>
      </c>
      <c r="E2" s="3" t="inlineStr">
        <is>
          <t>-9.56 SOL</t>
        </is>
      </c>
      <c r="F2" s="3" t="inlineStr">
        <is>
          <t>0 (0%)</t>
        </is>
      </c>
      <c r="G2" s="3" t="inlineStr">
        <is>
          <t>3 (11%)</t>
        </is>
      </c>
      <c r="H2" s="3" t="n">
        <v>27</v>
      </c>
      <c r="I2" s="3" t="n">
        <v>2</v>
      </c>
      <c r="J2" s="3" t="inlineStr">
        <is>
          <t>41 days</t>
        </is>
      </c>
      <c r="K2" s="3" t="inlineStr">
        <is>
          <t>4 days</t>
        </is>
      </c>
      <c r="L2" s="3" t="n">
        <v>0</v>
      </c>
      <c r="M2" s="3" t="n">
        <v>33</v>
      </c>
      <c r="N2" s="3">
        <f>HYPERLINK("https://solscan.io/account/DcbfdKmg5q6zeBQxdLvftVYQBazamZvUR3TuQmNiqTaX", "Solscan")</f>
        <v/>
      </c>
    </row>
    <row r="3">
      <c r="A3" s="6" t="inlineStr">
        <is>
          <t>Median ROI</t>
        </is>
      </c>
      <c r="B3" s="5" t="inlineStr">
        <is>
          <t>-100.00%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HYPERLINK("https://birdeye.so/profile/DcbfdKmg5q6zeBQxdLvftVYQBazamZvUR3TuQmNiqTaX", "Birdeye")</f>
        <v/>
      </c>
    </row>
    <row r="4">
      <c r="A4" s="6" t="inlineStr">
        <is>
          <t>Rockets percent</t>
        </is>
      </c>
      <c r="B4" s="3" t="inlineStr">
        <is>
          <t>4%</t>
        </is>
      </c>
      <c r="C4" s="3" t="inlineStr"/>
      <c r="D4" s="3" t="inlineStr">
        <is>
          <t>100%</t>
        </is>
      </c>
      <c r="E4" s="3" t="inlineStr">
        <is>
          <t>17.34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131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1.5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0</v>
      </c>
      <c r="D10" s="6" t="n">
        <v>1</v>
      </c>
      <c r="E10" s="6" t="n">
        <v>0</v>
      </c>
      <c r="F10" s="6" t="n">
        <v>9</v>
      </c>
      <c r="G10" s="6" t="n">
        <v>16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3.7%</t>
        </is>
      </c>
      <c r="C11" s="6" t="inlineStr">
        <is>
          <t>0.0%</t>
        </is>
      </c>
      <c r="D11" s="6" t="inlineStr">
        <is>
          <t>3.7%</t>
        </is>
      </c>
      <c r="E11" s="6" t="inlineStr">
        <is>
          <t>0.0%</t>
        </is>
      </c>
      <c r="F11" s="6" t="inlineStr">
        <is>
          <t>33.3%</t>
        </is>
      </c>
      <c r="G11" s="6" t="inlineStr">
        <is>
          <t>59.3%</t>
        </is>
      </c>
      <c r="H11" s="3" t="n"/>
      <c r="I11" s="3" t="inlineStr">
        <is>
          <t>5k-30k</t>
        </is>
      </c>
      <c r="J11" s="3" t="inlineStr">
        <is>
          <t>0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1.4 SOL</t>
        </is>
      </c>
      <c r="C12" s="6" t="inlineStr">
        <is>
          <t>0.0 SOL</t>
        </is>
      </c>
      <c r="D12" s="6" t="inlineStr">
        <is>
          <t>0.2 SOL</t>
        </is>
      </c>
      <c r="E12" s="6" t="inlineStr">
        <is>
          <t>0.0 SOL</t>
        </is>
      </c>
      <c r="F12" s="6" t="inlineStr">
        <is>
          <t>-1.9 SOL</t>
        </is>
      </c>
      <c r="G12" s="6" t="inlineStr">
        <is>
          <t>-9.2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5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19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3.0M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CATANA</t>
        </is>
      </c>
      <c r="B20" s="16" t="n">
        <v>77485</v>
      </c>
      <c r="C20" s="16" t="n">
        <v>36352</v>
      </c>
      <c r="D20" s="16" t="inlineStr">
        <is>
          <t>0.000660</t>
        </is>
      </c>
      <c r="E20" s="16" t="inlineStr">
        <is>
          <t>2.578 SOL</t>
        </is>
      </c>
      <c r="F20" s="16" t="inlineStr">
        <is>
          <t>2.083 SOL</t>
        </is>
      </c>
      <c r="G20" s="21" t="inlineStr">
        <is>
          <t>-0.496 SOL</t>
        </is>
      </c>
      <c r="H20" s="21" t="inlineStr">
        <is>
          <t>-19.22%</t>
        </is>
      </c>
      <c r="I20" s="16" t="inlineStr">
        <is>
          <t>N/A</t>
        </is>
      </c>
      <c r="J20" s="16" t="n">
        <v>5</v>
      </c>
      <c r="K20" s="16" t="n">
        <v>2</v>
      </c>
      <c r="L20" s="16" t="inlineStr">
        <is>
          <t>30.10.2024 19:45:41</t>
        </is>
      </c>
      <c r="M20" s="16" t="inlineStr">
        <is>
          <t>12 days</t>
        </is>
      </c>
      <c r="N20" s="16" t="inlineStr">
        <is>
          <t xml:space="preserve">          7M             4M            19M</t>
        </is>
      </c>
      <c r="O20" s="16" t="inlineStr">
        <is>
          <t>GmbC2HgWpHpq9SHnmEXZNT5e1zgcU9oASDqbAkGTpump</t>
        </is>
      </c>
      <c r="P20" s="16">
        <f>HYPERLINK("https://dexscreener.com/solana/GmbC2HgWpHpq9SHnmEXZNT5e1zgcU9oASDqbAkGTpump", "View")</f>
        <v/>
      </c>
    </row>
    <row r="21">
      <c r="A21" s="19" t="inlineStr">
        <is>
          <t>floop</t>
        </is>
      </c>
      <c r="B21" s="20" t="n">
        <v>250000</v>
      </c>
      <c r="C21" s="20" t="n">
        <v>250000</v>
      </c>
      <c r="D21" s="20" t="inlineStr">
        <is>
          <t>0.001470</t>
        </is>
      </c>
      <c r="E21" s="20" t="inlineStr">
        <is>
          <t>0.322 SOL</t>
        </is>
      </c>
      <c r="F21" s="20" t="inlineStr">
        <is>
          <t>0.494 SOL</t>
        </is>
      </c>
      <c r="G21" s="23" t="inlineStr">
        <is>
          <t>0.171 SOL</t>
        </is>
      </c>
      <c r="H21" s="23" t="inlineStr">
        <is>
          <t>53.06%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19:16:24</t>
        </is>
      </c>
      <c r="M21" s="20" t="inlineStr">
        <is>
          <t>17 min</t>
        </is>
      </c>
      <c r="N21" s="20" t="inlineStr">
        <is>
          <t xml:space="preserve">        221K           221K            31K</t>
        </is>
      </c>
      <c r="O21" s="20" t="inlineStr">
        <is>
          <t>BbQbAoML7FJTyk45N9hXdp883NzB8WvHFCesEeAppump</t>
        </is>
      </c>
      <c r="P21" s="20">
        <f>HYPERLINK("https://dexscreener.com/solana/BbQbAoML7FJTyk45N9hXdp883NzB8WvHFCesEeAppump", "View")</f>
        <v/>
      </c>
    </row>
    <row r="22">
      <c r="A22" s="15" t="inlineStr">
        <is>
          <t>NUTBUTT</t>
        </is>
      </c>
      <c r="B22" s="16" t="n">
        <v>100000</v>
      </c>
      <c r="C22" s="16" t="n">
        <v>100000</v>
      </c>
      <c r="D22" s="16" t="inlineStr">
        <is>
          <t>0.000060</t>
        </is>
      </c>
      <c r="E22" s="16" t="inlineStr">
        <is>
          <t>0.375 SOL</t>
        </is>
      </c>
      <c r="F22" s="16" t="inlineStr">
        <is>
          <t>0.321 SOL</t>
        </is>
      </c>
      <c r="G22" s="21" t="inlineStr">
        <is>
          <t>-0.055 SOL</t>
        </is>
      </c>
      <c r="H22" s="21" t="inlineStr">
        <is>
          <t>-14.62%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19:01:53</t>
        </is>
      </c>
      <c r="M22" s="16" t="inlineStr">
        <is>
          <t>9 hours</t>
        </is>
      </c>
      <c r="N22" s="16" t="inlineStr">
        <is>
          <t xml:space="preserve">        659K           659K           657K</t>
        </is>
      </c>
      <c r="O22" s="16" t="inlineStr">
        <is>
          <t>CFBYjzT357obRmihT9F5uyCY3kqgksRvXKM3RJN1pump</t>
        </is>
      </c>
      <c r="P22" s="16">
        <f>HYPERLINK("https://dexscreener.com/solana/CFBYjzT357obRmihT9F5uyCY3kqgksRvXKM3RJN1pump", "View")</f>
        <v/>
      </c>
    </row>
    <row r="23">
      <c r="A23" s="19" t="inlineStr">
        <is>
          <t>Nailong</t>
        </is>
      </c>
      <c r="B23" s="20" t="n">
        <v>10000</v>
      </c>
      <c r="C23" s="20" t="n">
        <v>0</v>
      </c>
      <c r="D23" s="20" t="inlineStr">
        <is>
          <t>0.000010</t>
        </is>
      </c>
      <c r="E23" s="20" t="inlineStr">
        <is>
          <t>0.563 SOL</t>
        </is>
      </c>
      <c r="F23" s="20" t="inlineStr">
        <is>
          <t>0.000 SOL</t>
        </is>
      </c>
      <c r="G23" s="17" t="inlineStr">
        <is>
          <t>-0.563 SOL</t>
        </is>
      </c>
      <c r="H23" s="17" t="inlineStr">
        <is>
          <t>0.00%</t>
        </is>
      </c>
      <c r="I23" s="20" t="inlineStr">
        <is>
          <t>10,000</t>
        </is>
      </c>
      <c r="J23" s="20" t="n">
        <v>1</v>
      </c>
      <c r="K23" s="20" t="n">
        <v>0</v>
      </c>
      <c r="L23" s="20" t="inlineStr">
        <is>
          <t>30.10.2024 09:36:50</t>
        </is>
      </c>
      <c r="M23" s="18" t="inlineStr">
        <is>
          <t>0 sec</t>
        </is>
      </c>
      <c r="N23" s="20" t="inlineStr">
        <is>
          <t xml:space="preserve">         10M            10M            10M</t>
        </is>
      </c>
      <c r="O23" s="20" t="inlineStr">
        <is>
          <t>mkvXiNBpa8uiSApe5BrhWVJaT87pJFTZxRy7zFapump</t>
        </is>
      </c>
      <c r="P23" s="20">
        <f>HYPERLINK("https://dexscreener.com/solana/mkvXiNBpa8uiSApe5BrhWVJaT87pJFTZxRy7zFapump", "View")</f>
        <v/>
      </c>
    </row>
    <row r="24">
      <c r="A24" s="15" t="inlineStr">
        <is>
          <t>core</t>
        </is>
      </c>
      <c r="B24" s="16" t="n">
        <v>500000</v>
      </c>
      <c r="C24" s="16" t="n">
        <v>0</v>
      </c>
      <c r="D24" s="16" t="inlineStr">
        <is>
          <t>0.000410</t>
        </is>
      </c>
      <c r="E24" s="16" t="inlineStr">
        <is>
          <t>0.457 SOL</t>
        </is>
      </c>
      <c r="F24" s="16" t="inlineStr">
        <is>
          <t>0.000 SOL</t>
        </is>
      </c>
      <c r="G24" s="17" t="inlineStr">
        <is>
          <t>-0.457 SOL</t>
        </is>
      </c>
      <c r="H24" s="17" t="inlineStr">
        <is>
          <t>0.00%</t>
        </is>
      </c>
      <c r="I24" s="16" t="inlineStr">
        <is>
          <t>500,000</t>
        </is>
      </c>
      <c r="J24" s="16" t="n">
        <v>1</v>
      </c>
      <c r="K24" s="16" t="n">
        <v>0</v>
      </c>
      <c r="L24" s="16" t="inlineStr">
        <is>
          <t>29.10.2024 15:48:17</t>
        </is>
      </c>
      <c r="M24" s="18" t="inlineStr">
        <is>
          <t>0 sec</t>
        </is>
      </c>
      <c r="N24" s="16" t="inlineStr">
        <is>
          <t xml:space="preserve">        160K           160K           176K</t>
        </is>
      </c>
      <c r="O24" s="16" t="inlineStr">
        <is>
          <t>Crb3po4oD4NVahRQjR6fthD2Cyz3jNsz5MqPkAuUpump</t>
        </is>
      </c>
      <c r="P24" s="16">
        <f>HYPERLINK("https://dexscreener.com/solana/Crb3po4oD4NVahRQjR6fthD2Cyz3jNsz5MqPkAuUpump", "View")</f>
        <v/>
      </c>
    </row>
    <row r="25">
      <c r="A25" s="19" t="inlineStr">
        <is>
          <t>Dot</t>
        </is>
      </c>
      <c r="B25" s="20" t="n">
        <v>121195</v>
      </c>
      <c r="C25" s="20" t="n">
        <v>185598</v>
      </c>
      <c r="D25" s="20" t="inlineStr">
        <is>
          <t>0.007990</t>
        </is>
      </c>
      <c r="E25" s="20" t="inlineStr">
        <is>
          <t>0.446 SOL</t>
        </is>
      </c>
      <c r="F25" s="20" t="inlineStr">
        <is>
          <t>0.284 SOL</t>
        </is>
      </c>
      <c r="G25" s="21" t="inlineStr">
        <is>
          <t>-0.170 SOL</t>
        </is>
      </c>
      <c r="H25" s="21" t="inlineStr">
        <is>
          <t>-37.52%</t>
        </is>
      </c>
      <c r="I25" s="20" t="inlineStr">
        <is>
          <t>N/A</t>
        </is>
      </c>
      <c r="J25" s="20" t="n">
        <v>3</v>
      </c>
      <c r="K25" s="20" t="n">
        <v>1</v>
      </c>
      <c r="L25" s="20" t="inlineStr">
        <is>
          <t>28.10.2024 12:37:35</t>
        </is>
      </c>
      <c r="M25" s="20" t="inlineStr">
        <is>
          <t>42 min</t>
        </is>
      </c>
      <c r="N25" s="20" t="inlineStr">
        <is>
          <t xml:space="preserve">        642K           259K             9K</t>
        </is>
      </c>
      <c r="O25" s="20" t="inlineStr">
        <is>
          <t>3T557L68ZgBvjvuSuNQXcxH9JkJZieSEggdtWDf2pump</t>
        </is>
      </c>
      <c r="P25" s="20">
        <f>HYPERLINK("https://dexscreener.com/solana/3T557L68ZgBvjvuSuNQXcxH9JkJZieSEggdtWDf2pump", "View")</f>
        <v/>
      </c>
    </row>
    <row r="26">
      <c r="A26" s="15" t="inlineStr">
        <is>
          <t>sirius</t>
        </is>
      </c>
      <c r="B26" s="16" t="n">
        <v>20000</v>
      </c>
      <c r="C26" s="16" t="n">
        <v>30000</v>
      </c>
      <c r="D26" s="16" t="inlineStr">
        <is>
          <t>0.002850</t>
        </is>
      </c>
      <c r="E26" s="16" t="inlineStr">
        <is>
          <t>0.469 SOL</t>
        </is>
      </c>
      <c r="F26" s="16" t="inlineStr">
        <is>
          <t>0.250 SOL</t>
        </is>
      </c>
      <c r="G26" s="21" t="inlineStr">
        <is>
          <t>-0.222 SOL</t>
        </is>
      </c>
      <c r="H26" s="21" t="inlineStr">
        <is>
          <t>-46.99%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28.10.2024 11:54:17</t>
        </is>
      </c>
      <c r="M26" s="16" t="inlineStr">
        <is>
          <t>20 days</t>
        </is>
      </c>
      <c r="N26" s="16" t="inlineStr">
        <is>
          <t xml:space="preserve">          4M             4M             1M</t>
        </is>
      </c>
      <c r="O26" s="16" t="inlineStr">
        <is>
          <t>6T44rfi9BDUdZbEvVddZWVfsGrpC6N1sSSKYnCsLpump</t>
        </is>
      </c>
      <c r="P26" s="16">
        <f>HYPERLINK("https://dexscreener.com/solana/6T44rfi9BDUdZbEvVddZWVfsGrpC6N1sSSKYnCsLpump", "View")</f>
        <v/>
      </c>
    </row>
    <row r="27">
      <c r="A27" s="19" t="inlineStr">
        <is>
          <t>Suno</t>
        </is>
      </c>
      <c r="B27" s="20" t="n">
        <v>376826</v>
      </c>
      <c r="C27" s="20" t="n">
        <v>1128881</v>
      </c>
      <c r="D27" s="20" t="inlineStr">
        <is>
          <t>0.000110</t>
        </is>
      </c>
      <c r="E27" s="20" t="inlineStr">
        <is>
          <t>0.200 SOL</t>
        </is>
      </c>
      <c r="F27" s="20" t="inlineStr">
        <is>
          <t>0.190 SOL</t>
        </is>
      </c>
      <c r="G27" s="21" t="inlineStr">
        <is>
          <t>-0.010 SOL</t>
        </is>
      </c>
      <c r="H27" s="21" t="inlineStr">
        <is>
          <t>-4.99%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25.10.2024 17:36:59</t>
        </is>
      </c>
      <c r="M27" s="20" t="inlineStr">
        <is>
          <t>3 days</t>
        </is>
      </c>
      <c r="N27" s="20" t="inlineStr">
        <is>
          <t xml:space="preserve">         93K            93K            11K</t>
        </is>
      </c>
      <c r="O27" s="20" t="inlineStr">
        <is>
          <t>DXG751S7qe2GYKdR655FXZeaDNsLfJiw4nkvvFGvpump</t>
        </is>
      </c>
      <c r="P27" s="20">
        <f>HYPERLINK("https://dexscreener.com/solana/DXG751S7qe2GYKdR655FXZeaDNsLfJiw4nkvvFGvpump", "View")</f>
        <v/>
      </c>
    </row>
    <row r="28">
      <c r="A28" s="15" t="inlineStr">
        <is>
          <t>LOCKIN</t>
        </is>
      </c>
      <c r="B28" s="16" t="n">
        <v>2600</v>
      </c>
      <c r="C28" s="16" t="n">
        <v>0</v>
      </c>
      <c r="D28" s="16" t="inlineStr">
        <is>
          <t>0.000160</t>
        </is>
      </c>
      <c r="E28" s="16" t="inlineStr">
        <is>
          <t>0.938 SOL</t>
        </is>
      </c>
      <c r="F28" s="16" t="inlineStr">
        <is>
          <t>0.000 SOL</t>
        </is>
      </c>
      <c r="G28" s="17" t="inlineStr">
        <is>
          <t>-0.938 SOL</t>
        </is>
      </c>
      <c r="H28" s="17" t="inlineStr">
        <is>
          <t>0.00%</t>
        </is>
      </c>
      <c r="I28" s="16" t="inlineStr">
        <is>
          <t>2,600</t>
        </is>
      </c>
      <c r="J28" s="16" t="n">
        <v>2</v>
      </c>
      <c r="K28" s="16" t="n">
        <v>0</v>
      </c>
      <c r="L28" s="16" t="inlineStr">
        <is>
          <t>25.10.2024 17:20:40</t>
        </is>
      </c>
      <c r="M28" s="16" t="inlineStr">
        <is>
          <t>8 days</t>
        </is>
      </c>
      <c r="N28" s="16" t="inlineStr">
        <is>
          <t xml:space="preserve">         48M            74M            50M</t>
        </is>
      </c>
      <c r="O28" s="16" t="inlineStr">
        <is>
          <t>8Ki8DpuWNxu9VsS3kQbarsCWMcFGWkzzA8pUPto9zBd5</t>
        </is>
      </c>
      <c r="P28" s="16">
        <f>HYPERLINK("https://dexscreener.com/solana/8Ki8DpuWNxu9VsS3kQbarsCWMcFGWkzzA8pUPto9zBd5", "View")</f>
        <v/>
      </c>
    </row>
    <row r="29">
      <c r="A29" s="19" t="inlineStr">
        <is>
          <t>mini</t>
        </is>
      </c>
      <c r="B29" s="20" t="n">
        <v>7062</v>
      </c>
      <c r="C29" s="20" t="n">
        <v>4241</v>
      </c>
      <c r="D29" s="20" t="inlineStr">
        <is>
          <t>0.000170</t>
        </is>
      </c>
      <c r="E29" s="20" t="inlineStr">
        <is>
          <t>1.035 SOL</t>
        </is>
      </c>
      <c r="F29" s="20" t="inlineStr">
        <is>
          <t>1.000 SOL</t>
        </is>
      </c>
      <c r="G29" s="21" t="inlineStr">
        <is>
          <t>-0.035 SOL</t>
        </is>
      </c>
      <c r="H29" s="21" t="inlineStr">
        <is>
          <t>-3.39%</t>
        </is>
      </c>
      <c r="I29" s="20" t="inlineStr">
        <is>
          <t>N/A</t>
        </is>
      </c>
      <c r="J29" s="20" t="n">
        <v>3</v>
      </c>
      <c r="K29" s="20" t="n">
        <v>1</v>
      </c>
      <c r="L29" s="20" t="inlineStr">
        <is>
          <t>25.10.2024 17:18:55</t>
        </is>
      </c>
      <c r="M29" s="20" t="inlineStr">
        <is>
          <t>26 days</t>
        </is>
      </c>
      <c r="N29" s="20" t="inlineStr">
        <is>
          <t xml:space="preserve">         44M            36M            47M</t>
        </is>
      </c>
      <c r="O29" s="20" t="inlineStr">
        <is>
          <t>2JcXacFwt9mVAwBQ5nZkYwCyXQkRcdsYrDXn6hj22SbP</t>
        </is>
      </c>
      <c r="P29" s="20">
        <f>HYPERLINK("https://dexscreener.com/solana/2JcXacFwt9mVAwBQ5nZkYwCyXQkRcdsYrDXn6hj22SbP", "View")</f>
        <v/>
      </c>
    </row>
    <row r="30">
      <c r="A30" s="15" t="inlineStr">
        <is>
          <t>FWOG</t>
        </is>
      </c>
      <c r="B30" s="16" t="n">
        <v>800</v>
      </c>
      <c r="C30" s="16" t="n">
        <v>0</v>
      </c>
      <c r="D30" s="16" t="inlineStr">
        <is>
          <t>0.000370</t>
        </is>
      </c>
      <c r="E30" s="16" t="inlineStr">
        <is>
          <t>0.951 SOL</t>
        </is>
      </c>
      <c r="F30" s="16" t="inlineStr">
        <is>
          <t>0.000 SOL</t>
        </is>
      </c>
      <c r="G30" s="17" t="inlineStr">
        <is>
          <t>-0.952 SOL</t>
        </is>
      </c>
      <c r="H30" s="17" t="inlineStr">
        <is>
          <t>0.00%</t>
        </is>
      </c>
      <c r="I30" s="16" t="inlineStr">
        <is>
          <t>800</t>
        </is>
      </c>
      <c r="J30" s="16" t="n">
        <v>1</v>
      </c>
      <c r="K30" s="16" t="n">
        <v>0</v>
      </c>
      <c r="L30" s="16" t="inlineStr">
        <is>
          <t>25.10.2024 17:16:47</t>
        </is>
      </c>
      <c r="M30" s="18" t="inlineStr">
        <is>
          <t>0 sec</t>
        </is>
      </c>
      <c r="N30" s="16" t="inlineStr">
        <is>
          <t xml:space="preserve">        204M           204M           271M</t>
        </is>
      </c>
      <c r="O30" s="16" t="inlineStr">
        <is>
          <t>A8C3xuqscfmyLrte3VmTqrAq8kgMASius9AFNANwpump</t>
        </is>
      </c>
      <c r="P30" s="16">
        <f>HYPERLINK("https://dexscreener.com/solana/A8C3xuqscfmyLrte3VmTqrAq8kgMASius9AFNANwpump", "View")</f>
        <v/>
      </c>
    </row>
    <row r="31">
      <c r="A31" s="19" t="inlineStr">
        <is>
          <t>RETARDIO</t>
        </is>
      </c>
      <c r="B31" s="20" t="n">
        <v>3200</v>
      </c>
      <c r="C31" s="20" t="n">
        <v>0</v>
      </c>
      <c r="D31" s="20" t="inlineStr">
        <is>
          <t>0.000170</t>
        </is>
      </c>
      <c r="E31" s="20" t="inlineStr">
        <is>
          <t>1.645 SOL</t>
        </is>
      </c>
      <c r="F31" s="20" t="inlineStr">
        <is>
          <t>0.000 SOL</t>
        </is>
      </c>
      <c r="G31" s="17" t="inlineStr">
        <is>
          <t>-1.645 SOL</t>
        </is>
      </c>
      <c r="H31" s="17" t="inlineStr">
        <is>
          <t>0.00%</t>
        </is>
      </c>
      <c r="I31" s="20" t="inlineStr">
        <is>
          <t>3,200</t>
        </is>
      </c>
      <c r="J31" s="20" t="n">
        <v>3</v>
      </c>
      <c r="K31" s="20" t="n">
        <v>0</v>
      </c>
      <c r="L31" s="20" t="inlineStr">
        <is>
          <t>22.10.2024 11:32:14</t>
        </is>
      </c>
      <c r="M31" s="20" t="inlineStr">
        <is>
          <t>1 months</t>
        </is>
      </c>
      <c r="N31" s="20" t="inlineStr">
        <is>
          <t xml:space="preserve">        137M            75M           128M</t>
        </is>
      </c>
      <c r="O31" s="20" t="inlineStr">
        <is>
          <t>6ogzHhzdrQr9Pgv6hZ2MNze7UrzBMAFyBBWUYp1Fhitx</t>
        </is>
      </c>
      <c r="P31" s="20">
        <f>HYPERLINK("https://dexscreener.com/solana/6ogzHhzdrQr9Pgv6hZ2MNze7UrzBMAFyBBWUYp1Fhitx", "View")</f>
        <v/>
      </c>
    </row>
    <row r="32">
      <c r="A32" s="15" t="inlineStr">
        <is>
          <t>HOPE</t>
        </is>
      </c>
      <c r="B32" s="16" t="n">
        <v>313018</v>
      </c>
      <c r="C32" s="16" t="n">
        <v>0</v>
      </c>
      <c r="D32" s="16" t="inlineStr">
        <is>
          <t>0.001410</t>
        </is>
      </c>
      <c r="E32" s="16" t="inlineStr">
        <is>
          <t>0.533 SOL</t>
        </is>
      </c>
      <c r="F32" s="16" t="inlineStr">
        <is>
          <t>0.000 SOL</t>
        </is>
      </c>
      <c r="G32" s="17" t="inlineStr">
        <is>
          <t>-0.535 SOL</t>
        </is>
      </c>
      <c r="H32" s="17" t="inlineStr">
        <is>
          <t>0.00%</t>
        </is>
      </c>
      <c r="I32" s="16" t="inlineStr">
        <is>
          <t>313,018</t>
        </is>
      </c>
      <c r="J32" s="16" t="n">
        <v>2</v>
      </c>
      <c r="K32" s="16" t="n">
        <v>0</v>
      </c>
      <c r="L32" s="16" t="inlineStr">
        <is>
          <t>21.10.2024 19:29:51</t>
        </is>
      </c>
      <c r="M32" s="16" t="inlineStr">
        <is>
          <t>1 days</t>
        </is>
      </c>
      <c r="N32" s="16" t="inlineStr">
        <is>
          <t xml:space="preserve">        N/A           N/A           N/A</t>
        </is>
      </c>
      <c r="O32" s="16" t="inlineStr">
        <is>
          <t>BBhmss7WDYaBud8PWyVAL2hEpgfLmxRczsRPNaNHpump</t>
        </is>
      </c>
      <c r="P32" s="16">
        <f>HYPERLINK("https://dexscreener.com/solana/BBhmss7WDYaBud8PWyVAL2hEpgfLmxRczsRPNaNHpump", "View")</f>
        <v/>
      </c>
    </row>
    <row r="33">
      <c r="A33" s="19" t="inlineStr">
        <is>
          <t>real</t>
        </is>
      </c>
      <c r="B33" s="20" t="n">
        <v>85000</v>
      </c>
      <c r="C33" s="20" t="n">
        <v>0</v>
      </c>
      <c r="D33" s="20" t="inlineStr">
        <is>
          <t>0.000040</t>
        </is>
      </c>
      <c r="E33" s="20" t="inlineStr">
        <is>
          <t>0.850 SOL</t>
        </is>
      </c>
      <c r="F33" s="20" t="inlineStr">
        <is>
          <t>0.000 SOL</t>
        </is>
      </c>
      <c r="G33" s="17" t="inlineStr">
        <is>
          <t>-0.850 SOL</t>
        </is>
      </c>
      <c r="H33" s="17" t="inlineStr">
        <is>
          <t>0.00%</t>
        </is>
      </c>
      <c r="I33" s="20" t="inlineStr">
        <is>
          <t>85,000</t>
        </is>
      </c>
      <c r="J33" s="20" t="n">
        <v>1</v>
      </c>
      <c r="K33" s="20" t="n">
        <v>0</v>
      </c>
      <c r="L33" s="20" t="inlineStr">
        <is>
          <t>20.10.2024 18:54:46</t>
        </is>
      </c>
      <c r="M33" s="18" t="inlineStr">
        <is>
          <t>0 sec</t>
        </is>
      </c>
      <c r="N33" s="20" t="inlineStr">
        <is>
          <t xml:space="preserve">          2M             2M             2M</t>
        </is>
      </c>
      <c r="O33" s="20" t="inlineStr">
        <is>
          <t>Cy4DSbZW4CE6cG6HDqQFhXxpHTdm41SY9hBB1JG6pump</t>
        </is>
      </c>
      <c r="P33" s="20">
        <f>HYPERLINK("https://dexscreener.com/solana/Cy4DSbZW4CE6cG6HDqQFhXxpHTdm41SY9hBB1JG6pump", "View")</f>
        <v/>
      </c>
    </row>
    <row r="34">
      <c r="A34" s="15" t="inlineStr">
        <is>
          <t>FEET</t>
        </is>
      </c>
      <c r="B34" s="16" t="n">
        <v>25000</v>
      </c>
      <c r="C34" s="16" t="n">
        <v>0</v>
      </c>
      <c r="D34" s="16" t="inlineStr">
        <is>
          <t>0.000080</t>
        </is>
      </c>
      <c r="E34" s="16" t="inlineStr">
        <is>
          <t>0.285 SOL</t>
        </is>
      </c>
      <c r="F34" s="16" t="inlineStr">
        <is>
          <t>0.000 SOL</t>
        </is>
      </c>
      <c r="G34" s="17" t="inlineStr">
        <is>
          <t>-0.285 SOL</t>
        </is>
      </c>
      <c r="H34" s="17" t="inlineStr">
        <is>
          <t>0.00%</t>
        </is>
      </c>
      <c r="I34" s="16" t="inlineStr">
        <is>
          <t>25,000</t>
        </is>
      </c>
      <c r="J34" s="16" t="n">
        <v>1</v>
      </c>
      <c r="K34" s="16" t="n">
        <v>0</v>
      </c>
      <c r="L34" s="16" t="inlineStr">
        <is>
          <t>18.10.2024 12:13:36</t>
        </is>
      </c>
      <c r="M34" s="18" t="inlineStr">
        <is>
          <t>0 sec</t>
        </is>
      </c>
      <c r="N34" s="16" t="inlineStr">
        <is>
          <t xml:space="preserve">        N/A           N/A           N/A</t>
        </is>
      </c>
      <c r="O34" s="16" t="inlineStr">
        <is>
          <t>4niHLApBv8mr8apFxf349gCiRE6vcqmZWuHMnjrsXoCs</t>
        </is>
      </c>
      <c r="P34" s="16">
        <f>HYPERLINK("https://dexscreener.com/solana/4niHLApBv8mr8apFxf349gCiRE6vcqmZWuHMnjrsXoCs", "View")</f>
        <v/>
      </c>
    </row>
    <row r="35">
      <c r="A35" s="19" t="inlineStr">
        <is>
          <t>SELFIE</t>
        </is>
      </c>
      <c r="B35" s="20" t="n">
        <v>5000</v>
      </c>
      <c r="C35" s="20" t="n">
        <v>0</v>
      </c>
      <c r="D35" s="20" t="inlineStr">
        <is>
          <t>0.000010</t>
        </is>
      </c>
      <c r="E35" s="20" t="inlineStr">
        <is>
          <t>0.945 SOL</t>
        </is>
      </c>
      <c r="F35" s="20" t="inlineStr">
        <is>
          <t>0.000 SOL</t>
        </is>
      </c>
      <c r="G35" s="17" t="inlineStr">
        <is>
          <t>-0.945 SOL</t>
        </is>
      </c>
      <c r="H35" s="17" t="inlineStr">
        <is>
          <t>0.00%</t>
        </is>
      </c>
      <c r="I35" s="20" t="inlineStr">
        <is>
          <t>5,000</t>
        </is>
      </c>
      <c r="J35" s="20" t="n">
        <v>1</v>
      </c>
      <c r="K35" s="20" t="n">
        <v>0</v>
      </c>
      <c r="L35" s="20" t="inlineStr">
        <is>
          <t>17.10.2024 18:31:21</t>
        </is>
      </c>
      <c r="M35" s="18" t="inlineStr">
        <is>
          <t>0 sec</t>
        </is>
      </c>
      <c r="N35" s="20" t="inlineStr">
        <is>
          <t xml:space="preserve">         33M            33M            48M</t>
        </is>
      </c>
      <c r="O35" s="20" t="inlineStr">
        <is>
          <t>9WPTUkh8fKuCnepRWoPYLH3aK9gSjPHFDenBq2X1Czdp</t>
        </is>
      </c>
      <c r="P35" s="20">
        <f>HYPERLINK("https://dexscreener.com/solana/9WPTUkh8fKuCnepRWoPYLH3aK9gSjPHFDenBq2X1Czdp", "View")</f>
        <v/>
      </c>
    </row>
    <row r="36">
      <c r="A36" s="15" t="inlineStr">
        <is>
          <t>peanie</t>
        </is>
      </c>
      <c r="B36" s="16" t="n">
        <v>241298</v>
      </c>
      <c r="C36" s="16" t="n">
        <v>92051</v>
      </c>
      <c r="D36" s="16" t="inlineStr">
        <is>
          <t>0.000150</t>
        </is>
      </c>
      <c r="E36" s="16" t="inlineStr">
        <is>
          <t>0.147 SOL</t>
        </is>
      </c>
      <c r="F36" s="16" t="inlineStr">
        <is>
          <t>1.547 SOL</t>
        </is>
      </c>
      <c r="G36" s="23" t="inlineStr">
        <is>
          <t>1.401 SOL</t>
        </is>
      </c>
      <c r="H36" s="23" t="inlineStr">
        <is>
          <t>953.29%</t>
        </is>
      </c>
      <c r="I36" s="16" t="inlineStr">
        <is>
          <t>N/A</t>
        </is>
      </c>
      <c r="J36" s="16" t="n">
        <v>1</v>
      </c>
      <c r="K36" s="16" t="n">
        <v>2</v>
      </c>
      <c r="L36" s="16" t="inlineStr">
        <is>
          <t>08.10.2024 18:40:34</t>
        </is>
      </c>
      <c r="M36" s="16" t="inlineStr">
        <is>
          <t>19 days</t>
        </is>
      </c>
      <c r="N36" s="16" t="inlineStr">
        <is>
          <t xml:space="preserve">        107K           107K             2M</t>
        </is>
      </c>
      <c r="O36" s="16" t="inlineStr">
        <is>
          <t>dekNoN3D8mXa4JHLwTbVXz8aPAyJUkk443UjcSpJKi4</t>
        </is>
      </c>
      <c r="P36" s="16">
        <f>HYPERLINK("https://dexscreener.com/solana/dekNoN3D8mXa4JHLwTbVXz8aPAyJUkk443UjcSpJKi4", "View")</f>
        <v/>
      </c>
    </row>
    <row r="37">
      <c r="A37" s="19" t="inlineStr">
        <is>
          <t>YAKUB</t>
        </is>
      </c>
      <c r="B37" s="20" t="n">
        <v>25000</v>
      </c>
      <c r="C37" s="20" t="n">
        <v>25000</v>
      </c>
      <c r="D37" s="20" t="inlineStr">
        <is>
          <t>0.000030</t>
        </is>
      </c>
      <c r="E37" s="20" t="inlineStr">
        <is>
          <t>0.339 SOL</t>
        </is>
      </c>
      <c r="F37" s="20" t="inlineStr">
        <is>
          <t>0.320 SOL</t>
        </is>
      </c>
      <c r="G37" s="21" t="inlineStr">
        <is>
          <t>-0.019 SOL</t>
        </is>
      </c>
      <c r="H37" s="21" t="inlineStr">
        <is>
          <t>-5.56%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08.10.2024 09:19:50</t>
        </is>
      </c>
      <c r="M37" s="20" t="inlineStr">
        <is>
          <t>4 days</t>
        </is>
      </c>
      <c r="N37" s="20" t="inlineStr">
        <is>
          <t xml:space="preserve">          2M             2M             9M</t>
        </is>
      </c>
      <c r="O37" s="20" t="inlineStr">
        <is>
          <t>7iagMTDPfNSR5zVcERT1To7A9eaQoz58dJAh42EMHcCC</t>
        </is>
      </c>
      <c r="P37" s="20">
        <f>HYPERLINK("https://dexscreener.com/solana/7iagMTDPfNSR5zVcERT1To7A9eaQoz58dJAh42EMHcCC", "View")</f>
        <v/>
      </c>
    </row>
    <row r="38">
      <c r="A38" s="15" t="inlineStr">
        <is>
          <t>PUFZ</t>
        </is>
      </c>
      <c r="B38" s="16" t="n">
        <v>474881</v>
      </c>
      <c r="C38" s="16" t="n">
        <v>250679</v>
      </c>
      <c r="D38" s="16" t="inlineStr">
        <is>
          <t>0.000050</t>
        </is>
      </c>
      <c r="E38" s="16" t="inlineStr">
        <is>
          <t>1.897 SOL</t>
        </is>
      </c>
      <c r="F38" s="16" t="inlineStr">
        <is>
          <t>1.000 SOL</t>
        </is>
      </c>
      <c r="G38" s="21" t="inlineStr">
        <is>
          <t>-0.897 SOL</t>
        </is>
      </c>
      <c r="H38" s="21" t="inlineStr">
        <is>
          <t>-47.29%</t>
        </is>
      </c>
      <c r="I38" s="16" t="inlineStr">
        <is>
          <t>N/A</t>
        </is>
      </c>
      <c r="J38" s="16" t="n">
        <v>2</v>
      </c>
      <c r="K38" s="16" t="n">
        <v>1</v>
      </c>
      <c r="L38" s="16" t="inlineStr">
        <is>
          <t>07.10.2024 11:59:12</t>
        </is>
      </c>
      <c r="M38" s="16" t="inlineStr">
        <is>
          <t>25 min</t>
        </is>
      </c>
      <c r="N38" s="16" t="inlineStr">
        <is>
          <t xml:space="preserve">        697K           701K             4K</t>
        </is>
      </c>
      <c r="O38" s="16" t="inlineStr">
        <is>
          <t>AqejiSKvszkpc24PKUR7Pan1vyb9ssDDDQXYm6Z9YaB2</t>
        </is>
      </c>
      <c r="P38" s="16">
        <f>HYPERLINK("https://dexscreener.com/solana/AqejiSKvszkpc24PKUR7Pan1vyb9ssDDDQXYm6Z9YaB2", "View")</f>
        <v/>
      </c>
    </row>
    <row r="39">
      <c r="A39" s="19" t="inlineStr">
        <is>
          <t>CLARK</t>
        </is>
      </c>
      <c r="B39" s="20" t="n">
        <v>100000</v>
      </c>
      <c r="C39" s="20" t="n">
        <v>0</v>
      </c>
      <c r="D39" s="20" t="inlineStr">
        <is>
          <t>0.000130</t>
        </is>
      </c>
      <c r="E39" s="20" t="inlineStr">
        <is>
          <t>0.432 SOL</t>
        </is>
      </c>
      <c r="F39" s="20" t="inlineStr">
        <is>
          <t>0.000 SOL</t>
        </is>
      </c>
      <c r="G39" s="17" t="inlineStr">
        <is>
          <t>-0.432 SOL</t>
        </is>
      </c>
      <c r="H39" s="17" t="inlineStr">
        <is>
          <t>0.00%</t>
        </is>
      </c>
      <c r="I39" s="20" t="inlineStr">
        <is>
          <t>100,000</t>
        </is>
      </c>
      <c r="J39" s="20" t="n">
        <v>1</v>
      </c>
      <c r="K39" s="20" t="n">
        <v>0</v>
      </c>
      <c r="L39" s="20" t="inlineStr">
        <is>
          <t>02.10.2024 17:30:19</t>
        </is>
      </c>
      <c r="M39" s="18" t="inlineStr">
        <is>
          <t>0 sec</t>
        </is>
      </c>
      <c r="N39" s="20" t="inlineStr">
        <is>
          <t xml:space="preserve">        759K           759K            48K</t>
        </is>
      </c>
      <c r="O39" s="20" t="inlineStr">
        <is>
          <t>CoVHTmy5SrNbu4tG25qHPKk6FXJR11BqqZ3Nhd21pump</t>
        </is>
      </c>
      <c r="P39" s="20">
        <f>HYPERLINK("https://dexscreener.com/solana/CoVHTmy5SrNbu4tG25qHPKk6FXJR11BqqZ3Nhd21pump", "View")</f>
        <v/>
      </c>
    </row>
    <row r="40">
      <c r="A40" s="15" t="inlineStr">
        <is>
          <t>Chud</t>
        </is>
      </c>
      <c r="B40" s="16" t="n">
        <v>3250</v>
      </c>
      <c r="C40" s="16" t="n">
        <v>0</v>
      </c>
      <c r="D40" s="16" t="inlineStr">
        <is>
          <t>0.000030</t>
        </is>
      </c>
      <c r="E40" s="16" t="inlineStr">
        <is>
          <t>0.311 SOL</t>
        </is>
      </c>
      <c r="F40" s="16" t="inlineStr">
        <is>
          <t>0.000 SOL</t>
        </is>
      </c>
      <c r="G40" s="17" t="inlineStr">
        <is>
          <t>-0.311 SOL</t>
        </is>
      </c>
      <c r="H40" s="17" t="inlineStr">
        <is>
          <t>0.00%</t>
        </is>
      </c>
      <c r="I40" s="16" t="inlineStr">
        <is>
          <t>3,250</t>
        </is>
      </c>
      <c r="J40" s="16" t="n">
        <v>1</v>
      </c>
      <c r="K40" s="16" t="n">
        <v>0</v>
      </c>
      <c r="L40" s="16" t="inlineStr">
        <is>
          <t>01.10.2024 14:21:27</t>
        </is>
      </c>
      <c r="M40" s="18" t="inlineStr">
        <is>
          <t>0 sec</t>
        </is>
      </c>
      <c r="N40" s="16" t="inlineStr">
        <is>
          <t xml:space="preserve">         16M            16M            14M</t>
        </is>
      </c>
      <c r="O40" s="16" t="inlineStr">
        <is>
          <t>6yjNqPzTSanBWSa6dxVEgTjePXBrZ2FoHLDQwYwEsyM6</t>
        </is>
      </c>
      <c r="P40" s="16">
        <f>HYPERLINK("https://dexscreener.com/solana/6yjNqPzTSanBWSa6dxVEgTjePXBrZ2FoHLDQwYwEsyM6", "View")</f>
        <v/>
      </c>
    </row>
    <row r="41">
      <c r="A41" s="19" t="inlineStr">
        <is>
          <t>if</t>
        </is>
      </c>
      <c r="B41" s="20" t="n">
        <v>182005</v>
      </c>
      <c r="C41" s="20" t="n">
        <v>0</v>
      </c>
      <c r="D41" s="20" t="inlineStr">
        <is>
          <t>0.000020</t>
        </is>
      </c>
      <c r="E41" s="20" t="inlineStr">
        <is>
          <t>0.200 SOL</t>
        </is>
      </c>
      <c r="F41" s="20" t="inlineStr">
        <is>
          <t>0.000 SOL</t>
        </is>
      </c>
      <c r="G41" s="17" t="inlineStr">
        <is>
          <t>-0.200 SOL</t>
        </is>
      </c>
      <c r="H41" s="17" t="inlineStr">
        <is>
          <t>0.00%</t>
        </is>
      </c>
      <c r="I41" s="20" t="inlineStr">
        <is>
          <t>182,005</t>
        </is>
      </c>
      <c r="J41" s="20" t="n">
        <v>1</v>
      </c>
      <c r="K41" s="20" t="n">
        <v>0</v>
      </c>
      <c r="L41" s="20" t="inlineStr">
        <is>
          <t>29.09.2024 14:56:39</t>
        </is>
      </c>
      <c r="M41" s="18" t="inlineStr">
        <is>
          <t>0 sec</t>
        </is>
      </c>
      <c r="N41" s="20" t="inlineStr">
        <is>
          <t xml:space="preserve">        193K           193K           202K</t>
        </is>
      </c>
      <c r="O41" s="20" t="inlineStr">
        <is>
          <t>B2oEUCmCGktPXPkQEzFTPYjnWpUPCotqzaT2eoPopump</t>
        </is>
      </c>
      <c r="P41" s="20">
        <f>HYPERLINK("https://dexscreener.com/solana/B2oEUCmCGktPXPkQEzFTPYjnWpUPCotqzaT2eoPopump", "View")</f>
        <v/>
      </c>
    </row>
    <row r="42">
      <c r="A42" s="15" t="inlineStr">
        <is>
          <t>HAMMY</t>
        </is>
      </c>
      <c r="B42" s="16" t="n">
        <v>2449</v>
      </c>
      <c r="C42" s="16" t="n">
        <v>0</v>
      </c>
      <c r="D42" s="16" t="inlineStr">
        <is>
          <t>0.000020</t>
        </is>
      </c>
      <c r="E42" s="16" t="inlineStr">
        <is>
          <t>0.200 SOL</t>
        </is>
      </c>
      <c r="F42" s="16" t="inlineStr">
        <is>
          <t>0.000 SOL</t>
        </is>
      </c>
      <c r="G42" s="17" t="inlineStr">
        <is>
          <t>-0.200 SOL</t>
        </is>
      </c>
      <c r="H42" s="17" t="inlineStr">
        <is>
          <t>0.00%</t>
        </is>
      </c>
      <c r="I42" s="16" t="inlineStr">
        <is>
          <t>2,449</t>
        </is>
      </c>
      <c r="J42" s="16" t="n">
        <v>1</v>
      </c>
      <c r="K42" s="16" t="n">
        <v>0</v>
      </c>
      <c r="L42" s="16" t="inlineStr">
        <is>
          <t>27.09.2024 14:26:03</t>
        </is>
      </c>
      <c r="M42" s="18" t="inlineStr">
        <is>
          <t>0 sec</t>
        </is>
      </c>
      <c r="N42" s="16" t="inlineStr">
        <is>
          <t xml:space="preserve">         14M            14M            23M</t>
        </is>
      </c>
      <c r="O42" s="16" t="inlineStr">
        <is>
          <t>26KMQVgDUoB6rEfnJ51yAABWWJND8uMtpnQgsHQ64Udr</t>
        </is>
      </c>
      <c r="P42" s="16">
        <f>HYPERLINK("https://dexscreener.com/solana/26KMQVgDUoB6rEfnJ51yAABWWJND8uMtpnQgsHQ64Udr", "View")</f>
        <v/>
      </c>
    </row>
    <row r="43">
      <c r="A43" s="19" t="inlineStr">
        <is>
          <t>XD</t>
        </is>
      </c>
      <c r="B43" s="20" t="n">
        <v>10000</v>
      </c>
      <c r="C43" s="20" t="n">
        <v>7870</v>
      </c>
      <c r="D43" s="20" t="inlineStr">
        <is>
          <t>0.000030</t>
        </is>
      </c>
      <c r="E43" s="20" t="inlineStr">
        <is>
          <t>0.203 SOL</t>
        </is>
      </c>
      <c r="F43" s="20" t="inlineStr">
        <is>
          <t>0.176 SOL</t>
        </is>
      </c>
      <c r="G43" s="21" t="inlineStr">
        <is>
          <t>-0.027 SOL</t>
        </is>
      </c>
      <c r="H43" s="21" t="inlineStr">
        <is>
          <t>-13.17%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27.09.2024 14:22:47</t>
        </is>
      </c>
      <c r="M43" s="20" t="inlineStr">
        <is>
          <t>4 days</t>
        </is>
      </c>
      <c r="N43" s="20" t="inlineStr">
        <is>
          <t xml:space="preserve">          3M             4M             7M</t>
        </is>
      </c>
      <c r="O43" s="20" t="inlineStr">
        <is>
          <t>DEJiPKx5GActUtB6qUssreUxkhXtL4hTQAAJZ7Ccw8se</t>
        </is>
      </c>
      <c r="P43" s="20">
        <f>HYPERLINK("https://dexscreener.com/solana/DEJiPKx5GActUtB6qUssreUxkhXtL4hTQAAJZ7Ccw8se", "View")</f>
        <v/>
      </c>
    </row>
    <row r="44">
      <c r="A44" s="15" t="inlineStr">
        <is>
          <t>MANIFEST</t>
        </is>
      </c>
      <c r="B44" s="16" t="n">
        <v>15000</v>
      </c>
      <c r="C44" s="16" t="n">
        <v>0</v>
      </c>
      <c r="D44" s="16" t="inlineStr">
        <is>
          <t>0.000010</t>
        </is>
      </c>
      <c r="E44" s="16" t="inlineStr">
        <is>
          <t>0.313 SOL</t>
        </is>
      </c>
      <c r="F44" s="16" t="inlineStr">
        <is>
          <t>0.000 SOL</t>
        </is>
      </c>
      <c r="G44" s="17" t="inlineStr">
        <is>
          <t>-0.313 SOL</t>
        </is>
      </c>
      <c r="H44" s="17" t="inlineStr">
        <is>
          <t>0.00%</t>
        </is>
      </c>
      <c r="I44" s="16" t="inlineStr">
        <is>
          <t>15,000</t>
        </is>
      </c>
      <c r="J44" s="16" t="n">
        <v>1</v>
      </c>
      <c r="K44" s="16" t="n">
        <v>0</v>
      </c>
      <c r="L44" s="16" t="inlineStr">
        <is>
          <t>24.09.2024 09:09:33</t>
        </is>
      </c>
      <c r="M44" s="18" t="inlineStr">
        <is>
          <t>0 sec</t>
        </is>
      </c>
      <c r="N44" s="16" t="inlineStr">
        <is>
          <t xml:space="preserve">          4M             4M            12M</t>
        </is>
      </c>
      <c r="O44" s="16" t="inlineStr">
        <is>
          <t>6cvrZWgEUkr82yKAmxp5cQu7wgYYBPULf16EUBp4pump</t>
        </is>
      </c>
      <c r="P44" s="16">
        <f>HYPERLINK("https://dexscreener.com/solana/6cvrZWgEUkr82yKAmxp5cQu7wgYYBPULf16EUBp4pump", "View")</f>
        <v/>
      </c>
    </row>
    <row r="45">
      <c r="A45" s="19" t="inlineStr">
        <is>
          <t>neil</t>
        </is>
      </c>
      <c r="B45" s="20" t="n">
        <v>200000</v>
      </c>
      <c r="C45" s="20" t="n">
        <v>200000</v>
      </c>
      <c r="D45" s="20" t="inlineStr">
        <is>
          <t>0.000190</t>
        </is>
      </c>
      <c r="E45" s="20" t="inlineStr">
        <is>
          <t>0.269 SOL</t>
        </is>
      </c>
      <c r="F45" s="20" t="inlineStr">
        <is>
          <t>0.093 SOL</t>
        </is>
      </c>
      <c r="G45" s="24" t="inlineStr">
        <is>
          <t>-0.176 SOL</t>
        </is>
      </c>
      <c r="H45" s="24" t="inlineStr">
        <is>
          <t>-65.27%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21.09.2024 22:11:40</t>
        </is>
      </c>
      <c r="M45" s="20" t="inlineStr">
        <is>
          <t>1 days</t>
        </is>
      </c>
      <c r="N45" s="20" t="inlineStr">
        <is>
          <t xml:space="preserve">        235K            83K            13K</t>
        </is>
      </c>
      <c r="O45" s="20" t="inlineStr">
        <is>
          <t>37AJ6VGLvN4tCMW4sgpH4ADxpFMtdSfQbgvwBboRpump</t>
        </is>
      </c>
      <c r="P45" s="20">
        <f>HYPERLINK("https://dexscreener.com/solana/37AJ6VGLvN4tCMW4sgpH4ADxpFMtdSfQbgvwBboRpump", "View")</f>
        <v/>
      </c>
    </row>
    <row r="46">
      <c r="A46" s="15" t="inlineStr">
        <is>
          <t>aura</t>
        </is>
      </c>
      <c r="B46" s="16" t="n">
        <v>4115</v>
      </c>
      <c r="C46" s="16" t="n">
        <v>0</v>
      </c>
      <c r="D46" s="16" t="inlineStr">
        <is>
          <t>0.000280</t>
        </is>
      </c>
      <c r="E46" s="16" t="inlineStr">
        <is>
          <t>0.400 SOL</t>
        </is>
      </c>
      <c r="F46" s="16" t="inlineStr">
        <is>
          <t>0.000 SOL</t>
        </is>
      </c>
      <c r="G46" s="17" t="inlineStr">
        <is>
          <t>-0.400 SOL</t>
        </is>
      </c>
      <c r="H46" s="17" t="inlineStr">
        <is>
          <t>0.00%</t>
        </is>
      </c>
      <c r="I46" s="16" t="inlineStr">
        <is>
          <t>4,115</t>
        </is>
      </c>
      <c r="J46" s="16" t="n">
        <v>1</v>
      </c>
      <c r="K46" s="16" t="n">
        <v>0</v>
      </c>
      <c r="L46" s="16" t="inlineStr">
        <is>
          <t>19.09.2024 16:09:03</t>
        </is>
      </c>
      <c r="M46" s="18" t="inlineStr">
        <is>
          <t>0 sec</t>
        </is>
      </c>
      <c r="N46" s="16" t="inlineStr">
        <is>
          <t xml:space="preserve">         16M            16M            21M</t>
        </is>
      </c>
      <c r="O46" s="16" t="inlineStr">
        <is>
          <t>DtR4D9FtVoTX2569gaL837ZgrB6wNjj6tkmnX9Rdk9B2</t>
        </is>
      </c>
      <c r="P46" s="16">
        <f>HYPERLINK("https://dexscreener.com/solana/DtR4D9FtVoTX2569gaL837ZgrB6wNjj6tkmnX9Rdk9B2", "View")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6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HYPERLINK("https://gmgn.ai/sol/address/5FNw37moEMV7KVqY6kC7gDR3xBFzDR1h3yJ1uggm25at", "GMGN")</f>
        <v/>
      </c>
    </row>
    <row r="2">
      <c r="A2" s="3" t="inlineStr">
        <is>
          <t>5FNw37moEMV7KVqY6kC7gDR3xBFzDR1h3yJ1uggm25at</t>
        </is>
      </c>
      <c r="B2" s="3" t="inlineStr">
        <is>
          <t>83.02 SOL</t>
        </is>
      </c>
      <c r="C2" s="3" t="inlineStr">
        <is>
          <t>42%</t>
        </is>
      </c>
      <c r="D2" s="3" t="inlineStr">
        <is>
          <t>30%</t>
        </is>
      </c>
      <c r="E2" s="3" t="inlineStr">
        <is>
          <t>38.24 SOL</t>
        </is>
      </c>
      <c r="F2" s="3" t="inlineStr">
        <is>
          <t>7 (15%)</t>
        </is>
      </c>
      <c r="G2" s="3" t="inlineStr">
        <is>
          <t>0 (0%)</t>
        </is>
      </c>
      <c r="H2" s="3" t="n">
        <v>48</v>
      </c>
      <c r="I2" s="3" t="n">
        <v>0</v>
      </c>
      <c r="J2" s="3" t="inlineStr">
        <is>
          <t>52 days</t>
        </is>
      </c>
      <c r="K2" s="3" t="inlineStr">
        <is>
          <t>25 min</t>
        </is>
      </c>
      <c r="L2" s="3" t="n">
        <v>29</v>
      </c>
      <c r="M2" s="3" t="n">
        <v>31</v>
      </c>
      <c r="N2" s="3">
        <f>HYPERLINK("https://solscan.io/account/5FNw37moEMV7KVqY6kC7gDR3xBFzDR1h3yJ1uggm25at", "Solscan")</f>
        <v/>
      </c>
    </row>
    <row r="3">
      <c r="A3" s="6" t="inlineStr">
        <is>
          <t>Median ROI</t>
        </is>
      </c>
      <c r="B3" s="5" t="inlineStr">
        <is>
          <t>-14.49%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HYPERLINK("https://birdeye.so/profile/5FNw37moEMV7KVqY6kC7gDR3xBFzDR1h3yJ1uggm25at", "Birdeye")</f>
        <v/>
      </c>
    </row>
    <row r="4">
      <c r="A4" s="6" t="inlineStr">
        <is>
          <t>Rockets percent</t>
        </is>
      </c>
      <c r="B4" s="3" t="inlineStr">
        <is>
          <t>17%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55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1.6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5</v>
      </c>
      <c r="D10" s="6" t="n">
        <v>3</v>
      </c>
      <c r="E10" s="6" t="n">
        <v>9</v>
      </c>
      <c r="F10" s="6" t="n">
        <v>14</v>
      </c>
      <c r="G10" s="6" t="n">
        <v>14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6.2%</t>
        </is>
      </c>
      <c r="C11" s="6" t="inlineStr">
        <is>
          <t>10.4%</t>
        </is>
      </c>
      <c r="D11" s="6" t="inlineStr">
        <is>
          <t>6.2%</t>
        </is>
      </c>
      <c r="E11" s="6" t="inlineStr">
        <is>
          <t>18.8%</t>
        </is>
      </c>
      <c r="F11" s="6" t="inlineStr">
        <is>
          <t>29.2%</t>
        </is>
      </c>
      <c r="G11" s="6" t="inlineStr">
        <is>
          <t>29.2%</t>
        </is>
      </c>
      <c r="H11" s="3" t="n"/>
      <c r="I11" s="3" t="inlineStr">
        <is>
          <t>5k-30k</t>
        </is>
      </c>
      <c r="J11" s="3" t="inlineStr">
        <is>
          <t>18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40.8 SOL</t>
        </is>
      </c>
      <c r="C12" s="6" t="inlineStr">
        <is>
          <t>13.7 SOL</t>
        </is>
      </c>
      <c r="D12" s="6" t="inlineStr">
        <is>
          <t>1.7 SOL</t>
        </is>
      </c>
      <c r="E12" s="6" t="inlineStr">
        <is>
          <t>8.1 SOL</t>
        </is>
      </c>
      <c r="F12" s="6" t="inlineStr">
        <is>
          <t>-7.5 SOL</t>
        </is>
      </c>
      <c r="G12" s="6" t="inlineStr">
        <is>
          <t>-18.5 SOL</t>
        </is>
      </c>
      <c r="H12" s="3" t="n"/>
      <c r="I12" s="3" t="inlineStr">
        <is>
          <t>30k-100k</t>
        </is>
      </c>
      <c r="J12" s="3" t="inlineStr">
        <is>
          <t>7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8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5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34.0K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CICADA</t>
        </is>
      </c>
      <c r="B20" s="16" t="n">
        <v>18037912</v>
      </c>
      <c r="C20" s="16" t="n">
        <v>18037912</v>
      </c>
      <c r="D20" s="16" t="inlineStr">
        <is>
          <t>0.050010</t>
        </is>
      </c>
      <c r="E20" s="16" t="inlineStr">
        <is>
          <t>1.067 SOL</t>
        </is>
      </c>
      <c r="F20" s="16" t="inlineStr">
        <is>
          <t>1.660 SOL</t>
        </is>
      </c>
      <c r="G20" s="22" t="inlineStr">
        <is>
          <t>0.543 SOL</t>
        </is>
      </c>
      <c r="H20" s="22" t="inlineStr">
        <is>
          <t>48.62%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05:17:26</t>
        </is>
      </c>
      <c r="M20" s="18" t="inlineStr">
        <is>
          <t>47 sec</t>
        </is>
      </c>
      <c r="N20" s="16" t="inlineStr">
        <is>
          <t xml:space="preserve">         11K            16K             5K</t>
        </is>
      </c>
      <c r="O20" s="16" t="inlineStr">
        <is>
          <t>5rnrdS2o7hyGq3GGXWK7aZwEqo46kiAHbEB6rDyypump</t>
        </is>
      </c>
      <c r="P20" s="16">
        <f>HYPERLINK("https://photon-sol.tinyastro.io/en/lp/5rnrdS2o7hyGq3GGXWK7aZwEqo46kiAHbEB6rDyypump?handle=676050794bc1b1657a56b", "View")</f>
        <v/>
      </c>
    </row>
    <row r="21">
      <c r="A21" s="19" t="inlineStr">
        <is>
          <t>KERMIT</t>
        </is>
      </c>
      <c r="B21" s="20" t="n">
        <v>9786079</v>
      </c>
      <c r="C21" s="20" t="n">
        <v>9786079</v>
      </c>
      <c r="D21" s="20" t="inlineStr">
        <is>
          <t>0.050010</t>
        </is>
      </c>
      <c r="E21" s="20" t="inlineStr">
        <is>
          <t>0.558 SOL</t>
        </is>
      </c>
      <c r="F21" s="20" t="inlineStr">
        <is>
          <t>0.611 SOL</t>
        </is>
      </c>
      <c r="G21" s="22" t="inlineStr">
        <is>
          <t>0.003 SOL</t>
        </is>
      </c>
      <c r="H21" s="22" t="inlineStr">
        <is>
          <t>0.46%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04:41:00</t>
        </is>
      </c>
      <c r="M21" s="20" t="inlineStr">
        <is>
          <t>1 min</t>
        </is>
      </c>
      <c r="N21" s="20" t="inlineStr">
        <is>
          <t xml:space="preserve">         11K            11K             5K</t>
        </is>
      </c>
      <c r="O21" s="20" t="inlineStr">
        <is>
          <t>8bLxsNrr73K44BgtAFnE5bQkbxMrjv1Y6gLD5SWcpump</t>
        </is>
      </c>
      <c r="P21" s="20">
        <f>HYPERLINK("https://photon-sol.tinyastro.io/en/lp/8bLxsNrr73K44BgtAFnE5bQkbxMrjv1Y6gLD5SWcpump?handle=676050794bc1b1657a56b", "View")</f>
        <v/>
      </c>
    </row>
    <row r="22">
      <c r="A22" s="15" t="inlineStr">
        <is>
          <t>MONKEY</t>
        </is>
      </c>
      <c r="B22" s="16" t="n">
        <v>2762492</v>
      </c>
      <c r="C22" s="16" t="n">
        <v>2762492</v>
      </c>
      <c r="D22" s="16" t="inlineStr">
        <is>
          <t>0.050010</t>
        </is>
      </c>
      <c r="E22" s="16" t="inlineStr">
        <is>
          <t>0.329 SOL</t>
        </is>
      </c>
      <c r="F22" s="16" t="inlineStr">
        <is>
          <t>0.316 SOL</t>
        </is>
      </c>
      <c r="G22" s="21" t="inlineStr">
        <is>
          <t>-0.063 SOL</t>
        </is>
      </c>
      <c r="H22" s="21" t="inlineStr">
        <is>
          <t>-16.63%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02:42:43</t>
        </is>
      </c>
      <c r="M22" s="16" t="inlineStr">
        <is>
          <t>47 min</t>
        </is>
      </c>
      <c r="N22" s="16" t="inlineStr">
        <is>
          <t xml:space="preserve">         21K            21K             3K</t>
        </is>
      </c>
      <c r="O22" s="16" t="inlineStr">
        <is>
          <t>EKHqneY5hYrMH7Vn8SnTFGrXcuNpBsRm2tzRqsxqpump</t>
        </is>
      </c>
      <c r="P22" s="16">
        <f>HYPERLINK("https://photon-sol.tinyastro.io/en/lp/EKHqneY5hYrMH7Vn8SnTFGrXcuNpBsRm2tzRqsxqpump?handle=676050794bc1b1657a56b", "View")</f>
        <v/>
      </c>
    </row>
    <row r="23">
      <c r="A23" s="19" t="inlineStr">
        <is>
          <t>NUTBUTT</t>
        </is>
      </c>
      <c r="B23" s="20" t="n">
        <v>3442699</v>
      </c>
      <c r="C23" s="20" t="n">
        <v>3442699</v>
      </c>
      <c r="D23" s="20" t="inlineStr">
        <is>
          <t>0.050010</t>
        </is>
      </c>
      <c r="E23" s="20" t="inlineStr">
        <is>
          <t>2.000 SOL</t>
        </is>
      </c>
      <c r="F23" s="20" t="inlineStr">
        <is>
          <t>2.083 SOL</t>
        </is>
      </c>
      <c r="G23" s="22" t="inlineStr">
        <is>
          <t>0.033 SOL</t>
        </is>
      </c>
      <c r="H23" s="22" t="inlineStr">
        <is>
          <t>1.60%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01:54:45</t>
        </is>
      </c>
      <c r="M23" s="18" t="inlineStr">
        <is>
          <t>31 sec</t>
        </is>
      </c>
      <c r="N23" s="20" t="inlineStr">
        <is>
          <t xml:space="preserve">        102K           105K           657K</t>
        </is>
      </c>
      <c r="O23" s="20" t="inlineStr">
        <is>
          <t>CFBYjzT357obRmihT9F5uyCY3kqgksRvXKM3RJN1pump</t>
        </is>
      </c>
      <c r="P23" s="20">
        <f>HYPERLINK("https://dexscreener.com/solana/CFBYjzT357obRmihT9F5uyCY3kqgksRvXKM3RJN1pump", "View")</f>
        <v/>
      </c>
    </row>
    <row r="24">
      <c r="A24" s="15" t="inlineStr">
        <is>
          <t>$FF</t>
        </is>
      </c>
      <c r="B24" s="16" t="n">
        <v>1138095</v>
      </c>
      <c r="C24" s="16" t="n">
        <v>1138095</v>
      </c>
      <c r="D24" s="16" t="inlineStr">
        <is>
          <t>0.050010</t>
        </is>
      </c>
      <c r="E24" s="16" t="inlineStr">
        <is>
          <t>20.000 SOL</t>
        </is>
      </c>
      <c r="F24" s="16" t="inlineStr">
        <is>
          <t>25.478 SOL</t>
        </is>
      </c>
      <c r="G24" s="22" t="inlineStr">
        <is>
          <t>5.428 SOL</t>
        </is>
      </c>
      <c r="H24" s="22" t="inlineStr">
        <is>
          <t>27.07%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18:53:25</t>
        </is>
      </c>
      <c r="M24" s="16" t="inlineStr">
        <is>
          <t>15 min</t>
        </is>
      </c>
      <c r="N24" s="16" t="inlineStr">
        <is>
          <t xml:space="preserve">          3M             4M           647K</t>
        </is>
      </c>
      <c r="O24" s="16" t="inlineStr">
        <is>
          <t>DqWbfzoFmZPrrQP7MdqYvwZbCkBNu2fSSaJqUrqEVYyX</t>
        </is>
      </c>
      <c r="P24" s="16">
        <f>HYPERLINK("https://dexscreener.com/solana/DqWbfzoFmZPrrQP7MdqYvwZbCkBNu2fSSaJqUrqEVYyX", "View")</f>
        <v/>
      </c>
    </row>
    <row r="25">
      <c r="A25" s="19" t="inlineStr">
        <is>
          <t>LONGCAT</t>
        </is>
      </c>
      <c r="B25" s="20" t="n">
        <v>15469665</v>
      </c>
      <c r="C25" s="20" t="n">
        <v>15469665</v>
      </c>
      <c r="D25" s="20" t="inlineStr">
        <is>
          <t>0.050010</t>
        </is>
      </c>
      <c r="E25" s="20" t="inlineStr">
        <is>
          <t>0.586 SOL</t>
        </is>
      </c>
      <c r="F25" s="20" t="inlineStr">
        <is>
          <t>1.233 SOL</t>
        </is>
      </c>
      <c r="G25" s="23" t="inlineStr">
        <is>
          <t>0.597 SOL</t>
        </is>
      </c>
      <c r="H25" s="23" t="inlineStr">
        <is>
          <t>93.91%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29.10.2024 05:41:18</t>
        </is>
      </c>
      <c r="M25" s="18" t="inlineStr">
        <is>
          <t>34 sec</t>
        </is>
      </c>
      <c r="N25" s="20" t="inlineStr">
        <is>
          <t xml:space="preserve">          7K            14K             5K</t>
        </is>
      </c>
      <c r="O25" s="20" t="inlineStr">
        <is>
          <t>ARsKsw5eBtihJ3JDyX7qfsiLXNHaRA7Box8Ct2RPpump</t>
        </is>
      </c>
      <c r="P25" s="20">
        <f>HYPERLINK("https://photon-sol.tinyastro.io/en/lp/ARsKsw5eBtihJ3JDyX7qfsiLXNHaRA7Box8Ct2RPpump?handle=676050794bc1b1657a56b", "View")</f>
        <v/>
      </c>
    </row>
    <row r="26">
      <c r="A26" s="15" t="inlineStr">
        <is>
          <t>DUCKHEAD</t>
        </is>
      </c>
      <c r="B26" s="16" t="n">
        <v>26070615</v>
      </c>
      <c r="C26" s="16" t="n">
        <v>26070615</v>
      </c>
      <c r="D26" s="16" t="inlineStr">
        <is>
          <t>0.050010</t>
        </is>
      </c>
      <c r="E26" s="16" t="inlineStr">
        <is>
          <t>5.000 SOL</t>
        </is>
      </c>
      <c r="F26" s="16" t="inlineStr">
        <is>
          <t>5.843 SOL</t>
        </is>
      </c>
      <c r="G26" s="22" t="inlineStr">
        <is>
          <t>0.793 SOL</t>
        </is>
      </c>
      <c r="H26" s="22" t="inlineStr">
        <is>
          <t>15.70%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28.10.2024 18:16:11</t>
        </is>
      </c>
      <c r="M26" s="18" t="inlineStr">
        <is>
          <t>20 sec</t>
        </is>
      </c>
      <c r="N26" s="16" t="inlineStr">
        <is>
          <t xml:space="preserve">         33K            39K             4K</t>
        </is>
      </c>
      <c r="O26" s="16" t="inlineStr">
        <is>
          <t>8udpTqbwD9JrFM9idC311xKPGtuFGzti65hZvXrmpump</t>
        </is>
      </c>
      <c r="P26" s="16">
        <f>HYPERLINK("https://dexscreener.com/solana/8udpTqbwD9JrFM9idC311xKPGtuFGzti65hZvXrmpump", "View")</f>
        <v/>
      </c>
    </row>
    <row r="27">
      <c r="A27" s="19" t="inlineStr">
        <is>
          <t>LILY</t>
        </is>
      </c>
      <c r="B27" s="20" t="n">
        <v>688137</v>
      </c>
      <c r="C27" s="20" t="n">
        <v>688137</v>
      </c>
      <c r="D27" s="20" t="inlineStr">
        <is>
          <t>0.070040</t>
        </is>
      </c>
      <c r="E27" s="20" t="inlineStr">
        <is>
          <t>11.000 SOL</t>
        </is>
      </c>
      <c r="F27" s="20" t="inlineStr">
        <is>
          <t>9.812 SOL</t>
        </is>
      </c>
      <c r="G27" s="21" t="inlineStr">
        <is>
          <t>-1.258 SOL</t>
        </is>
      </c>
      <c r="H27" s="21" t="inlineStr">
        <is>
          <t>-11.36%</t>
        </is>
      </c>
      <c r="I27" s="20" t="inlineStr">
        <is>
          <t>N/A</t>
        </is>
      </c>
      <c r="J27" s="20" t="n">
        <v>4</v>
      </c>
      <c r="K27" s="20" t="n">
        <v>3</v>
      </c>
      <c r="L27" s="20" t="inlineStr">
        <is>
          <t>24.10.2024 19:44:12</t>
        </is>
      </c>
      <c r="M27" s="20" t="inlineStr">
        <is>
          <t>10 days</t>
        </is>
      </c>
      <c r="N27" s="20" t="inlineStr">
        <is>
          <t xml:space="preserve">        N/A           N/A           N/A</t>
        </is>
      </c>
      <c r="O27" s="20" t="inlineStr">
        <is>
          <t>9o81cWB4kAWZ1hxxpakTsCTorJAwehPtxDKxMA564poi</t>
        </is>
      </c>
      <c r="P27" s="20">
        <f>HYPERLINK("https://dexscreener.com/solana/9o81cWB4kAWZ1hxxpakTsCTorJAwehPtxDKxMA564poi", "View")</f>
        <v/>
      </c>
    </row>
    <row r="28">
      <c r="A28" s="15" t="inlineStr">
        <is>
          <t>GARY</t>
        </is>
      </c>
      <c r="B28" s="16" t="n">
        <v>9369940</v>
      </c>
      <c r="C28" s="16" t="n">
        <v>9369940</v>
      </c>
      <c r="D28" s="16" t="inlineStr">
        <is>
          <t>0.050010</t>
        </is>
      </c>
      <c r="E28" s="16" t="inlineStr">
        <is>
          <t>1.424 SOL</t>
        </is>
      </c>
      <c r="F28" s="16" t="inlineStr">
        <is>
          <t>0.210 SOL</t>
        </is>
      </c>
      <c r="G28" s="24" t="inlineStr">
        <is>
          <t>-1.264 SOL</t>
        </is>
      </c>
      <c r="H28" s="24" t="inlineStr">
        <is>
          <t>-85.75%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24.10.2024 19:43:59</t>
        </is>
      </c>
      <c r="M28" s="16" t="inlineStr">
        <is>
          <t>17 hours</t>
        </is>
      </c>
      <c r="N28" s="16" t="inlineStr">
        <is>
          <t xml:space="preserve">         26K            26K             4K</t>
        </is>
      </c>
      <c r="O28" s="16" t="inlineStr">
        <is>
          <t>EU76bzoa5zeJtXNu5W5s5hf3dfVHhwCcK1Hf8oWqpump</t>
        </is>
      </c>
      <c r="P28" s="16">
        <f>HYPERLINK("https://photon-sol.tinyastro.io/en/lp/EU76bzoa5zeJtXNu5W5s5hf3dfVHhwCcK1Hf8oWqpump?handle=676050794bc1b1657a56b", "View")</f>
        <v/>
      </c>
    </row>
    <row r="29">
      <c r="A29" s="19" t="inlineStr">
        <is>
          <t>Wang</t>
        </is>
      </c>
      <c r="B29" s="20" t="n">
        <v>1111028</v>
      </c>
      <c r="C29" s="20" t="n">
        <v>1111028</v>
      </c>
      <c r="D29" s="20" t="inlineStr">
        <is>
          <t>0.050010</t>
        </is>
      </c>
      <c r="E29" s="20" t="inlineStr">
        <is>
          <t>0.500 SOL</t>
        </is>
      </c>
      <c r="F29" s="20" t="inlineStr">
        <is>
          <t>0.119 SOL</t>
        </is>
      </c>
      <c r="G29" s="24" t="inlineStr">
        <is>
          <t>-0.431 SOL</t>
        </is>
      </c>
      <c r="H29" s="24" t="inlineStr">
        <is>
          <t>-78.40%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24.10.2024 19:39:26</t>
        </is>
      </c>
      <c r="M29" s="18" t="inlineStr">
        <is>
          <t>56 sec</t>
        </is>
      </c>
      <c r="N29" s="20" t="inlineStr">
        <is>
          <t xml:space="preserve">         75K            18K             3K</t>
        </is>
      </c>
      <c r="O29" s="20" t="inlineStr">
        <is>
          <t>FtTCSrm5cyu8jRA6Gdyzt6Wmp5T1FsCEZXXufY77pump</t>
        </is>
      </c>
      <c r="P29" s="20">
        <f>HYPERLINK("https://dexscreener.com/solana/FtTCSrm5cyu8jRA6Gdyzt6Wmp5T1FsCEZXXufY77pump", "View")</f>
        <v/>
      </c>
    </row>
    <row r="30">
      <c r="A30" s="15" t="inlineStr">
        <is>
          <t>DBABY</t>
        </is>
      </c>
      <c r="B30" s="16" t="n">
        <v>12474560</v>
      </c>
      <c r="C30" s="16" t="n">
        <v>12474560</v>
      </c>
      <c r="D30" s="16" t="inlineStr">
        <is>
          <t>0.050010</t>
        </is>
      </c>
      <c r="E30" s="16" t="inlineStr">
        <is>
          <t>1.091 SOL</t>
        </is>
      </c>
      <c r="F30" s="16" t="inlineStr">
        <is>
          <t>1.287 SOL</t>
        </is>
      </c>
      <c r="G30" s="22" t="inlineStr">
        <is>
          <t>0.146 SOL</t>
        </is>
      </c>
      <c r="H30" s="22" t="inlineStr">
        <is>
          <t>12.79%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24.10.2024 03:54:54</t>
        </is>
      </c>
      <c r="M30" s="16" t="inlineStr">
        <is>
          <t>17 min</t>
        </is>
      </c>
      <c r="N30" s="16" t="inlineStr">
        <is>
          <t xml:space="preserve">         16K            16K             6K</t>
        </is>
      </c>
      <c r="O30" s="16" t="inlineStr">
        <is>
          <t>Az5kXAMsNbpdgpm4X3JNBxTtDLuyhetJeL5Wy3ropump</t>
        </is>
      </c>
      <c r="P30" s="16">
        <f>HYPERLINK("https://photon-sol.tinyastro.io/en/lp/Az5kXAMsNbpdgpm4X3JNBxTtDLuyhetJeL5Wy3ropump?handle=676050794bc1b1657a56b", "View")</f>
        <v/>
      </c>
    </row>
    <row r="31">
      <c r="A31" s="19" t="inlineStr">
        <is>
          <t>APOKI</t>
        </is>
      </c>
      <c r="B31" s="20" t="n">
        <v>9332706</v>
      </c>
      <c r="C31" s="20" t="n">
        <v>9332706</v>
      </c>
      <c r="D31" s="20" t="inlineStr">
        <is>
          <t>0.090010</t>
        </is>
      </c>
      <c r="E31" s="20" t="inlineStr">
        <is>
          <t>1.716 SOL</t>
        </is>
      </c>
      <c r="F31" s="20" t="inlineStr">
        <is>
          <t>0.703 SOL</t>
        </is>
      </c>
      <c r="G31" s="24" t="inlineStr">
        <is>
          <t>-1.103 SOL</t>
        </is>
      </c>
      <c r="H31" s="24" t="inlineStr">
        <is>
          <t>-61.07%</t>
        </is>
      </c>
      <c r="I31" s="20" t="inlineStr">
        <is>
          <t>N/A</t>
        </is>
      </c>
      <c r="J31" s="20" t="n">
        <v>2</v>
      </c>
      <c r="K31" s="20" t="n">
        <v>1</v>
      </c>
      <c r="L31" s="20" t="inlineStr">
        <is>
          <t>23.10.2024 20:47:38</t>
        </is>
      </c>
      <c r="M31" s="20" t="inlineStr">
        <is>
          <t>4 hours</t>
        </is>
      </c>
      <c r="N31" s="20" t="inlineStr">
        <is>
          <t xml:space="preserve">        N/A           N/A           N/A</t>
        </is>
      </c>
      <c r="O31" s="20" t="inlineStr">
        <is>
          <t>AJoWXH9PEJkWxHnByLWcKEuSfG3eHGoJiCtHo7Xbpump</t>
        </is>
      </c>
      <c r="P31" s="20">
        <f>HYPERLINK("https://photon-sol.tinyastro.io/en/lp/AJoWXH9PEJkWxHnByLWcKEuSfG3eHGoJiCtHo7Xbpump?handle=676050794bc1b1657a56b", "View")</f>
        <v/>
      </c>
    </row>
    <row r="32">
      <c r="A32" s="15" t="inlineStr">
        <is>
          <t>FurryAI</t>
        </is>
      </c>
      <c r="B32" s="16" t="n">
        <v>823722</v>
      </c>
      <c r="C32" s="16" t="n">
        <v>823722</v>
      </c>
      <c r="D32" s="16" t="inlineStr">
        <is>
          <t>0.050010</t>
        </is>
      </c>
      <c r="E32" s="16" t="inlineStr">
        <is>
          <t>3.000 SOL</t>
        </is>
      </c>
      <c r="F32" s="16" t="inlineStr">
        <is>
          <t>2.003 SOL</t>
        </is>
      </c>
      <c r="G32" s="21" t="inlineStr">
        <is>
          <t>-1.047 SOL</t>
        </is>
      </c>
      <c r="H32" s="21" t="inlineStr">
        <is>
          <t>-34.32%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23.10.2024 18:50:50</t>
        </is>
      </c>
      <c r="M32" s="16" t="inlineStr">
        <is>
          <t>3 min</t>
        </is>
      </c>
      <c r="N32" s="16" t="inlineStr">
        <is>
          <t xml:space="preserve">        639K           427K            19K</t>
        </is>
      </c>
      <c r="O32" s="16" t="inlineStr">
        <is>
          <t>9LfMC4nKssr3wg1iAdBPXt97AQ1sFJBLVdP8UDHmpump</t>
        </is>
      </c>
      <c r="P32" s="16">
        <f>HYPERLINK("https://dexscreener.com/solana/9LfMC4nKssr3wg1iAdBPXt97AQ1sFJBLVdP8UDHmpump", "View")</f>
        <v/>
      </c>
    </row>
    <row r="33">
      <c r="A33" s="19" t="inlineStr">
        <is>
          <t>HORSE</t>
        </is>
      </c>
      <c r="B33" s="20" t="n">
        <v>28661993</v>
      </c>
      <c r="C33" s="20" t="n">
        <v>28661993</v>
      </c>
      <c r="D33" s="20" t="inlineStr">
        <is>
          <t>0.050010</t>
        </is>
      </c>
      <c r="E33" s="20" t="inlineStr">
        <is>
          <t>1.486 SOL</t>
        </is>
      </c>
      <c r="F33" s="20" t="inlineStr">
        <is>
          <t>5.111 SOL</t>
        </is>
      </c>
      <c r="G33" s="23" t="inlineStr">
        <is>
          <t>3.574 SOL</t>
        </is>
      </c>
      <c r="H33" s="23" t="inlineStr">
        <is>
          <t>232.69%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23.10.2024 05:32:24</t>
        </is>
      </c>
      <c r="M33" s="18" t="inlineStr">
        <is>
          <t>32 sec</t>
        </is>
      </c>
      <c r="N33" s="20" t="inlineStr">
        <is>
          <t xml:space="preserve">          9K            32K             5K</t>
        </is>
      </c>
      <c r="O33" s="20" t="inlineStr">
        <is>
          <t>9a1eFxKPBzK5Nh28ArSi3TjoQE9VJnBALWccwRoJpump</t>
        </is>
      </c>
      <c r="P33" s="20">
        <f>HYPERLINK("https://photon-sol.tinyastro.io/en/lp/9a1eFxKPBzK5Nh28ArSi3TjoQE9VJnBALWccwRoJpump?handle=676050794bc1b1657a56b", "View")</f>
        <v/>
      </c>
    </row>
    <row r="34">
      <c r="A34" s="15" t="inlineStr">
        <is>
          <t>Swaggy</t>
        </is>
      </c>
      <c r="B34" s="16" t="n">
        <v>19820315</v>
      </c>
      <c r="C34" s="16" t="n">
        <v>19820315</v>
      </c>
      <c r="D34" s="16" t="inlineStr">
        <is>
          <t>0.100020</t>
        </is>
      </c>
      <c r="E34" s="16" t="inlineStr">
        <is>
          <t>12.000 SOL</t>
        </is>
      </c>
      <c r="F34" s="16" t="inlineStr">
        <is>
          <t>11.911 SOL</t>
        </is>
      </c>
      <c r="G34" s="21" t="inlineStr">
        <is>
          <t>-0.189 SOL</t>
        </is>
      </c>
      <c r="H34" s="21" t="inlineStr">
        <is>
          <t>-1.56%</t>
        </is>
      </c>
      <c r="I34" s="16" t="inlineStr">
        <is>
          <t>N/A</t>
        </is>
      </c>
      <c r="J34" s="16" t="n">
        <v>2</v>
      </c>
      <c r="K34" s="16" t="n">
        <v>2</v>
      </c>
      <c r="L34" s="16" t="inlineStr">
        <is>
          <t>23.10.2024 03:15:32</t>
        </is>
      </c>
      <c r="M34" s="16" t="inlineStr">
        <is>
          <t>2 hours</t>
        </is>
      </c>
      <c r="N34" s="16" t="inlineStr">
        <is>
          <t xml:space="preserve">        107K           104K            12K</t>
        </is>
      </c>
      <c r="O34" s="16" t="inlineStr">
        <is>
          <t>PeSuezqPQbB5k8F4Ew2hWoSjZxf1qKdEbri35s1pump</t>
        </is>
      </c>
      <c r="P34" s="16">
        <f>HYPERLINK("https://dexscreener.com/solana/PeSuezqPQbB5k8F4Ew2hWoSjZxf1qKdEbri35s1pump", "View")</f>
        <v/>
      </c>
    </row>
    <row r="35">
      <c r="A35" s="19" t="inlineStr">
        <is>
          <t>CLIPPY</t>
        </is>
      </c>
      <c r="B35" s="20" t="n">
        <v>28661993</v>
      </c>
      <c r="C35" s="20" t="n">
        <v>28661993</v>
      </c>
      <c r="D35" s="20" t="inlineStr">
        <is>
          <t>0.060010</t>
        </is>
      </c>
      <c r="E35" s="20" t="inlineStr">
        <is>
          <t>1.524 SOL</t>
        </is>
      </c>
      <c r="F35" s="20" t="inlineStr">
        <is>
          <t>5.143 SOL</t>
        </is>
      </c>
      <c r="G35" s="23" t="inlineStr">
        <is>
          <t>3.559 SOL</t>
        </is>
      </c>
      <c r="H35" s="23" t="inlineStr">
        <is>
          <t>224.60%</t>
        </is>
      </c>
      <c r="I35" s="20" t="inlineStr">
        <is>
          <t>N/A</t>
        </is>
      </c>
      <c r="J35" s="20" t="n">
        <v>1</v>
      </c>
      <c r="K35" s="20" t="n">
        <v>2</v>
      </c>
      <c r="L35" s="20" t="inlineStr">
        <is>
          <t>22.10.2024 08:15:01</t>
        </is>
      </c>
      <c r="M35" s="20" t="inlineStr">
        <is>
          <t>21 min</t>
        </is>
      </c>
      <c r="N35" s="20" t="inlineStr">
        <is>
          <t xml:space="preserve">          9K            11K             4K</t>
        </is>
      </c>
      <c r="O35" s="20" t="inlineStr">
        <is>
          <t>FnNgTcbRNWAUt4ubGRckrMFJivdg5YjwU8fwvjtYpump</t>
        </is>
      </c>
      <c r="P35" s="20">
        <f>HYPERLINK("https://photon-sol.tinyastro.io/en/lp/FnNgTcbRNWAUt4ubGRckrMFJivdg5YjwU8fwvjtYpump?handle=676050794bc1b1657a56b", "View")</f>
        <v/>
      </c>
    </row>
    <row r="36">
      <c r="A36" s="15" t="inlineStr">
        <is>
          <t>Simba</t>
        </is>
      </c>
      <c r="B36" s="16" t="n">
        <v>12893395</v>
      </c>
      <c r="C36" s="16" t="n">
        <v>12893395</v>
      </c>
      <c r="D36" s="16" t="inlineStr">
        <is>
          <t>0.020010</t>
        </is>
      </c>
      <c r="E36" s="16" t="inlineStr">
        <is>
          <t>1.105 SOL</t>
        </is>
      </c>
      <c r="F36" s="16" t="inlineStr">
        <is>
          <t>0.416 SOL</t>
        </is>
      </c>
      <c r="G36" s="24" t="inlineStr">
        <is>
          <t>-0.710 SOL</t>
        </is>
      </c>
      <c r="H36" s="24" t="inlineStr">
        <is>
          <t>-63.08%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19.10.2024 05:08:59</t>
        </is>
      </c>
      <c r="M36" s="16" t="inlineStr">
        <is>
          <t>1 hours</t>
        </is>
      </c>
      <c r="N36" s="16" t="inlineStr">
        <is>
          <t xml:space="preserve">         16K            16K             3K</t>
        </is>
      </c>
      <c r="O36" s="16" t="inlineStr">
        <is>
          <t>6Gc4cGCWm2eRb5o3rcxQ9kkJWeZcJEF13SdPGay7pump</t>
        </is>
      </c>
      <c r="P36" s="16">
        <f>HYPERLINK("https://photon-sol.tinyastro.io/en/lp/6Gc4cGCWm2eRb5o3rcxQ9kkJWeZcJEF13SdPGay7pump?handle=676050794bc1b1657a56b", "View")</f>
        <v/>
      </c>
    </row>
    <row r="37">
      <c r="A37" s="19" t="inlineStr">
        <is>
          <t>KEK</t>
        </is>
      </c>
      <c r="B37" s="20" t="n">
        <v>7811749</v>
      </c>
      <c r="C37" s="20" t="n">
        <v>7811749</v>
      </c>
      <c r="D37" s="20" t="inlineStr">
        <is>
          <t>0.020010</t>
        </is>
      </c>
      <c r="E37" s="20" t="inlineStr">
        <is>
          <t>0.542 SOL</t>
        </is>
      </c>
      <c r="F37" s="20" t="inlineStr">
        <is>
          <t>0.920 SOL</t>
        </is>
      </c>
      <c r="G37" s="23" t="inlineStr">
        <is>
          <t>0.358 SOL</t>
        </is>
      </c>
      <c r="H37" s="23" t="inlineStr">
        <is>
          <t>63.63%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18.10.2024 23:17:28</t>
        </is>
      </c>
      <c r="M37" s="20" t="inlineStr">
        <is>
          <t>5 min</t>
        </is>
      </c>
      <c r="N37" s="20" t="inlineStr">
        <is>
          <t xml:space="preserve">         12K            21K             5K</t>
        </is>
      </c>
      <c r="O37" s="20" t="inlineStr">
        <is>
          <t>HZatK1U2RvkeFUWbNMfv2J1D565dkjVbX6F6pTE2pump</t>
        </is>
      </c>
      <c r="P37" s="20">
        <f>HYPERLINK("https://photon-sol.tinyastro.io/en/lp/HZatK1U2RvkeFUWbNMfv2J1D565dkjVbX6F6pTE2pump?handle=676050794bc1b1657a56b", "View")</f>
        <v/>
      </c>
    </row>
    <row r="38">
      <c r="A38" s="15" t="inlineStr">
        <is>
          <t>💩</t>
        </is>
      </c>
      <c r="B38" s="16" t="n">
        <v>2207854</v>
      </c>
      <c r="C38" s="16" t="n">
        <v>2207854</v>
      </c>
      <c r="D38" s="16" t="inlineStr">
        <is>
          <t>0.020010</t>
        </is>
      </c>
      <c r="E38" s="16" t="inlineStr">
        <is>
          <t>0.300 SOL</t>
        </is>
      </c>
      <c r="F38" s="16" t="inlineStr">
        <is>
          <t>0.920 SOL</t>
        </is>
      </c>
      <c r="G38" s="23" t="inlineStr">
        <is>
          <t>0.600 SOL</t>
        </is>
      </c>
      <c r="H38" s="23" t="inlineStr">
        <is>
          <t>187.56%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18.10.2024 05:35:16</t>
        </is>
      </c>
      <c r="M38" s="16" t="inlineStr">
        <is>
          <t>28 min</t>
        </is>
      </c>
      <c r="N38" s="16" t="inlineStr">
        <is>
          <t xml:space="preserve">         25K            74K             4K</t>
        </is>
      </c>
      <c r="O38" s="16" t="inlineStr">
        <is>
          <t>H33XaAyCkPejrG43tB2FnfBu4x6DEjcBZnW9ziFKpump</t>
        </is>
      </c>
      <c r="P38" s="16">
        <f>HYPERLINK("https://photon-sol.tinyastro.io/en/lp/H33XaAyCkPejrG43tB2FnfBu4x6DEjcBZnW9ziFKpump?handle=676050794bc1b1657a56b", "View")</f>
        <v/>
      </c>
    </row>
    <row r="39">
      <c r="A39" s="19" t="inlineStr">
        <is>
          <t>ACAT</t>
        </is>
      </c>
      <c r="B39" s="20" t="n">
        <v>13873700</v>
      </c>
      <c r="C39" s="20" t="n">
        <v>13873700</v>
      </c>
      <c r="D39" s="20" t="inlineStr">
        <is>
          <t>0.020010</t>
        </is>
      </c>
      <c r="E39" s="20" t="inlineStr">
        <is>
          <t>0.465 SOL</t>
        </is>
      </c>
      <c r="F39" s="20" t="inlineStr">
        <is>
          <t>29.575 SOL</t>
        </is>
      </c>
      <c r="G39" s="23" t="inlineStr">
        <is>
          <t>29.090 SOL</t>
        </is>
      </c>
      <c r="H39" s="23" t="inlineStr">
        <is>
          <t>5994.05%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16.10.2024 06:12:29</t>
        </is>
      </c>
      <c r="M39" s="20" t="inlineStr">
        <is>
          <t>43 min</t>
        </is>
      </c>
      <c r="N39" s="20" t="inlineStr">
        <is>
          <t xml:space="preserve">        N/A           N/A           N/A</t>
        </is>
      </c>
      <c r="O39" s="20" t="inlineStr">
        <is>
          <t>HpQDF5bK88ijPAWnQyFtaz2FuvRxwgsnJdJdqX6npump</t>
        </is>
      </c>
      <c r="P39" s="20">
        <f>HYPERLINK("https://photon-sol.tinyastro.io/en/lp/HpQDF5bK88ijPAWnQyFtaz2FuvRxwgsnJdJdqX6npump?handle=676050794bc1b1657a56b", "View")</f>
        <v/>
      </c>
    </row>
    <row r="40">
      <c r="A40" s="15" t="inlineStr">
        <is>
          <t>PRDX</t>
        </is>
      </c>
      <c r="B40" s="16" t="n">
        <v>3197684</v>
      </c>
      <c r="C40" s="16" t="n">
        <v>3197684</v>
      </c>
      <c r="D40" s="16" t="inlineStr">
        <is>
          <t>0.030020</t>
        </is>
      </c>
      <c r="E40" s="16" t="inlineStr">
        <is>
          <t>6.000 SOL</t>
        </is>
      </c>
      <c r="F40" s="16" t="inlineStr">
        <is>
          <t>1.581 SOL</t>
        </is>
      </c>
      <c r="G40" s="24" t="inlineStr">
        <is>
          <t>-4.449 SOL</t>
        </is>
      </c>
      <c r="H40" s="24" t="inlineStr">
        <is>
          <t>-73.78%</t>
        </is>
      </c>
      <c r="I40" s="16" t="inlineStr">
        <is>
          <t>N/A</t>
        </is>
      </c>
      <c r="J40" s="16" t="n">
        <v>2</v>
      </c>
      <c r="K40" s="16" t="n">
        <v>1</v>
      </c>
      <c r="L40" s="16" t="inlineStr">
        <is>
          <t>16.10.2024 02:33:39</t>
        </is>
      </c>
      <c r="M40" s="16" t="inlineStr">
        <is>
          <t>6 min</t>
        </is>
      </c>
      <c r="N40" s="16" t="inlineStr">
        <is>
          <t xml:space="preserve">        360K            86K             5K</t>
        </is>
      </c>
      <c r="O40" s="16" t="inlineStr">
        <is>
          <t>2nUfHS8CZBoFvqyr9QV9oxMA2pMLneM6ftnvrBTNpump</t>
        </is>
      </c>
      <c r="P40" s="16">
        <f>HYPERLINK("https://dexscreener.com/solana/2nUfHS8CZBoFvqyr9QV9oxMA2pMLneM6ftnvrBTNpump", "View")</f>
        <v/>
      </c>
    </row>
    <row r="41">
      <c r="A41" s="19" t="inlineStr">
        <is>
          <t>MEOWMEOW</t>
        </is>
      </c>
      <c r="B41" s="20" t="n">
        <v>320180</v>
      </c>
      <c r="C41" s="20" t="n">
        <v>320180</v>
      </c>
      <c r="D41" s="20" t="inlineStr">
        <is>
          <t>0.050030</t>
        </is>
      </c>
      <c r="E41" s="20" t="inlineStr">
        <is>
          <t>8.000 SOL</t>
        </is>
      </c>
      <c r="F41" s="20" t="inlineStr">
        <is>
          <t>8.168 SOL</t>
        </is>
      </c>
      <c r="G41" s="22" t="inlineStr">
        <is>
          <t>0.118 SOL</t>
        </is>
      </c>
      <c r="H41" s="22" t="inlineStr">
        <is>
          <t>1.46%</t>
        </is>
      </c>
      <c r="I41" s="20" t="inlineStr">
        <is>
          <t>N/A</t>
        </is>
      </c>
      <c r="J41" s="20" t="n">
        <v>3</v>
      </c>
      <c r="K41" s="20" t="n">
        <v>2</v>
      </c>
      <c r="L41" s="20" t="inlineStr">
        <is>
          <t>16.10.2024 01:28:02</t>
        </is>
      </c>
      <c r="M41" s="20" t="inlineStr">
        <is>
          <t>1 days</t>
        </is>
      </c>
      <c r="N41" s="20" t="inlineStr">
        <is>
          <t xml:space="preserve">          4M             5M            75K</t>
        </is>
      </c>
      <c r="O41" s="20" t="inlineStr">
        <is>
          <t>HeCFQ5hiDZRKVYEuDF1LYBfbYfqAg98CQtbrTR7ipump</t>
        </is>
      </c>
      <c r="P41" s="20">
        <f>HYPERLINK("https://dexscreener.com/solana/HeCFQ5hiDZRKVYEuDF1LYBfbYfqAg98CQtbrTR7ipump", "View")</f>
        <v/>
      </c>
    </row>
    <row r="42">
      <c r="A42" s="15" t="inlineStr">
        <is>
          <t>ksilisab</t>
        </is>
      </c>
      <c r="B42" s="16" t="n">
        <v>1680625</v>
      </c>
      <c r="C42" s="16" t="n">
        <v>1680625</v>
      </c>
      <c r="D42" s="16" t="inlineStr">
        <is>
          <t>0.020010</t>
        </is>
      </c>
      <c r="E42" s="16" t="inlineStr">
        <is>
          <t>1.000 SOL</t>
        </is>
      </c>
      <c r="F42" s="16" t="inlineStr">
        <is>
          <t>1.173 SOL</t>
        </is>
      </c>
      <c r="G42" s="22" t="inlineStr">
        <is>
          <t>0.153 SOL</t>
        </is>
      </c>
      <c r="H42" s="22" t="inlineStr">
        <is>
          <t>15.03%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15.10.2024 06:30:08</t>
        </is>
      </c>
      <c r="M42" s="16" t="inlineStr">
        <is>
          <t>34 min</t>
        </is>
      </c>
      <c r="N42" s="16" t="inlineStr">
        <is>
          <t xml:space="preserve">        105K           123K             9K</t>
        </is>
      </c>
      <c r="O42" s="16" t="inlineStr">
        <is>
          <t>Exicyp4p8VbwsutHUYbuNA3CHyQUHZuzo7FFN1Yepump</t>
        </is>
      </c>
      <c r="P42" s="16">
        <f>HYPERLINK("https://dexscreener.com/solana/Exicyp4p8VbwsutHUYbuNA3CHyQUHZuzo7FFN1Yepump", "View")</f>
        <v/>
      </c>
    </row>
    <row r="43">
      <c r="A43" s="19" t="inlineStr">
        <is>
          <t>LILY</t>
        </is>
      </c>
      <c r="B43" s="20" t="n">
        <v>590181</v>
      </c>
      <c r="C43" s="20" t="n">
        <v>590181</v>
      </c>
      <c r="D43" s="20" t="inlineStr">
        <is>
          <t>0.030020</t>
        </is>
      </c>
      <c r="E43" s="20" t="inlineStr">
        <is>
          <t>2.000 SOL</t>
        </is>
      </c>
      <c r="F43" s="20" t="inlineStr">
        <is>
          <t>0.098 SOL</t>
        </is>
      </c>
      <c r="G43" s="24" t="inlineStr">
        <is>
          <t>-1.932 SOL</t>
        </is>
      </c>
      <c r="H43" s="24" t="inlineStr">
        <is>
          <t>-95.15%</t>
        </is>
      </c>
      <c r="I43" s="20" t="inlineStr">
        <is>
          <t>N/A</t>
        </is>
      </c>
      <c r="J43" s="20" t="n">
        <v>2</v>
      </c>
      <c r="K43" s="20" t="n">
        <v>1</v>
      </c>
      <c r="L43" s="20" t="inlineStr">
        <is>
          <t>15.10.2024 02:17:43</t>
        </is>
      </c>
      <c r="M43" s="20" t="inlineStr">
        <is>
          <t>19 hours</t>
        </is>
      </c>
      <c r="N43" s="20" t="inlineStr">
        <is>
          <t xml:space="preserve">        N/A           N/A           N/A</t>
        </is>
      </c>
      <c r="O43" s="20" t="inlineStr">
        <is>
          <t>4LrUY5zrJ6CUFQKg2NsahU6W2ggiwDDqR3N4njAApump</t>
        </is>
      </c>
      <c r="P43" s="20">
        <f>HYPERLINK("https://dexscreener.com/solana/4LrUY5zrJ6CUFQKg2NsahU6W2ggiwDDqR3N4njAApump", "View")</f>
        <v/>
      </c>
    </row>
    <row r="44">
      <c r="A44" s="15" t="inlineStr">
        <is>
          <t>/r9k/</t>
        </is>
      </c>
      <c r="B44" s="16" t="n">
        <v>5731346</v>
      </c>
      <c r="C44" s="16" t="n">
        <v>5731346</v>
      </c>
      <c r="D44" s="16" t="inlineStr">
        <is>
          <t>0.020010</t>
        </is>
      </c>
      <c r="E44" s="16" t="inlineStr">
        <is>
          <t>1.149 SOL</t>
        </is>
      </c>
      <c r="F44" s="16" t="inlineStr">
        <is>
          <t>0.419 SOL</t>
        </is>
      </c>
      <c r="G44" s="24" t="inlineStr">
        <is>
          <t>-0.750 SOL</t>
        </is>
      </c>
      <c r="H44" s="24" t="inlineStr">
        <is>
          <t>-64.17%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15.10.2024 00:59:13</t>
        </is>
      </c>
      <c r="M44" s="16" t="inlineStr">
        <is>
          <t>16 hours</t>
        </is>
      </c>
      <c r="N44" s="16" t="inlineStr">
        <is>
          <t xml:space="preserve">         35K            35K             5K</t>
        </is>
      </c>
      <c r="O44" s="16" t="inlineStr">
        <is>
          <t>2ob874iPApH1JWzBBmcVSxEs7HYTuZAEW4DKpiAbuTRQ</t>
        </is>
      </c>
      <c r="P44" s="16">
        <f>HYPERLINK("https://photon-sol.tinyastro.io/en/lp/2ob874iPApH1JWzBBmcVSxEs7HYTuZAEW4DKpiAbuTRQ?handle=676050794bc1b1657a56b", "View")</f>
        <v/>
      </c>
    </row>
    <row r="45">
      <c r="A45" s="19" t="inlineStr">
        <is>
          <t>r9k</t>
        </is>
      </c>
      <c r="B45" s="20" t="n">
        <v>11235676</v>
      </c>
      <c r="C45" s="20" t="n">
        <v>11235676</v>
      </c>
      <c r="D45" s="20" t="inlineStr">
        <is>
          <t>0.020010</t>
        </is>
      </c>
      <c r="E45" s="20" t="inlineStr">
        <is>
          <t>0.522 SOL</t>
        </is>
      </c>
      <c r="F45" s="20" t="inlineStr">
        <is>
          <t>1.462 SOL</t>
        </is>
      </c>
      <c r="G45" s="23" t="inlineStr">
        <is>
          <t>0.920 SOL</t>
        </is>
      </c>
      <c r="H45" s="23" t="inlineStr">
        <is>
          <t>169.79%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14.10.2024 08:02:30</t>
        </is>
      </c>
      <c r="M45" s="20" t="inlineStr">
        <is>
          <t>31 min</t>
        </is>
      </c>
      <c r="N45" s="20" t="inlineStr">
        <is>
          <t xml:space="preserve">          9K            23K             3K</t>
        </is>
      </c>
      <c r="O45" s="20" t="inlineStr">
        <is>
          <t>mpPc4hxnbsN2CxRGqpGbCPSSgxTq2gL4CTwZZDnpump</t>
        </is>
      </c>
      <c r="P45" s="20">
        <f>HYPERLINK("https://photon-sol.tinyastro.io/en/lp/mpPc4hxnbsN2CxRGqpGbCPSSgxTq2gL4CTwZZDnpump?handle=676050794bc1b1657a56b", "View")</f>
        <v/>
      </c>
    </row>
    <row r="46">
      <c r="A46" s="15" t="inlineStr">
        <is>
          <t>Strawberry</t>
        </is>
      </c>
      <c r="B46" s="16" t="n">
        <v>302392</v>
      </c>
      <c r="C46" s="16" t="n">
        <v>302392</v>
      </c>
      <c r="D46" s="16" t="inlineStr">
        <is>
          <t>0.020010</t>
        </is>
      </c>
      <c r="E46" s="16" t="inlineStr">
        <is>
          <t>1.000 SOL</t>
        </is>
      </c>
      <c r="F46" s="16" t="inlineStr">
        <is>
          <t>0.381 SOL</t>
        </is>
      </c>
      <c r="G46" s="24" t="inlineStr">
        <is>
          <t>-0.639 SOL</t>
        </is>
      </c>
      <c r="H46" s="24" t="inlineStr">
        <is>
          <t>-62.62%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14.10.2024 07:16:40</t>
        </is>
      </c>
      <c r="M46" s="16" t="inlineStr">
        <is>
          <t>8 min</t>
        </is>
      </c>
      <c r="N46" s="16" t="inlineStr">
        <is>
          <t xml:space="preserve">        581K           221K            32K</t>
        </is>
      </c>
      <c r="O46" s="16" t="inlineStr">
        <is>
          <t>CcBZWB4KKddUCtKnWACP9vZHU471KiakYBnDYcPNpump</t>
        </is>
      </c>
      <c r="P46" s="16">
        <f>HYPERLINK("https://dexscreener.com/solana/CcBZWB4KKddUCtKnWACP9vZHU471KiakYBnDYcPNpump", "View")</f>
        <v/>
      </c>
    </row>
    <row r="47">
      <c r="A47" s="19" t="inlineStr">
        <is>
          <t>CLURB</t>
        </is>
      </c>
      <c r="B47" s="20" t="n">
        <v>6731394</v>
      </c>
      <c r="C47" s="20" t="n">
        <v>6731394</v>
      </c>
      <c r="D47" s="20" t="inlineStr">
        <is>
          <t>0.040020</t>
        </is>
      </c>
      <c r="E47" s="20" t="inlineStr">
        <is>
          <t>1.570 SOL</t>
        </is>
      </c>
      <c r="F47" s="20" t="inlineStr">
        <is>
          <t>6.672 SOL</t>
        </is>
      </c>
      <c r="G47" s="23" t="inlineStr">
        <is>
          <t>5.062 SOL</t>
        </is>
      </c>
      <c r="H47" s="23" t="inlineStr">
        <is>
          <t>314.37%</t>
        </is>
      </c>
      <c r="I47" s="20" t="inlineStr">
        <is>
          <t>N/A</t>
        </is>
      </c>
      <c r="J47" s="20" t="n">
        <v>2</v>
      </c>
      <c r="K47" s="20" t="n">
        <v>2</v>
      </c>
      <c r="L47" s="20" t="inlineStr">
        <is>
          <t>13.10.2024 08:35:01</t>
        </is>
      </c>
      <c r="M47" s="20" t="inlineStr">
        <is>
          <t>1 hours</t>
        </is>
      </c>
      <c r="N47" s="20" t="inlineStr">
        <is>
          <t xml:space="preserve">         19K           130K            25K</t>
        </is>
      </c>
      <c r="O47" s="20" t="inlineStr">
        <is>
          <t>Do89yHhkwtZCR737zyfV4oHxUCkkECoysDXwz6vPpump</t>
        </is>
      </c>
      <c r="P47" s="20">
        <f>HYPERLINK("https://photon-sol.tinyastro.io/en/lp/Do89yHhkwtZCR737zyfV4oHxUCkkECoysDXwz6vPpump?handle=676050794bc1b1657a56b", "View")</f>
        <v/>
      </c>
    </row>
    <row r="48">
      <c r="A48" s="15" t="inlineStr">
        <is>
          <t>SUBTLE</t>
        </is>
      </c>
      <c r="B48" s="16" t="n">
        <v>20054383</v>
      </c>
      <c r="C48" s="16" t="n">
        <v>20054383</v>
      </c>
      <c r="D48" s="16" t="inlineStr">
        <is>
          <t>0.050030</t>
        </is>
      </c>
      <c r="E48" s="16" t="inlineStr">
        <is>
          <t>3.052 SOL</t>
        </is>
      </c>
      <c r="F48" s="16" t="inlineStr">
        <is>
          <t>3.942 SOL</t>
        </is>
      </c>
      <c r="G48" s="22" t="inlineStr">
        <is>
          <t>0.840 SOL</t>
        </is>
      </c>
      <c r="H48" s="22" t="inlineStr">
        <is>
          <t>27.07%</t>
        </is>
      </c>
      <c r="I48" s="16" t="inlineStr">
        <is>
          <t>N/A</t>
        </is>
      </c>
      <c r="J48" s="16" t="n">
        <v>4</v>
      </c>
      <c r="K48" s="16" t="n">
        <v>1</v>
      </c>
      <c r="L48" s="16" t="inlineStr">
        <is>
          <t>13.10.2024 05:50:31</t>
        </is>
      </c>
      <c r="M48" s="16" t="inlineStr">
        <is>
          <t>2 hours</t>
        </is>
      </c>
      <c r="N48" s="16" t="inlineStr">
        <is>
          <t xml:space="preserve">         16K            35K             5K</t>
        </is>
      </c>
      <c r="O48" s="16" t="inlineStr">
        <is>
          <t>6GAXzPf1m8k8GfG8QgtKTo1k7r5FGHPbQQ6LkGE9pump</t>
        </is>
      </c>
      <c r="P48" s="16">
        <f>HYPERLINK("https://photon-sol.tinyastro.io/en/lp/6GAXzPf1m8k8GfG8QgtKTo1k7r5FGHPbQQ6LkGE9pump?handle=676050794bc1b1657a56b", "View")</f>
        <v/>
      </c>
    </row>
    <row r="49">
      <c r="A49" s="19" t="inlineStr">
        <is>
          <t>Awkward</t>
        </is>
      </c>
      <c r="B49" s="20" t="n">
        <v>8761350</v>
      </c>
      <c r="C49" s="20" t="n">
        <v>8761350</v>
      </c>
      <c r="D49" s="20" t="inlineStr">
        <is>
          <t>0.020010</t>
        </is>
      </c>
      <c r="E49" s="20" t="inlineStr">
        <is>
          <t>5.000 SOL</t>
        </is>
      </c>
      <c r="F49" s="20" t="inlineStr">
        <is>
          <t>1.803 SOL</t>
        </is>
      </c>
      <c r="G49" s="24" t="inlineStr">
        <is>
          <t>-3.217 SOL</t>
        </is>
      </c>
      <c r="H49" s="24" t="inlineStr">
        <is>
          <t>-64.08%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13.10.2024 05:14:43</t>
        </is>
      </c>
      <c r="M49" s="20" t="inlineStr">
        <is>
          <t>3 min</t>
        </is>
      </c>
      <c r="N49" s="20" t="inlineStr">
        <is>
          <t xml:space="preserve">        100K            37K             3K</t>
        </is>
      </c>
      <c r="O49" s="20" t="inlineStr">
        <is>
          <t>GmnhdjaVZbgzjyYXEGGUawMrb1oS9V6WAtE9bxCZpump</t>
        </is>
      </c>
      <c r="P49" s="20">
        <f>HYPERLINK("https://dexscreener.com/solana/GmnhdjaVZbgzjyYXEGGUawMrb1oS9V6WAtE9bxCZpump", "View")</f>
        <v/>
      </c>
    </row>
    <row r="50">
      <c r="A50" s="15" t="inlineStr">
        <is>
          <t>SPED</t>
        </is>
      </c>
      <c r="B50" s="16" t="n">
        <v>8450114</v>
      </c>
      <c r="C50" s="16" t="n">
        <v>8450114</v>
      </c>
      <c r="D50" s="16" t="inlineStr">
        <is>
          <t>0.020010</t>
        </is>
      </c>
      <c r="E50" s="16" t="inlineStr">
        <is>
          <t>10.000 SOL</t>
        </is>
      </c>
      <c r="F50" s="16" t="inlineStr">
        <is>
          <t>6.997 SOL</t>
        </is>
      </c>
      <c r="G50" s="21" t="inlineStr">
        <is>
          <t>-3.023 SOL</t>
        </is>
      </c>
      <c r="H50" s="21" t="inlineStr">
        <is>
          <t>-30.17%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13.10.2024 02:21:21</t>
        </is>
      </c>
      <c r="M50" s="16" t="inlineStr">
        <is>
          <t>10 min</t>
        </is>
      </c>
      <c r="N50" s="16" t="inlineStr">
        <is>
          <t xml:space="preserve">        207K           146K             4K</t>
        </is>
      </c>
      <c r="O50" s="16" t="inlineStr">
        <is>
          <t>5ywAUL3Xnb9D13dQxexp6uBapHqWWS77xQDaLqd7pump</t>
        </is>
      </c>
      <c r="P50" s="16">
        <f>HYPERLINK("https://dexscreener.com/solana/5ywAUL3Xnb9D13dQxexp6uBapHqWWS77xQDaLqd7pump", "View")</f>
        <v/>
      </c>
    </row>
    <row r="51">
      <c r="A51" s="19" t="inlineStr">
        <is>
          <t>FBI</t>
        </is>
      </c>
      <c r="B51" s="20" t="n">
        <v>4726894</v>
      </c>
      <c r="C51" s="20" t="n">
        <v>4726894</v>
      </c>
      <c r="D51" s="20" t="inlineStr">
        <is>
          <t>0.020010</t>
        </is>
      </c>
      <c r="E51" s="20" t="inlineStr">
        <is>
          <t>1.082 SOL</t>
        </is>
      </c>
      <c r="F51" s="20" t="inlineStr">
        <is>
          <t>0.946 SOL</t>
        </is>
      </c>
      <c r="G51" s="21" t="inlineStr">
        <is>
          <t>-0.156 SOL</t>
        </is>
      </c>
      <c r="H51" s="21" t="inlineStr">
        <is>
          <t>-14.13%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13.10.2024 00:23:10</t>
        </is>
      </c>
      <c r="M51" s="20" t="inlineStr">
        <is>
          <t>49 min</t>
        </is>
      </c>
      <c r="N51" s="20" t="inlineStr">
        <is>
          <t xml:space="preserve">         40K            35K             4K</t>
        </is>
      </c>
      <c r="O51" s="20" t="inlineStr">
        <is>
          <t>C3dviUewaCGSLH9UBHifddkAg8BmtFxoRwYk3t9pump</t>
        </is>
      </c>
      <c r="P51" s="20">
        <f>HYPERLINK("https://photon-sol.tinyastro.io/en/lp/C3dviUewaCGSLH9UBHifddkAg8BmtFxoRwYk3t9pump?handle=676050794bc1b1657a56b", "View")</f>
        <v/>
      </c>
    </row>
    <row r="52">
      <c r="A52" s="15" t="inlineStr">
        <is>
          <t>Classic</t>
        </is>
      </c>
      <c r="B52" s="16" t="n">
        <v>5389325</v>
      </c>
      <c r="C52" s="16" t="n">
        <v>5389325</v>
      </c>
      <c r="D52" s="16" t="inlineStr">
        <is>
          <t>0.040020</t>
        </is>
      </c>
      <c r="E52" s="16" t="inlineStr">
        <is>
          <t>1.500 SOL</t>
        </is>
      </c>
      <c r="F52" s="16" t="inlineStr">
        <is>
          <t>2.320 SOL</t>
        </is>
      </c>
      <c r="G52" s="23" t="inlineStr">
        <is>
          <t>0.780 SOL</t>
        </is>
      </c>
      <c r="H52" s="23" t="inlineStr">
        <is>
          <t>50.67%</t>
        </is>
      </c>
      <c r="I52" s="16" t="inlineStr">
        <is>
          <t>N/A</t>
        </is>
      </c>
      <c r="J52" s="16" t="n">
        <v>2</v>
      </c>
      <c r="K52" s="16" t="n">
        <v>2</v>
      </c>
      <c r="L52" s="16" t="inlineStr">
        <is>
          <t>12.10.2024 04:37:04</t>
        </is>
      </c>
      <c r="M52" s="16" t="inlineStr">
        <is>
          <t>1 hours</t>
        </is>
      </c>
      <c r="N52" s="16" t="inlineStr">
        <is>
          <t xml:space="preserve">         25K           155K             8K</t>
        </is>
      </c>
      <c r="O52" s="16" t="inlineStr">
        <is>
          <t>J6zBid54qK1BJmupjZGniUcMsqzbyLi4ggMsjwpQpump</t>
        </is>
      </c>
      <c r="P52" s="16">
        <f>HYPERLINK("https://dexscreener.com/solana/J6zBid54qK1BJmupjZGniUcMsqzbyLi4ggMsjwpQpump", "View")</f>
        <v/>
      </c>
    </row>
    <row r="53">
      <c r="A53" s="19" t="inlineStr">
        <is>
          <t>calm</t>
        </is>
      </c>
      <c r="B53" s="20" t="n">
        <v>21300281</v>
      </c>
      <c r="C53" s="20" t="n">
        <v>21300281</v>
      </c>
      <c r="D53" s="20" t="inlineStr">
        <is>
          <t>0.100050</t>
        </is>
      </c>
      <c r="E53" s="20" t="inlineStr">
        <is>
          <t>8.587 SOL</t>
        </is>
      </c>
      <c r="F53" s="20" t="inlineStr">
        <is>
          <t>7.865 SOL</t>
        </is>
      </c>
      <c r="G53" s="21" t="inlineStr">
        <is>
          <t>-0.822 SOL</t>
        </is>
      </c>
      <c r="H53" s="21" t="inlineStr">
        <is>
          <t>-9.46%</t>
        </is>
      </c>
      <c r="I53" s="20" t="inlineStr">
        <is>
          <t>N/A</t>
        </is>
      </c>
      <c r="J53" s="20" t="n">
        <v>7</v>
      </c>
      <c r="K53" s="20" t="n">
        <v>3</v>
      </c>
      <c r="L53" s="20" t="inlineStr">
        <is>
          <t>11.10.2024 12:37:43</t>
        </is>
      </c>
      <c r="M53" s="20" t="inlineStr">
        <is>
          <t>1 days</t>
        </is>
      </c>
      <c r="N53" s="20" t="inlineStr">
        <is>
          <t xml:space="preserve">        125K           130K             6K</t>
        </is>
      </c>
      <c r="O53" s="20" t="inlineStr">
        <is>
          <t>87nM8TQgZZB651AQjJod1Uriqw7VMhyJHyM2H4SDpump</t>
        </is>
      </c>
      <c r="P53" s="20">
        <f>HYPERLINK("https://photon-sol.tinyastro.io/en/lp/87nM8TQgZZB651AQjJod1Uriqw7VMhyJHyM2H4SDpump?handle=676050794bc1b1657a56b", "View")</f>
        <v/>
      </c>
    </row>
    <row r="54">
      <c r="A54" s="15" t="inlineStr">
        <is>
          <t>PADMAE</t>
        </is>
      </c>
      <c r="B54" s="16" t="n">
        <v>16207839</v>
      </c>
      <c r="C54" s="16" t="n">
        <v>16207839</v>
      </c>
      <c r="D54" s="16" t="inlineStr">
        <is>
          <t>0.040020</t>
        </is>
      </c>
      <c r="E54" s="16" t="inlineStr">
        <is>
          <t>0.969 SOL</t>
        </is>
      </c>
      <c r="F54" s="16" t="inlineStr">
        <is>
          <t>9.340 SOL</t>
        </is>
      </c>
      <c r="G54" s="23" t="inlineStr">
        <is>
          <t>8.332 SOL</t>
        </is>
      </c>
      <c r="H54" s="23" t="inlineStr">
        <is>
          <t>826.03%</t>
        </is>
      </c>
      <c r="I54" s="16" t="inlineStr">
        <is>
          <t>N/A</t>
        </is>
      </c>
      <c r="J54" s="16" t="n">
        <v>2</v>
      </c>
      <c r="K54" s="16" t="n">
        <v>2</v>
      </c>
      <c r="L54" s="16" t="inlineStr">
        <is>
          <t>10.10.2024 07:24:09</t>
        </is>
      </c>
      <c r="M54" s="16" t="inlineStr">
        <is>
          <t>2 hours</t>
        </is>
      </c>
      <c r="N54" s="16" t="inlineStr">
        <is>
          <t xml:space="preserve">          9K            91K             5K</t>
        </is>
      </c>
      <c r="O54" s="16" t="inlineStr">
        <is>
          <t>7Hdp6v5pTv486BT6sLiqkEKGCTXzHBpbDcWw3wB6pump</t>
        </is>
      </c>
      <c r="P54" s="16">
        <f>HYPERLINK("https://photon-sol.tinyastro.io/en/lp/7Hdp6v5pTv486BT6sLiqkEKGCTXzHBpbDcWw3wB6pump?handle=676050794bc1b1657a56b", "View")</f>
        <v/>
      </c>
    </row>
    <row r="55">
      <c r="A55" s="19" t="inlineStr">
        <is>
          <t>bo</t>
        </is>
      </c>
      <c r="B55" s="20" t="n">
        <v>5575673</v>
      </c>
      <c r="C55" s="20" t="n">
        <v>5575673</v>
      </c>
      <c r="D55" s="20" t="inlineStr">
        <is>
          <t>0.020010</t>
        </is>
      </c>
      <c r="E55" s="20" t="inlineStr">
        <is>
          <t>1.209 SOL</t>
        </is>
      </c>
      <c r="F55" s="20" t="inlineStr">
        <is>
          <t>0.176 SOL</t>
        </is>
      </c>
      <c r="G55" s="24" t="inlineStr">
        <is>
          <t>-1.053 SOL</t>
        </is>
      </c>
      <c r="H55" s="24" t="inlineStr">
        <is>
          <t>-85.68%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09.10.2024 23:59:30</t>
        </is>
      </c>
      <c r="M55" s="20" t="inlineStr">
        <is>
          <t>3 hours</t>
        </is>
      </c>
      <c r="N55" s="20" t="inlineStr">
        <is>
          <t xml:space="preserve">         39K             5K             4K</t>
        </is>
      </c>
      <c r="O55" s="20" t="inlineStr">
        <is>
          <t>52pQ8LF5qbpLBGH8Yrc6vB11nrSHASkqqggPhkzopump</t>
        </is>
      </c>
      <c r="P55" s="20">
        <f>HYPERLINK("https://photon-sol.tinyastro.io/en/lp/52pQ8LF5qbpLBGH8Yrc6vB11nrSHASkqqggPhkzopump?handle=676050794bc1b1657a56b", "View")</f>
        <v/>
      </c>
    </row>
    <row r="56">
      <c r="A56" s="15" t="inlineStr">
        <is>
          <t>Castro</t>
        </is>
      </c>
      <c r="B56" s="16" t="n">
        <v>1912841</v>
      </c>
      <c r="C56" s="16" t="n">
        <v>1912841</v>
      </c>
      <c r="D56" s="16" t="inlineStr">
        <is>
          <t>0.020010</t>
        </is>
      </c>
      <c r="E56" s="16" t="inlineStr">
        <is>
          <t>1.000 SOL</t>
        </is>
      </c>
      <c r="F56" s="16" t="inlineStr">
        <is>
          <t>0.101 SOL</t>
        </is>
      </c>
      <c r="G56" s="24" t="inlineStr">
        <is>
          <t>-0.919 SOL</t>
        </is>
      </c>
      <c r="H56" s="24" t="inlineStr">
        <is>
          <t>-90.09%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09.10.2024 17:08:02</t>
        </is>
      </c>
      <c r="M56" s="16" t="inlineStr">
        <is>
          <t>14 min</t>
        </is>
      </c>
      <c r="N56" s="16" t="inlineStr">
        <is>
          <t xml:space="preserve">         91K             9K             4K</t>
        </is>
      </c>
      <c r="O56" s="16" t="inlineStr">
        <is>
          <t>J7jACobQeF5ULK4FZoBYRpA6w1aq7aGYHchuiTRGpump</t>
        </is>
      </c>
      <c r="P56" s="16">
        <f>HYPERLINK("https://dexscreener.com/solana/J7jACobQeF5ULK4FZoBYRpA6w1aq7aGYHchuiTRGpump", "View")</f>
        <v/>
      </c>
    </row>
    <row r="57">
      <c r="A57" s="19" t="inlineStr">
        <is>
          <t>Q4</t>
        </is>
      </c>
      <c r="B57" s="20" t="n">
        <v>17036865</v>
      </c>
      <c r="C57" s="20" t="n">
        <v>17036865</v>
      </c>
      <c r="D57" s="20" t="inlineStr">
        <is>
          <t>0.020010</t>
        </is>
      </c>
      <c r="E57" s="20" t="inlineStr">
        <is>
          <t>0.557 SOL</t>
        </is>
      </c>
      <c r="F57" s="20" t="inlineStr">
        <is>
          <t>0.491 SOL</t>
        </is>
      </c>
      <c r="G57" s="21" t="inlineStr">
        <is>
          <t>-0.086 SOL</t>
        </is>
      </c>
      <c r="H57" s="21" t="inlineStr">
        <is>
          <t>-14.85%</t>
        </is>
      </c>
      <c r="I57" s="20" t="inlineStr">
        <is>
          <t>N/A</t>
        </is>
      </c>
      <c r="J57" s="20" t="n">
        <v>1</v>
      </c>
      <c r="K57" s="20" t="n">
        <v>1</v>
      </c>
      <c r="L57" s="20" t="inlineStr">
        <is>
          <t>09.10.2024 16:36:42</t>
        </is>
      </c>
      <c r="M57" s="20" t="inlineStr">
        <is>
          <t>1 hours</t>
        </is>
      </c>
      <c r="N57" s="20" t="inlineStr">
        <is>
          <t xml:space="preserve">        N/A           N/A           N/A</t>
        </is>
      </c>
      <c r="O57" s="20" t="inlineStr">
        <is>
          <t>7qP7jcPRKb7y5WbBfzcHRH56qnau6ddqQjKVXHXZpump</t>
        </is>
      </c>
      <c r="P57" s="20">
        <f>HYPERLINK("https://photon-sol.tinyastro.io/en/lp/7qP7jcPRKb7y5WbBfzcHRH56qnau6ddqQjKVXHXZpump?handle=676050794bc1b1657a56b", "View")</f>
        <v/>
      </c>
    </row>
    <row r="58">
      <c r="A58" s="15" t="inlineStr">
        <is>
          <t>Hawktoshi</t>
        </is>
      </c>
      <c r="B58" s="16" t="n">
        <v>11762166</v>
      </c>
      <c r="C58" s="16" t="n">
        <v>11762166</v>
      </c>
      <c r="D58" s="16" t="inlineStr">
        <is>
          <t>0.020010</t>
        </is>
      </c>
      <c r="E58" s="16" t="inlineStr">
        <is>
          <t>1.949 SOL</t>
        </is>
      </c>
      <c r="F58" s="16" t="inlineStr">
        <is>
          <t>0.759 SOL</t>
        </is>
      </c>
      <c r="G58" s="24" t="inlineStr">
        <is>
          <t>-1.210 SOL</t>
        </is>
      </c>
      <c r="H58" s="24" t="inlineStr">
        <is>
          <t>-61.44%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09.10.2024 16:35:18</t>
        </is>
      </c>
      <c r="M58" s="16" t="inlineStr">
        <is>
          <t>58 min</t>
        </is>
      </c>
      <c r="N58" s="16" t="inlineStr">
        <is>
          <t xml:space="preserve">         30K            10K             4K</t>
        </is>
      </c>
      <c r="O58" s="16" t="inlineStr">
        <is>
          <t>GSwLCmgLtxzqZFwMd8xiz9iAEgxnYsgSf1VgunVBpump</t>
        </is>
      </c>
      <c r="P58" s="16">
        <f>HYPERLINK("https://photon-sol.tinyastro.io/en/lp/GSwLCmgLtxzqZFwMd8xiz9iAEgxnYsgSf1VgunVBpump?handle=676050794bc1b1657a56b", "View")</f>
        <v/>
      </c>
    </row>
    <row r="59">
      <c r="A59" s="19" t="inlineStr">
        <is>
          <t>FUCKHBO</t>
        </is>
      </c>
      <c r="B59" s="20" t="n">
        <v>12433728</v>
      </c>
      <c r="C59" s="20" t="n">
        <v>12433728</v>
      </c>
      <c r="D59" s="20" t="inlineStr">
        <is>
          <t>0.020010</t>
        </is>
      </c>
      <c r="E59" s="20" t="inlineStr">
        <is>
          <t>0.536 SOL</t>
        </is>
      </c>
      <c r="F59" s="20" t="inlineStr">
        <is>
          <t>0.368 SOL</t>
        </is>
      </c>
      <c r="G59" s="21" t="inlineStr">
        <is>
          <t>-0.188 SOL</t>
        </is>
      </c>
      <c r="H59" s="21" t="inlineStr">
        <is>
          <t>-33.87%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09.10.2024 01:31:54</t>
        </is>
      </c>
      <c r="M59" s="20" t="inlineStr">
        <is>
          <t>11 min</t>
        </is>
      </c>
      <c r="N59" s="20" t="inlineStr">
        <is>
          <t xml:space="preserve">        N/A           N/A           N/A</t>
        </is>
      </c>
      <c r="O59" s="20" t="inlineStr">
        <is>
          <t>HeZgAv6uVga3o8Cua4kKH2LQTDqMb8M6CEUxTPKspump</t>
        </is>
      </c>
      <c r="P59" s="20">
        <f>HYPERLINK("https://photon-sol.tinyastro.io/en/lp/HeZgAv6uVga3o8Cua4kKH2LQTDqMb8M6CEUxTPKspump?handle=676050794bc1b1657a56b", "View")</f>
        <v/>
      </c>
    </row>
    <row r="60">
      <c r="A60" s="15" t="inlineStr">
        <is>
          <t>fBTC</t>
        </is>
      </c>
      <c r="B60" s="16" t="n">
        <v>12950867</v>
      </c>
      <c r="C60" s="16" t="n">
        <v>12950867</v>
      </c>
      <c r="D60" s="16" t="inlineStr">
        <is>
          <t>0.030020</t>
        </is>
      </c>
      <c r="E60" s="16" t="inlineStr">
        <is>
          <t>1.094 SOL</t>
        </is>
      </c>
      <c r="F60" s="16" t="inlineStr">
        <is>
          <t>0.554 SOL</t>
        </is>
      </c>
      <c r="G60" s="24" t="inlineStr">
        <is>
          <t>-0.570 SOL</t>
        </is>
      </c>
      <c r="H60" s="24" t="inlineStr">
        <is>
          <t>-50.70%</t>
        </is>
      </c>
      <c r="I60" s="16" t="inlineStr">
        <is>
          <t>N/A</t>
        </is>
      </c>
      <c r="J60" s="16" t="n">
        <v>2</v>
      </c>
      <c r="K60" s="16" t="n">
        <v>1</v>
      </c>
      <c r="L60" s="16" t="inlineStr">
        <is>
          <t>06.10.2024 03:18:08</t>
        </is>
      </c>
      <c r="M60" s="16" t="inlineStr">
        <is>
          <t>57 min</t>
        </is>
      </c>
      <c r="N60" s="16" t="inlineStr">
        <is>
          <t xml:space="preserve">        N/A           N/A           N/A</t>
        </is>
      </c>
      <c r="O60" s="16" t="inlineStr">
        <is>
          <t>VCKc7rq87zWiAuyczKBaj5vpFFHUhGNCdW4gSohpump</t>
        </is>
      </c>
      <c r="P60" s="16">
        <f>HYPERLINK("https://photon-sol.tinyastro.io/en/lp/VCKc7rq87zWiAuyczKBaj5vpFFHUhGNCdW4gSohpump?handle=676050794bc1b1657a56b", "View")</f>
        <v/>
      </c>
    </row>
    <row r="61">
      <c r="A61" s="19" t="inlineStr">
        <is>
          <t>SZABO</t>
        </is>
      </c>
      <c r="B61" s="20" t="n">
        <v>1958782</v>
      </c>
      <c r="C61" s="20" t="n">
        <v>1958782</v>
      </c>
      <c r="D61" s="20" t="inlineStr">
        <is>
          <t>0.050030</t>
        </is>
      </c>
      <c r="E61" s="20" t="inlineStr">
        <is>
          <t>0.115 SOL</t>
        </is>
      </c>
      <c r="F61" s="20" t="inlineStr">
        <is>
          <t>3.523 SOL</t>
        </is>
      </c>
      <c r="G61" s="23" t="inlineStr">
        <is>
          <t>3.359 SOL</t>
        </is>
      </c>
      <c r="H61" s="23" t="inlineStr">
        <is>
          <t>2037.16%</t>
        </is>
      </c>
      <c r="I61" s="20" t="inlineStr">
        <is>
          <t>N/A</t>
        </is>
      </c>
      <c r="J61" s="20" t="n">
        <v>1</v>
      </c>
      <c r="K61" s="20" t="n">
        <v>4</v>
      </c>
      <c r="L61" s="20" t="inlineStr">
        <is>
          <t>05.10.2024 07:38:13</t>
        </is>
      </c>
      <c r="M61" s="20" t="inlineStr">
        <is>
          <t>1 hours</t>
        </is>
      </c>
      <c r="N61" s="20" t="inlineStr">
        <is>
          <t xml:space="preserve">         11K           286K             8K</t>
        </is>
      </c>
      <c r="O61" s="20" t="inlineStr">
        <is>
          <t>8LvBqPF9m9QT1TUxBXGvRxR4xTFdwuWqtuYw3ZSBpump</t>
        </is>
      </c>
      <c r="P61" s="20">
        <f>HYPERLINK("https://photon-sol.tinyastro.io/en/lp/8LvBqPF9m9QT1TUxBXGvRxR4xTFdwuWqtuYw3ZSBpump?handle=676050794bc1b1657a56b", "View")</f>
        <v/>
      </c>
    </row>
    <row r="62">
      <c r="A62" s="15" t="inlineStr">
        <is>
          <t>cat</t>
        </is>
      </c>
      <c r="B62" s="16" t="n">
        <v>533414</v>
      </c>
      <c r="C62" s="16" t="n">
        <v>533414</v>
      </c>
      <c r="D62" s="16" t="inlineStr">
        <is>
          <t>0.020010</t>
        </is>
      </c>
      <c r="E62" s="16" t="inlineStr">
        <is>
          <t>0.500 SOL</t>
        </is>
      </c>
      <c r="F62" s="16" t="inlineStr">
        <is>
          <t>0.222 SOL</t>
        </is>
      </c>
      <c r="G62" s="24" t="inlineStr">
        <is>
          <t>-0.298 SOL</t>
        </is>
      </c>
      <c r="H62" s="24" t="inlineStr">
        <is>
          <t>-57.32%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20.09.2024 19:43:31</t>
        </is>
      </c>
      <c r="M62" s="16" t="inlineStr">
        <is>
          <t>1 min</t>
        </is>
      </c>
      <c r="N62" s="16" t="inlineStr">
        <is>
          <t xml:space="preserve">        165K            74K             3K</t>
        </is>
      </c>
      <c r="O62" s="16" t="inlineStr">
        <is>
          <t>3ghuCkbkAmRCondvyHzAdhBrogjBfoFQzhE5U7Wtpump</t>
        </is>
      </c>
      <c r="P62" s="16">
        <f>HYPERLINK("https://dexscreener.com/solana/3ghuCkbkAmRCondvyHzAdhBrogjBfoFQzhE5U7Wtpump", "View")</f>
        <v/>
      </c>
    </row>
    <row r="63">
      <c r="A63" s="19" t="inlineStr">
        <is>
          <t>revenga</t>
        </is>
      </c>
      <c r="B63" s="20" t="n">
        <v>354815</v>
      </c>
      <c r="C63" s="20" t="n">
        <v>354815</v>
      </c>
      <c r="D63" s="20" t="inlineStr">
        <is>
          <t>0.020010</t>
        </is>
      </c>
      <c r="E63" s="20" t="inlineStr">
        <is>
          <t>0.250 SOL</t>
        </is>
      </c>
      <c r="F63" s="20" t="inlineStr">
        <is>
          <t>0.200 SOL</t>
        </is>
      </c>
      <c r="G63" s="21" t="inlineStr">
        <is>
          <t>-0.070 SOL</t>
        </is>
      </c>
      <c r="H63" s="21" t="inlineStr">
        <is>
          <t>-26.04%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08.09.2024 20:08:27</t>
        </is>
      </c>
      <c r="M63" s="18" t="inlineStr">
        <is>
          <t>28 sec</t>
        </is>
      </c>
      <c r="N63" s="20" t="inlineStr">
        <is>
          <t xml:space="preserve">        123K            98K             3K</t>
        </is>
      </c>
      <c r="O63" s="20" t="inlineStr">
        <is>
          <t>A5sLjEiM8JsPdo9vjsPAbWKAurcQnKxj4PzCFcjcpump</t>
        </is>
      </c>
      <c r="P63" s="20">
        <f>HYPERLINK("https://dexscreener.com/solana/A5sLjEiM8JsPdo9vjsPAbWKAurcQnKxj4PzCFcjcpump", "View")</f>
        <v/>
      </c>
    </row>
    <row r="64">
      <c r="A64" s="15" t="inlineStr">
        <is>
          <t>Brick</t>
        </is>
      </c>
      <c r="B64" s="16" t="n">
        <v>7924679</v>
      </c>
      <c r="C64" s="16" t="n">
        <v>7924679</v>
      </c>
      <c r="D64" s="16" t="inlineStr">
        <is>
          <t>0.030020</t>
        </is>
      </c>
      <c r="E64" s="16" t="inlineStr">
        <is>
          <t>0.345 SOL</t>
        </is>
      </c>
      <c r="F64" s="16" t="inlineStr">
        <is>
          <t>0.262 SOL</t>
        </is>
      </c>
      <c r="G64" s="21" t="inlineStr">
        <is>
          <t>-0.113 SOL</t>
        </is>
      </c>
      <c r="H64" s="21" t="inlineStr">
        <is>
          <t>-30.03%</t>
        </is>
      </c>
      <c r="I64" s="16" t="inlineStr">
        <is>
          <t>N/A</t>
        </is>
      </c>
      <c r="J64" s="16" t="n">
        <v>2</v>
      </c>
      <c r="K64" s="16" t="n">
        <v>1</v>
      </c>
      <c r="L64" s="16" t="inlineStr">
        <is>
          <t>08.09.2024 17:05:04</t>
        </is>
      </c>
      <c r="M64" s="16" t="inlineStr">
        <is>
          <t>8 min</t>
        </is>
      </c>
      <c r="N64" s="16" t="inlineStr">
        <is>
          <t xml:space="preserve">        N/A           N/A           N/A</t>
        </is>
      </c>
      <c r="O64" s="16" t="inlineStr">
        <is>
          <t>6QMjSu3jpMvu9fSEc9g9ozEiufNgq1zGwNrM6S4fTy1a</t>
        </is>
      </c>
      <c r="P64" s="16">
        <f>HYPERLINK("https://photon-sol.tinyastro.io/en/lp/6QMjSu3jpMvu9fSEc9g9ozEiufNgq1zGwNrM6S4fTy1a?handle=676050794bc1b1657a56b", "View")</f>
        <v/>
      </c>
    </row>
    <row r="65">
      <c r="A65" s="19" t="inlineStr">
        <is>
          <t>bingus</t>
        </is>
      </c>
      <c r="B65" s="20" t="n">
        <v>7453263</v>
      </c>
      <c r="C65" s="20" t="n">
        <v>7453263</v>
      </c>
      <c r="D65" s="20" t="inlineStr">
        <is>
          <t>0.040020</t>
        </is>
      </c>
      <c r="E65" s="20" t="inlineStr">
        <is>
          <t>0.350 SOL</t>
        </is>
      </c>
      <c r="F65" s="20" t="inlineStr">
        <is>
          <t>0.281 SOL</t>
        </is>
      </c>
      <c r="G65" s="21" t="inlineStr">
        <is>
          <t>-0.109 SOL</t>
        </is>
      </c>
      <c r="H65" s="21" t="inlineStr">
        <is>
          <t>-28.07%</t>
        </is>
      </c>
      <c r="I65" s="20" t="inlineStr">
        <is>
          <t>N/A</t>
        </is>
      </c>
      <c r="J65" s="20" t="n">
        <v>3</v>
      </c>
      <c r="K65" s="20" t="n">
        <v>1</v>
      </c>
      <c r="L65" s="20" t="inlineStr">
        <is>
          <t>08.09.2024 16:29:41</t>
        </is>
      </c>
      <c r="M65" s="20" t="inlineStr">
        <is>
          <t>6 min</t>
        </is>
      </c>
      <c r="N65" s="20" t="inlineStr">
        <is>
          <t xml:space="preserve">        N/A           N/A           N/A</t>
        </is>
      </c>
      <c r="O65" s="20" t="inlineStr">
        <is>
          <t>3uWWgGc4N4KCjs14m5wkaRLSt1NsSM8neJjdecc4cCeT</t>
        </is>
      </c>
      <c r="P65" s="20">
        <f>HYPERLINK("https://photon-sol.tinyastro.io/en/lp/3uWWgGc4N4KCjs14m5wkaRLSt1NsSM8neJjdecc4cCeT?handle=676050794bc1b1657a56b", "View")</f>
        <v/>
      </c>
    </row>
    <row r="66">
      <c r="A66" s="15" t="inlineStr">
        <is>
          <t>Dbaby</t>
        </is>
      </c>
      <c r="B66" s="16" t="n">
        <v>15521694</v>
      </c>
      <c r="C66" s="16" t="n">
        <v>15521694</v>
      </c>
      <c r="D66" s="16" t="inlineStr">
        <is>
          <t>0.050030</t>
        </is>
      </c>
      <c r="E66" s="16" t="inlineStr">
        <is>
          <t>0.575 SOL</t>
        </is>
      </c>
      <c r="F66" s="16" t="inlineStr">
        <is>
          <t>0.529 SOL</t>
        </is>
      </c>
      <c r="G66" s="21" t="inlineStr">
        <is>
          <t>-0.096 SOL</t>
        </is>
      </c>
      <c r="H66" s="21" t="inlineStr">
        <is>
          <t>-15.36%</t>
        </is>
      </c>
      <c r="I66" s="16" t="inlineStr">
        <is>
          <t>N/A</t>
        </is>
      </c>
      <c r="J66" s="16" t="n">
        <v>3</v>
      </c>
      <c r="K66" s="16" t="n">
        <v>2</v>
      </c>
      <c r="L66" s="16" t="inlineStr">
        <is>
          <t>07.09.2024 18:43:38</t>
        </is>
      </c>
      <c r="M66" s="16" t="inlineStr">
        <is>
          <t>6 min</t>
        </is>
      </c>
      <c r="N66" s="16" t="inlineStr">
        <is>
          <t xml:space="preserve">        N/A           N/A           N/A</t>
        </is>
      </c>
      <c r="O66" s="16" t="inlineStr">
        <is>
          <t>5to76DdCRTKD35AevgUd78K5t4UoaLKQd1U7R9vPHoX8</t>
        </is>
      </c>
      <c r="P66" s="16">
        <f>HYPERLINK("https://photon-sol.tinyastro.io/en/lp/5to76DdCRTKD35AevgUd78K5t4UoaLKQd1U7R9vPHoX8?handle=676050794bc1b1657a56b", "View")</f>
        <v/>
      </c>
    </row>
    <row r="67">
      <c r="A67" s="19" t="inlineStr">
        <is>
          <t>kitty</t>
        </is>
      </c>
      <c r="B67" s="20" t="n">
        <v>1907325</v>
      </c>
      <c r="C67" s="20" t="n">
        <v>1907325</v>
      </c>
      <c r="D67" s="20" t="inlineStr">
        <is>
          <t>0.080040</t>
        </is>
      </c>
      <c r="E67" s="20" t="inlineStr">
        <is>
          <t>1.250 SOL</t>
        </is>
      </c>
      <c r="F67" s="20" t="inlineStr">
        <is>
          <t>1.051 SOL</t>
        </is>
      </c>
      <c r="G67" s="21" t="inlineStr">
        <is>
          <t>-0.279 SOL</t>
        </is>
      </c>
      <c r="H67" s="21" t="inlineStr">
        <is>
          <t>-20.99%</t>
        </is>
      </c>
      <c r="I67" s="20" t="inlineStr">
        <is>
          <t>N/A</t>
        </is>
      </c>
      <c r="J67" s="20" t="n">
        <v>5</v>
      </c>
      <c r="K67" s="20" t="n">
        <v>3</v>
      </c>
      <c r="L67" s="20" t="inlineStr">
        <is>
          <t>07.09.2024 17:54:08</t>
        </is>
      </c>
      <c r="M67" s="20" t="inlineStr">
        <is>
          <t>6 min</t>
        </is>
      </c>
      <c r="N67" s="20" t="inlineStr">
        <is>
          <t xml:space="preserve">         91K            60K             4K</t>
        </is>
      </c>
      <c r="O67" s="20" t="inlineStr">
        <is>
          <t>8QiE4aMaLKWC2GshKa7HUDeZkUYeSzoQwcLHKnPYpump</t>
        </is>
      </c>
      <c r="P67" s="20">
        <f>HYPERLINK("https://dexscreener.com/solana/8QiE4aMaLKWC2GshKa7HUDeZkUYeSzoQwcLHKnPYpump", "View")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49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HYPERLINK("https://gmgn.ai/sol/address/EMSMKAxW1h9gccBm2DfcPRExeK1tQ45k82eST4Nob8AN", "GMGN")</f>
        <v/>
      </c>
    </row>
    <row r="2">
      <c r="A2" s="3" t="inlineStr">
        <is>
          <t>EMSMKAxW1h9gccBm2DfcPRExeK1tQ45k82eST4Nob8AN</t>
        </is>
      </c>
      <c r="B2" s="3" t="inlineStr">
        <is>
          <t>2.56 SOL</t>
        </is>
      </c>
      <c r="C2" s="3" t="inlineStr">
        <is>
          <t>27%</t>
        </is>
      </c>
      <c r="D2" s="3" t="inlineStr">
        <is>
          <t>-4%</t>
        </is>
      </c>
      <c r="E2" s="3" t="inlineStr">
        <is>
          <t>-0.78 SOL</t>
        </is>
      </c>
      <c r="F2" s="3" t="inlineStr">
        <is>
          <t>5 (17%)</t>
        </is>
      </c>
      <c r="G2" s="3" t="inlineStr">
        <is>
          <t>0 (0%)</t>
        </is>
      </c>
      <c r="H2" s="3" t="n">
        <v>30</v>
      </c>
      <c r="I2" s="3" t="n">
        <v>0</v>
      </c>
      <c r="J2" s="3" t="inlineStr">
        <is>
          <t>83 days</t>
        </is>
      </c>
      <c r="K2" s="3" t="inlineStr">
        <is>
          <t>25 min</t>
        </is>
      </c>
      <c r="L2" s="3" t="n">
        <v>15</v>
      </c>
      <c r="M2" s="3" t="n">
        <v>112</v>
      </c>
      <c r="N2" s="3">
        <f>HYPERLINK("https://solscan.io/account/EMSMKAxW1h9gccBm2DfcPRExeK1tQ45k82eST4Nob8AN", "Solscan")</f>
        <v/>
      </c>
    </row>
    <row r="3">
      <c r="A3" s="6" t="inlineStr">
        <is>
          <t>Median ROI</t>
        </is>
      </c>
      <c r="B3" s="5" t="inlineStr">
        <is>
          <t>-14.04%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HYPERLINK("https://birdeye.so/profile/EMSMKAxW1h9gccBm2DfcPRExeK1tQ45k82eST4Nob8AN", "Birdeye")</f>
        <v/>
      </c>
    </row>
    <row r="4">
      <c r="A4" s="6" t="inlineStr">
        <is>
          <t>Rockets percent</t>
        </is>
      </c>
      <c r="B4" s="3" t="inlineStr">
        <is>
          <t>10%</t>
        </is>
      </c>
      <c r="C4" s="3" t="inlineStr"/>
      <c r="D4" s="3" t="inlineStr">
        <is>
          <t>4%</t>
        </is>
      </c>
      <c r="E4" s="3" t="inlineStr">
        <is>
          <t>0.72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228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1.7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3</v>
      </c>
      <c r="D10" s="6" t="n">
        <v>3</v>
      </c>
      <c r="E10" s="6" t="n">
        <v>2</v>
      </c>
      <c r="F10" s="6" t="n">
        <v>17</v>
      </c>
      <c r="G10" s="6" t="n">
        <v>5</v>
      </c>
      <c r="H10" s="3" t="n"/>
      <c r="I10" s="3" t="inlineStr">
        <is>
          <t>&lt;5k</t>
        </is>
      </c>
      <c r="J10" s="3" t="inlineStr">
        <is>
          <t>1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10.0%</t>
        </is>
      </c>
      <c r="D11" s="6" t="inlineStr">
        <is>
          <t>10.0%</t>
        </is>
      </c>
      <c r="E11" s="6" t="inlineStr">
        <is>
          <t>6.7%</t>
        </is>
      </c>
      <c r="F11" s="6" t="inlineStr">
        <is>
          <t>56.7%</t>
        </is>
      </c>
      <c r="G11" s="6" t="inlineStr">
        <is>
          <t>16.7%</t>
        </is>
      </c>
      <c r="H11" s="3" t="n"/>
      <c r="I11" s="3" t="inlineStr">
        <is>
          <t>5k-30k</t>
        </is>
      </c>
      <c r="J11" s="3" t="inlineStr">
        <is>
          <t>10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2.2 SOL</t>
        </is>
      </c>
      <c r="D12" s="6" t="inlineStr">
        <is>
          <t>1.5 SOL</t>
        </is>
      </c>
      <c r="E12" s="6" t="inlineStr">
        <is>
          <t>0.2 SOL</t>
        </is>
      </c>
      <c r="F12" s="6" t="inlineStr">
        <is>
          <t>-2.0 SOL</t>
        </is>
      </c>
      <c r="G12" s="6" t="inlineStr">
        <is>
          <t>-2.7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4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7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73.5K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Murad</t>
        </is>
      </c>
      <c r="B20" s="16" t="n">
        <v>8406598</v>
      </c>
      <c r="C20" s="16" t="n">
        <v>8406598</v>
      </c>
      <c r="D20" s="16" t="inlineStr">
        <is>
          <t>0.002010</t>
        </is>
      </c>
      <c r="E20" s="16" t="inlineStr">
        <is>
          <t>0.263 SOL</t>
        </is>
      </c>
      <c r="F20" s="16" t="inlineStr">
        <is>
          <t>0.221 SOL</t>
        </is>
      </c>
      <c r="G20" s="21" t="inlineStr">
        <is>
          <t>-0.044 SOL</t>
        </is>
      </c>
      <c r="H20" s="21" t="inlineStr">
        <is>
          <t>-16.51%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03:37:26</t>
        </is>
      </c>
      <c r="M20" s="16" t="inlineStr">
        <is>
          <t>1 min</t>
        </is>
      </c>
      <c r="N20" s="16" t="inlineStr">
        <is>
          <t xml:space="preserve">          5K             5K             5K</t>
        </is>
      </c>
      <c r="O20" s="16" t="inlineStr">
        <is>
          <t>BN61NYc1YYmxSpBeUH2NeuAq4NLHwSm5ifSzDU6Bpump</t>
        </is>
      </c>
      <c r="P20" s="16">
        <f>HYPERLINK("https://photon-sol.tinyastro.io/en/lp/BN61NYc1YYmxSpBeUH2NeuAq4NLHwSm5ifSzDU6Bpump?handle=676050794bc1b1657a56b", "View")</f>
        <v/>
      </c>
    </row>
    <row r="21">
      <c r="A21" s="19" t="inlineStr">
        <is>
          <t>andy.exe</t>
        </is>
      </c>
      <c r="B21" s="20" t="n">
        <v>1454466</v>
      </c>
      <c r="C21" s="20" t="n">
        <v>1454466</v>
      </c>
      <c r="D21" s="20" t="inlineStr">
        <is>
          <t>0.002010</t>
        </is>
      </c>
      <c r="E21" s="20" t="inlineStr">
        <is>
          <t>0.099 SOL</t>
        </is>
      </c>
      <c r="F21" s="20" t="inlineStr">
        <is>
          <t>0.034 SOL</t>
        </is>
      </c>
      <c r="G21" s="24" t="inlineStr">
        <is>
          <t>-0.067 SOL</t>
        </is>
      </c>
      <c r="H21" s="24" t="inlineStr">
        <is>
          <t>-66.74%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03:37:11</t>
        </is>
      </c>
      <c r="M21" s="20" t="inlineStr">
        <is>
          <t>5 min</t>
        </is>
      </c>
      <c r="N21" s="20" t="inlineStr">
        <is>
          <t xml:space="preserve">         12K             4K             3K</t>
        </is>
      </c>
      <c r="O21" s="20" t="inlineStr">
        <is>
          <t>5sW1cLHDDjfQ4dqNbjjthNU86YW1xovCwJZwxZwapump</t>
        </is>
      </c>
      <c r="P21" s="20">
        <f>HYPERLINK("https://dexscreener.com/solana/5sW1cLHDDjfQ4dqNbjjthNU86YW1xovCwJZwxZwapump", "View")</f>
        <v/>
      </c>
    </row>
    <row r="22">
      <c r="A22" s="15" t="inlineStr">
        <is>
          <t>breakout</t>
        </is>
      </c>
      <c r="B22" s="16" t="n">
        <v>55466743</v>
      </c>
      <c r="C22" s="16" t="n">
        <v>18421845</v>
      </c>
      <c r="D22" s="16" t="inlineStr">
        <is>
          <t>0.014070</t>
        </is>
      </c>
      <c r="E22" s="16" t="inlineStr">
        <is>
          <t>2.514 SOL</t>
        </is>
      </c>
      <c r="F22" s="16" t="inlineStr">
        <is>
          <t>1.798 SOL</t>
        </is>
      </c>
      <c r="G22" s="21" t="inlineStr">
        <is>
          <t>-0.730 SOL</t>
        </is>
      </c>
      <c r="H22" s="21" t="inlineStr">
        <is>
          <t>-28.87%</t>
        </is>
      </c>
      <c r="I22" s="16" t="inlineStr">
        <is>
          <t>N/A</t>
        </is>
      </c>
      <c r="J22" s="16" t="n">
        <v>11</v>
      </c>
      <c r="K22" s="16" t="n">
        <v>3</v>
      </c>
      <c r="L22" s="16" t="inlineStr">
        <is>
          <t>30.10.2024 03:19:36</t>
        </is>
      </c>
      <c r="M22" s="16" t="inlineStr">
        <is>
          <t>11 days</t>
        </is>
      </c>
      <c r="N22" s="16" t="inlineStr">
        <is>
          <t xml:space="preserve">          4K             5K             3K</t>
        </is>
      </c>
      <c r="O22" s="16" t="inlineStr">
        <is>
          <t>5XWDAw6wtatcKBJcRxmcXgdnnnif8WiVjtU6SA9Tpump</t>
        </is>
      </c>
      <c r="P22" s="16">
        <f>HYPERLINK("https://photon-sol.tinyastro.io/en/lp/5XWDAw6wtatcKBJcRxmcXgdnnnif8WiVjtU6SA9Tpump?handle=676050794bc1b1657a56b", "View")</f>
        <v/>
      </c>
    </row>
    <row r="23">
      <c r="A23" s="19" t="inlineStr">
        <is>
          <t>50/20/30</t>
        </is>
      </c>
      <c r="B23" s="20" t="n">
        <v>12865982</v>
      </c>
      <c r="C23" s="20" t="n">
        <v>12865982</v>
      </c>
      <c r="D23" s="20" t="inlineStr">
        <is>
          <t>0.004020</t>
        </is>
      </c>
      <c r="E23" s="20" t="inlineStr">
        <is>
          <t>0.524 SOL</t>
        </is>
      </c>
      <c r="F23" s="20" t="inlineStr">
        <is>
          <t>0.520 SOL</t>
        </is>
      </c>
      <c r="G23" s="21" t="inlineStr">
        <is>
          <t>-0.008 SOL</t>
        </is>
      </c>
      <c r="H23" s="21" t="inlineStr">
        <is>
          <t>-1.49%</t>
        </is>
      </c>
      <c r="I23" s="20" t="inlineStr">
        <is>
          <t>N/A</t>
        </is>
      </c>
      <c r="J23" s="20" t="n">
        <v>2</v>
      </c>
      <c r="K23" s="20" t="n">
        <v>2</v>
      </c>
      <c r="L23" s="20" t="inlineStr">
        <is>
          <t>30.10.2024 02:37:02</t>
        </is>
      </c>
      <c r="M23" s="20" t="inlineStr">
        <is>
          <t>12 min</t>
        </is>
      </c>
      <c r="N23" s="20" t="inlineStr">
        <is>
          <t xml:space="preserve">          7K             9K             5K</t>
        </is>
      </c>
      <c r="O23" s="20" t="inlineStr">
        <is>
          <t>EvLAKKCvPYwMNnFUBMoHaEXBnegobzbs3LC1gnHTpump</t>
        </is>
      </c>
      <c r="P23" s="20">
        <f>HYPERLINK("https://photon-sol.tinyastro.io/en/lp/EvLAKKCvPYwMNnFUBMoHaEXBnegobzbs3LC1gnHTpump?handle=676050794bc1b1657a56b", "View")</f>
        <v/>
      </c>
    </row>
    <row r="24">
      <c r="A24" s="15" t="inlineStr">
        <is>
          <t>CREATOR</t>
        </is>
      </c>
      <c r="B24" s="16" t="n">
        <v>3091450</v>
      </c>
      <c r="C24" s="16" t="n">
        <v>3091450</v>
      </c>
      <c r="D24" s="16" t="inlineStr">
        <is>
          <t>0.002010</t>
        </is>
      </c>
      <c r="E24" s="16" t="inlineStr">
        <is>
          <t>0.263 SOL</t>
        </is>
      </c>
      <c r="F24" s="16" t="inlineStr">
        <is>
          <t>0.238 SOL</t>
        </is>
      </c>
      <c r="G24" s="21" t="inlineStr">
        <is>
          <t>-0.027 SOL</t>
        </is>
      </c>
      <c r="H24" s="21" t="inlineStr">
        <is>
          <t>-10.30%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02:31:16</t>
        </is>
      </c>
      <c r="M24" s="18" t="inlineStr">
        <is>
          <t>32 sec</t>
        </is>
      </c>
      <c r="N24" s="16" t="inlineStr">
        <is>
          <t xml:space="preserve">         16K            14K             5K</t>
        </is>
      </c>
      <c r="O24" s="16" t="inlineStr">
        <is>
          <t>8XNJ5rrbH8BzjMF6qAkJncvVYpCZzVQzckgsdArPpump</t>
        </is>
      </c>
      <c r="P24" s="16">
        <f>HYPERLINK("https://photon-sol.tinyastro.io/en/lp/8XNJ5rrbH8BzjMF6qAkJncvVYpCZzVQzckgsdArPpump?handle=676050794bc1b1657a56b", "View")</f>
        <v/>
      </c>
    </row>
    <row r="25">
      <c r="A25" s="19" t="inlineStr">
        <is>
          <t>SCREAM</t>
        </is>
      </c>
      <c r="B25" s="20" t="n">
        <v>8693591</v>
      </c>
      <c r="C25" s="20" t="n">
        <v>8693591</v>
      </c>
      <c r="D25" s="20" t="inlineStr">
        <is>
          <t>0.002010</t>
        </is>
      </c>
      <c r="E25" s="20" t="inlineStr">
        <is>
          <t>0.263 SOL</t>
        </is>
      </c>
      <c r="F25" s="20" t="inlineStr">
        <is>
          <t>0.229 SOL</t>
        </is>
      </c>
      <c r="G25" s="21" t="inlineStr">
        <is>
          <t>-0.036 SOL</t>
        </is>
      </c>
      <c r="H25" s="21" t="inlineStr">
        <is>
          <t>-13.55%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30.10.2024 02:18:06</t>
        </is>
      </c>
      <c r="M25" s="20" t="inlineStr">
        <is>
          <t>2 min</t>
        </is>
      </c>
      <c r="N25" s="20" t="inlineStr">
        <is>
          <t xml:space="preserve">          5K             5K             5K</t>
        </is>
      </c>
      <c r="O25" s="20" t="inlineStr">
        <is>
          <t>6yeG6rjGBVV66PY3MinWP4Ed2zJiQm4aZhoAFRf7PUMP</t>
        </is>
      </c>
      <c r="P25" s="20">
        <f>HYPERLINK("https://photon-sol.tinyastro.io/en/lp/6yeG6rjGBVV66PY3MinWP4Ed2zJiQm4aZhoAFRf7PUMP?handle=676050794bc1b1657a56b", "View")</f>
        <v/>
      </c>
    </row>
    <row r="26">
      <c r="A26" s="15" t="inlineStr">
        <is>
          <t xml:space="preserve">Leonardo </t>
        </is>
      </c>
      <c r="B26" s="16" t="n">
        <v>11294709</v>
      </c>
      <c r="C26" s="16" t="n">
        <v>11294709</v>
      </c>
      <c r="D26" s="16" t="inlineStr">
        <is>
          <t>0.002010</t>
        </is>
      </c>
      <c r="E26" s="16" t="inlineStr">
        <is>
          <t>0.513 SOL</t>
        </is>
      </c>
      <c r="F26" s="16" t="inlineStr">
        <is>
          <t>0.386 SOL</t>
        </is>
      </c>
      <c r="G26" s="21" t="inlineStr">
        <is>
          <t>-0.129 SOL</t>
        </is>
      </c>
      <c r="H26" s="21" t="inlineStr">
        <is>
          <t>-25.09%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27.10.2024 23:09:13</t>
        </is>
      </c>
      <c r="M26" s="16" t="inlineStr">
        <is>
          <t>6 hours</t>
        </is>
      </c>
      <c r="N26" s="16" t="inlineStr">
        <is>
          <t xml:space="preserve">          9K             5K             5K</t>
        </is>
      </c>
      <c r="O26" s="16" t="inlineStr">
        <is>
          <t>UkMzRwPj4zcRroy53mwcth2cJcahRs7gub9q878pump</t>
        </is>
      </c>
      <c r="P26" s="16">
        <f>HYPERLINK("https://photon-sol.tinyastro.io/en/lp/UkMzRwPj4zcRroy53mwcth2cJcahRs7gub9q878pump?handle=676050794bc1b1657a56b", "View")</f>
        <v/>
      </c>
    </row>
    <row r="27">
      <c r="A27" s="19" t="inlineStr">
        <is>
          <t>01</t>
        </is>
      </c>
      <c r="B27" s="20" t="n">
        <v>75718</v>
      </c>
      <c r="C27" s="20" t="n">
        <v>75718</v>
      </c>
      <c r="D27" s="20" t="inlineStr">
        <is>
          <t>0.004020</t>
        </is>
      </c>
      <c r="E27" s="20" t="inlineStr">
        <is>
          <t>0.495 SOL</t>
        </is>
      </c>
      <c r="F27" s="20" t="inlineStr">
        <is>
          <t>0.218 SOL</t>
        </is>
      </c>
      <c r="G27" s="24" t="inlineStr">
        <is>
          <t>-0.281 SOL</t>
        </is>
      </c>
      <c r="H27" s="24" t="inlineStr">
        <is>
          <t>-56.40%</t>
        </is>
      </c>
      <c r="I27" s="20" t="inlineStr">
        <is>
          <t>N/A</t>
        </is>
      </c>
      <c r="J27" s="20" t="n">
        <v>2</v>
      </c>
      <c r="K27" s="20" t="n">
        <v>2</v>
      </c>
      <c r="L27" s="20" t="inlineStr">
        <is>
          <t>27.10.2024 16:45:27</t>
        </is>
      </c>
      <c r="M27" s="20" t="inlineStr">
        <is>
          <t>5 days</t>
        </is>
      </c>
      <c r="N27" s="20" t="inlineStr">
        <is>
          <t xml:space="preserve">        855K             2M           138K</t>
        </is>
      </c>
      <c r="O27" s="20" t="inlineStr">
        <is>
          <t>GFGSBt8NUqXa6w33dScPXoJQsq7iNpjLXaB7FNj5pump</t>
        </is>
      </c>
      <c r="P27" s="20">
        <f>HYPERLINK("https://dexscreener.com/solana/GFGSBt8NUqXa6w33dScPXoJQsq7iNpjLXaB7FNj5pump", "View")</f>
        <v/>
      </c>
    </row>
    <row r="28">
      <c r="A28" s="15" t="inlineStr">
        <is>
          <t>MATRIX</t>
        </is>
      </c>
      <c r="B28" s="16" t="n">
        <v>376599</v>
      </c>
      <c r="C28" s="16" t="n">
        <v>376599</v>
      </c>
      <c r="D28" s="16" t="inlineStr">
        <is>
          <t>0.005020</t>
        </is>
      </c>
      <c r="E28" s="16" t="inlineStr">
        <is>
          <t>0.346 SOL</t>
        </is>
      </c>
      <c r="F28" s="16" t="inlineStr">
        <is>
          <t>1.205 SOL</t>
        </is>
      </c>
      <c r="G28" s="23" t="inlineStr">
        <is>
          <t>0.854 SOL</t>
        </is>
      </c>
      <c r="H28" s="23" t="inlineStr">
        <is>
          <t>242.85%</t>
        </is>
      </c>
      <c r="I28" s="16" t="inlineStr">
        <is>
          <t>N/A</t>
        </is>
      </c>
      <c r="J28" s="16" t="n">
        <v>2</v>
      </c>
      <c r="K28" s="16" t="n">
        <v>3</v>
      </c>
      <c r="L28" s="16" t="inlineStr">
        <is>
          <t>21.10.2024 23:34:16</t>
        </is>
      </c>
      <c r="M28" s="16" t="inlineStr">
        <is>
          <t>2 days</t>
        </is>
      </c>
      <c r="N28" s="16" t="inlineStr">
        <is>
          <t xml:space="preserve">        123K           846K            12K</t>
        </is>
      </c>
      <c r="O28" s="16" t="inlineStr">
        <is>
          <t>B8rewgn27navW3tBXuzErWPBHEb8gKZhrGkx7NuUpump</t>
        </is>
      </c>
      <c r="P28" s="16">
        <f>HYPERLINK("https://dexscreener.com/solana/B8rewgn27navW3tBXuzErWPBHEb8gKZhrGkx7NuUpump", "View")</f>
        <v/>
      </c>
    </row>
    <row r="29">
      <c r="A29" s="19" t="inlineStr">
        <is>
          <t>CATGF</t>
        </is>
      </c>
      <c r="B29" s="20" t="n">
        <v>63502</v>
      </c>
      <c r="C29" s="20" t="n">
        <v>63502</v>
      </c>
      <c r="D29" s="20" t="inlineStr">
        <is>
          <t>0.003020</t>
        </is>
      </c>
      <c r="E29" s="20" t="inlineStr">
        <is>
          <t>0.247 SOL</t>
        </is>
      </c>
      <c r="F29" s="20" t="inlineStr">
        <is>
          <t>0.952 SOL</t>
        </is>
      </c>
      <c r="G29" s="23" t="inlineStr">
        <is>
          <t>0.701 SOL</t>
        </is>
      </c>
      <c r="H29" s="23" t="inlineStr">
        <is>
          <t>279.99%</t>
        </is>
      </c>
      <c r="I29" s="20" t="inlineStr">
        <is>
          <t>N/A</t>
        </is>
      </c>
      <c r="J29" s="20" t="n">
        <v>1</v>
      </c>
      <c r="K29" s="20" t="n">
        <v>2</v>
      </c>
      <c r="L29" s="20" t="inlineStr">
        <is>
          <t>19.10.2024 23:49:36</t>
        </is>
      </c>
      <c r="M29" s="20" t="inlineStr">
        <is>
          <t>1 hours</t>
        </is>
      </c>
      <c r="N29" s="20" t="inlineStr">
        <is>
          <t xml:space="preserve">        685K             2M             4M</t>
        </is>
      </c>
      <c r="O29" s="20" t="inlineStr">
        <is>
          <t>GVwpWU5PtJFHS1mH35sHmsRN1XWUwRV3Qo94h5Lepump</t>
        </is>
      </c>
      <c r="P29" s="20">
        <f>HYPERLINK("https://dexscreener.com/solana/GVwpWU5PtJFHS1mH35sHmsRN1XWUwRV3Qo94h5Lepump", "View")</f>
        <v/>
      </c>
    </row>
    <row r="30">
      <c r="A30" s="15" t="inlineStr">
        <is>
          <t>REGARDS</t>
        </is>
      </c>
      <c r="B30" s="16" t="n">
        <v>4102998</v>
      </c>
      <c r="C30" s="16" t="n">
        <v>4102998</v>
      </c>
      <c r="D30" s="16" t="inlineStr">
        <is>
          <t>0.004130</t>
        </is>
      </c>
      <c r="E30" s="16" t="inlineStr">
        <is>
          <t>1.633 SOL</t>
        </is>
      </c>
      <c r="F30" s="16" t="inlineStr">
        <is>
          <t>1.628 SOL</t>
        </is>
      </c>
      <c r="G30" s="21" t="inlineStr">
        <is>
          <t>-0.010 SOL</t>
        </is>
      </c>
      <c r="H30" s="21" t="inlineStr">
        <is>
          <t>-0.58%</t>
        </is>
      </c>
      <c r="I30" s="16" t="inlineStr">
        <is>
          <t>N/A</t>
        </is>
      </c>
      <c r="J30" s="16" t="n">
        <v>3</v>
      </c>
      <c r="K30" s="16" t="n">
        <v>2</v>
      </c>
      <c r="L30" s="16" t="inlineStr">
        <is>
          <t>19.10.2024 22:36:45</t>
        </is>
      </c>
      <c r="M30" s="16" t="inlineStr">
        <is>
          <t>5 days</t>
        </is>
      </c>
      <c r="N30" s="16" t="inlineStr">
        <is>
          <t xml:space="preserve">         77K           105K            28K</t>
        </is>
      </c>
      <c r="O30" s="16" t="inlineStr">
        <is>
          <t>C9hmF1jY7RVuyzCrzFMiP79kjDVSun8SMJ78VV6tpump</t>
        </is>
      </c>
      <c r="P30" s="16">
        <f>HYPERLINK("https://dexscreener.com/solana/C9hmF1jY7RVuyzCrzFMiP79kjDVSun8SMJ78VV6tpump", "View")</f>
        <v/>
      </c>
    </row>
    <row r="31">
      <c r="A31" s="19" t="inlineStr">
        <is>
          <t>aitism</t>
        </is>
      </c>
      <c r="B31" s="20" t="n">
        <v>419380</v>
      </c>
      <c r="C31" s="20" t="n">
        <v>419380</v>
      </c>
      <c r="D31" s="20" t="inlineStr">
        <is>
          <t>0.002010</t>
        </is>
      </c>
      <c r="E31" s="20" t="inlineStr">
        <is>
          <t>0.247 SOL</t>
        </is>
      </c>
      <c r="F31" s="20" t="inlineStr">
        <is>
          <t>0.137 SOL</t>
        </is>
      </c>
      <c r="G31" s="21" t="inlineStr">
        <is>
          <t>-0.112 SOL</t>
        </is>
      </c>
      <c r="H31" s="21" t="inlineStr">
        <is>
          <t>-44.94%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19.10.2024 19:02:08</t>
        </is>
      </c>
      <c r="M31" s="20" t="inlineStr">
        <is>
          <t>32 min</t>
        </is>
      </c>
      <c r="N31" s="20" t="inlineStr">
        <is>
          <t xml:space="preserve">        104K            58K             9K</t>
        </is>
      </c>
      <c r="O31" s="20" t="inlineStr">
        <is>
          <t>7EqfS5kHGj3mLiBaFZ2B91GccdKoUcBQvLmqkaKjpump</t>
        </is>
      </c>
      <c r="P31" s="20">
        <f>HYPERLINK("https://dexscreener.com/solana/7EqfS5kHGj3mLiBaFZ2B91GccdKoUcBQvLmqkaKjpump", "View")</f>
        <v/>
      </c>
    </row>
    <row r="32">
      <c r="A32" s="15" t="inlineStr">
        <is>
          <t>WOKE</t>
        </is>
      </c>
      <c r="B32" s="16" t="n">
        <v>2343856</v>
      </c>
      <c r="C32" s="16" t="n">
        <v>2343856</v>
      </c>
      <c r="D32" s="16" t="inlineStr">
        <is>
          <t>0.003020</t>
        </is>
      </c>
      <c r="E32" s="16" t="inlineStr">
        <is>
          <t>0.247 SOL</t>
        </is>
      </c>
      <c r="F32" s="16" t="inlineStr">
        <is>
          <t>0.484 SOL</t>
        </is>
      </c>
      <c r="G32" s="23" t="inlineStr">
        <is>
          <t>0.234 SOL</t>
        </is>
      </c>
      <c r="H32" s="23" t="inlineStr">
        <is>
          <t>93.39%</t>
        </is>
      </c>
      <c r="I32" s="16" t="inlineStr">
        <is>
          <t>N/A</t>
        </is>
      </c>
      <c r="J32" s="16" t="n">
        <v>1</v>
      </c>
      <c r="K32" s="16" t="n">
        <v>2</v>
      </c>
      <c r="L32" s="16" t="inlineStr">
        <is>
          <t>19.10.2024 18:30:08</t>
        </is>
      </c>
      <c r="M32" s="16" t="inlineStr">
        <is>
          <t>4 hours</t>
        </is>
      </c>
      <c r="N32" s="16" t="inlineStr">
        <is>
          <t xml:space="preserve">         19K            33K             9K</t>
        </is>
      </c>
      <c r="O32" s="16" t="inlineStr">
        <is>
          <t>2DADkJ3D1XrXvvPNjCndSjKyck1tbeKJufVUgyPmpump</t>
        </is>
      </c>
      <c r="P32" s="16">
        <f>HYPERLINK("https://dexscreener.com/solana/2DADkJ3D1XrXvvPNjCndSjKyck1tbeKJufVUgyPmpump", "View")</f>
        <v/>
      </c>
    </row>
    <row r="33">
      <c r="A33" s="19" t="inlineStr">
        <is>
          <t>YUKI</t>
        </is>
      </c>
      <c r="B33" s="20" t="n">
        <v>4402651</v>
      </c>
      <c r="C33" s="20" t="n">
        <v>4402651</v>
      </c>
      <c r="D33" s="20" t="inlineStr">
        <is>
          <t>0.003020</t>
        </is>
      </c>
      <c r="E33" s="20" t="inlineStr">
        <is>
          <t>0.263 SOL</t>
        </is>
      </c>
      <c r="F33" s="20" t="inlineStr">
        <is>
          <t>0.364 SOL</t>
        </is>
      </c>
      <c r="G33" s="22" t="inlineStr">
        <is>
          <t>0.098 SOL</t>
        </is>
      </c>
      <c r="H33" s="22" t="inlineStr">
        <is>
          <t>36.77%</t>
        </is>
      </c>
      <c r="I33" s="20" t="inlineStr">
        <is>
          <t>N/A</t>
        </is>
      </c>
      <c r="J33" s="20" t="n">
        <v>1</v>
      </c>
      <c r="K33" s="20" t="n">
        <v>2</v>
      </c>
      <c r="L33" s="20" t="inlineStr">
        <is>
          <t>18.10.2024 16:33:15</t>
        </is>
      </c>
      <c r="M33" s="20" t="inlineStr">
        <is>
          <t>18 min</t>
        </is>
      </c>
      <c r="N33" s="20" t="inlineStr">
        <is>
          <t xml:space="preserve">         11K            11K             5K</t>
        </is>
      </c>
      <c r="O33" s="20" t="inlineStr">
        <is>
          <t>HxxtYk7ifxCZ8BdYkskMYUF6Kj2PT6zDdm75tkwkpump</t>
        </is>
      </c>
      <c r="P33" s="20">
        <f>HYPERLINK("https://photon-sol.tinyastro.io/en/lp/HxxtYk7ifxCZ8BdYkskMYUF6Kj2PT6zDdm75tkwkpump?handle=676050794bc1b1657a56b", "View")</f>
        <v/>
      </c>
    </row>
    <row r="34">
      <c r="A34" s="15" t="inlineStr">
        <is>
          <t>oCAT</t>
        </is>
      </c>
      <c r="B34" s="16" t="n">
        <v>162916</v>
      </c>
      <c r="C34" s="16" t="n">
        <v>162916</v>
      </c>
      <c r="D34" s="16" t="inlineStr">
        <is>
          <t>0.002010</t>
        </is>
      </c>
      <c r="E34" s="16" t="inlineStr">
        <is>
          <t>0.247 SOL</t>
        </is>
      </c>
      <c r="F34" s="16" t="inlineStr">
        <is>
          <t>0.192 SOL</t>
        </is>
      </c>
      <c r="G34" s="21" t="inlineStr">
        <is>
          <t>-0.058 SOL</t>
        </is>
      </c>
      <c r="H34" s="21" t="inlineStr">
        <is>
          <t>-23.10%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18.10.2024 03:53:11</t>
        </is>
      </c>
      <c r="M34" s="16" t="inlineStr">
        <is>
          <t>10 min</t>
        </is>
      </c>
      <c r="N34" s="16" t="inlineStr">
        <is>
          <t xml:space="preserve">        267K           207K             7K</t>
        </is>
      </c>
      <c r="O34" s="16" t="inlineStr">
        <is>
          <t>8GoqNAmJB61CYFnuq9rLXpbBomNrZcw1HArceUmFpump</t>
        </is>
      </c>
      <c r="P34" s="16">
        <f>HYPERLINK("https://dexscreener.com/solana/8GoqNAmJB61CYFnuq9rLXpbBomNrZcw1HArceUmFpump", "View")</f>
        <v/>
      </c>
    </row>
    <row r="35">
      <c r="A35" s="19" t="inlineStr">
        <is>
          <t>clown</t>
        </is>
      </c>
      <c r="B35" s="20" t="n">
        <v>420158</v>
      </c>
      <c r="C35" s="20" t="n">
        <v>420158</v>
      </c>
      <c r="D35" s="20" t="inlineStr">
        <is>
          <t>0.005020</t>
        </is>
      </c>
      <c r="E35" s="20" t="inlineStr">
        <is>
          <t>1.139 SOL</t>
        </is>
      </c>
      <c r="F35" s="20" t="inlineStr">
        <is>
          <t>1.268 SOL</t>
        </is>
      </c>
      <c r="G35" s="22" t="inlineStr">
        <is>
          <t>0.125 SOL</t>
        </is>
      </c>
      <c r="H35" s="22" t="inlineStr">
        <is>
          <t>10.93%</t>
        </is>
      </c>
      <c r="I35" s="20" t="inlineStr">
        <is>
          <t>N/A</t>
        </is>
      </c>
      <c r="J35" s="20" t="n">
        <v>3</v>
      </c>
      <c r="K35" s="20" t="n">
        <v>2</v>
      </c>
      <c r="L35" s="20" t="inlineStr">
        <is>
          <t>14.10.2024 22:31:47</t>
        </is>
      </c>
      <c r="M35" s="20" t="inlineStr">
        <is>
          <t>2 months</t>
        </is>
      </c>
      <c r="N35" s="20" t="inlineStr">
        <is>
          <t xml:space="preserve">        485K           620K           223K</t>
        </is>
      </c>
      <c r="O35" s="20" t="inlineStr">
        <is>
          <t>6nVs35kce2CW5bvnXjTNFVQ6Vjqy9DkDK2Up66Nupump</t>
        </is>
      </c>
      <c r="P35" s="20">
        <f>HYPERLINK("https://dexscreener.com/solana/6nVs35kce2CW5bvnXjTNFVQ6Vjqy9DkDK2Up66Nupump", "View")</f>
        <v/>
      </c>
    </row>
    <row r="36">
      <c r="A36" s="15" t="inlineStr">
        <is>
          <t>zen</t>
        </is>
      </c>
      <c r="B36" s="16" t="n">
        <v>138187</v>
      </c>
      <c r="C36" s="16" t="n">
        <v>138187</v>
      </c>
      <c r="D36" s="16" t="inlineStr">
        <is>
          <t>0.002010</t>
        </is>
      </c>
      <c r="E36" s="16" t="inlineStr">
        <is>
          <t>0.247 SOL</t>
        </is>
      </c>
      <c r="F36" s="16" t="inlineStr">
        <is>
          <t>0.137 SOL</t>
        </is>
      </c>
      <c r="G36" s="21" t="inlineStr">
        <is>
          <t>-0.112 SOL</t>
        </is>
      </c>
      <c r="H36" s="21" t="inlineStr">
        <is>
          <t>-45.06%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11.10.2024 13:27:54</t>
        </is>
      </c>
      <c r="M36" s="16" t="inlineStr">
        <is>
          <t>1 days</t>
        </is>
      </c>
      <c r="N36" s="16" t="inlineStr">
        <is>
          <t xml:space="preserve">        313K           173K            10K</t>
        </is>
      </c>
      <c r="O36" s="16" t="inlineStr">
        <is>
          <t>FcgY2rCHmzWpV5BHJYa3xcUhsEreQyAJ1vD2d2uzpump</t>
        </is>
      </c>
      <c r="P36" s="16">
        <f>HYPERLINK("https://dexscreener.com/solana/FcgY2rCHmzWpV5BHJYa3xcUhsEreQyAJ1vD2d2uzpump", "View")</f>
        <v/>
      </c>
    </row>
    <row r="37">
      <c r="A37" s="19" t="inlineStr">
        <is>
          <t>420BC</t>
        </is>
      </c>
      <c r="B37" s="20" t="n">
        <v>161386</v>
      </c>
      <c r="C37" s="20" t="n">
        <v>161386</v>
      </c>
      <c r="D37" s="20" t="inlineStr">
        <is>
          <t>0.002010</t>
        </is>
      </c>
      <c r="E37" s="20" t="inlineStr">
        <is>
          <t>0.053 SOL</t>
        </is>
      </c>
      <c r="F37" s="20" t="inlineStr">
        <is>
          <t>0.004 SOL</t>
        </is>
      </c>
      <c r="G37" s="24" t="inlineStr">
        <is>
          <t>-0.051 SOL</t>
        </is>
      </c>
      <c r="H37" s="24" t="inlineStr">
        <is>
          <t>-93.15%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10.09.2024 17:11:08</t>
        </is>
      </c>
      <c r="M37" s="20" t="inlineStr">
        <is>
          <t>2 hours</t>
        </is>
      </c>
      <c r="N37" s="20" t="inlineStr">
        <is>
          <t xml:space="preserve">        N/A           N/A           N/A</t>
        </is>
      </c>
      <c r="O37" s="20" t="inlineStr">
        <is>
          <t>FSq65hmcQqj1uCyVtAcmnzqL6fsVW2veSubuWJg8X7Am</t>
        </is>
      </c>
      <c r="P37" s="20">
        <f>HYPERLINK("https://photon-sol.tinyastro.io/en/lp/FSq65hmcQqj1uCyVtAcmnzqL6fsVW2veSubuWJg8X7Am?handle=676050794bc1b1657a56b", "View")</f>
        <v/>
      </c>
    </row>
    <row r="38">
      <c r="A38" s="15" t="inlineStr">
        <is>
          <t>CROCS</t>
        </is>
      </c>
      <c r="B38" s="16" t="n">
        <v>44212</v>
      </c>
      <c r="C38" s="16" t="n">
        <v>44212</v>
      </c>
      <c r="D38" s="16" t="inlineStr">
        <is>
          <t>0.003020</t>
        </is>
      </c>
      <c r="E38" s="16" t="inlineStr">
        <is>
          <t>0.990 SOL</t>
        </is>
      </c>
      <c r="F38" s="16" t="inlineStr">
        <is>
          <t>0.065 SOL</t>
        </is>
      </c>
      <c r="G38" s="24" t="inlineStr">
        <is>
          <t>-0.928 SOL</t>
        </is>
      </c>
      <c r="H38" s="24" t="inlineStr">
        <is>
          <t>-93.46%</t>
        </is>
      </c>
      <c r="I38" s="16" t="inlineStr">
        <is>
          <t>N/A</t>
        </is>
      </c>
      <c r="J38" s="16" t="n">
        <v>2</v>
      </c>
      <c r="K38" s="16" t="n">
        <v>1</v>
      </c>
      <c r="L38" s="16" t="inlineStr">
        <is>
          <t>10.09.2024 14:32:19</t>
        </is>
      </c>
      <c r="M38" s="16" t="inlineStr">
        <is>
          <t>1 months</t>
        </is>
      </c>
      <c r="N38" s="16" t="inlineStr">
        <is>
          <t xml:space="preserve">          4M           258K           672K</t>
        </is>
      </c>
      <c r="O38" s="16" t="inlineStr">
        <is>
          <t>7u6WirUYbf3kJdZQoPTCYjgU5rpVg21LuXLKmmCUpump</t>
        </is>
      </c>
      <c r="P38" s="16">
        <f>HYPERLINK("https://dexscreener.com/solana/7u6WirUYbf3kJdZQoPTCYjgU5rpVg21LuXLKmmCUpump", "View")</f>
        <v/>
      </c>
    </row>
    <row r="39">
      <c r="A39" s="19" t="inlineStr">
        <is>
          <t>check</t>
        </is>
      </c>
      <c r="B39" s="20" t="n">
        <v>969639</v>
      </c>
      <c r="C39" s="20" t="n">
        <v>969639</v>
      </c>
      <c r="D39" s="20" t="inlineStr">
        <is>
          <t>0.002010</t>
        </is>
      </c>
      <c r="E39" s="20" t="inlineStr">
        <is>
          <t>0.396 SOL</t>
        </is>
      </c>
      <c r="F39" s="20" t="inlineStr">
        <is>
          <t>1.056 SOL</t>
        </is>
      </c>
      <c r="G39" s="23" t="inlineStr">
        <is>
          <t>0.658 SOL</t>
        </is>
      </c>
      <c r="H39" s="23" t="inlineStr">
        <is>
          <t>165.37%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11.08.2024 21:43:30</t>
        </is>
      </c>
      <c r="M39" s="20" t="inlineStr">
        <is>
          <t>37 min</t>
        </is>
      </c>
      <c r="N39" s="20" t="inlineStr">
        <is>
          <t xml:space="preserve">         70K           185K             6K</t>
        </is>
      </c>
      <c r="O39" s="20" t="inlineStr">
        <is>
          <t>8RRW1gY6yqm7FNaM2siBbqFFf5Et2nrKEdLX5oKApump</t>
        </is>
      </c>
      <c r="P39" s="20">
        <f>HYPERLINK("https://dexscreener.com/solana/8RRW1gY6yqm7FNaM2siBbqFFf5Et2nrKEdLX5oKApump", "View")</f>
        <v/>
      </c>
    </row>
    <row r="40">
      <c r="A40" s="15" t="inlineStr">
        <is>
          <t>FKH</t>
        </is>
      </c>
      <c r="B40" s="16" t="n">
        <v>219940</v>
      </c>
      <c r="C40" s="16" t="n">
        <v>219940</v>
      </c>
      <c r="D40" s="16" t="inlineStr">
        <is>
          <t>0.002010</t>
        </is>
      </c>
      <c r="E40" s="16" t="inlineStr">
        <is>
          <t>0.495 SOL</t>
        </is>
      </c>
      <c r="F40" s="16" t="inlineStr">
        <is>
          <t>0.913 SOL</t>
        </is>
      </c>
      <c r="G40" s="23" t="inlineStr">
        <is>
          <t>0.416 SOL</t>
        </is>
      </c>
      <c r="H40" s="23" t="inlineStr">
        <is>
          <t>83.64%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10.08.2024 17:48:20</t>
        </is>
      </c>
      <c r="M40" s="16" t="inlineStr">
        <is>
          <t>1 hours</t>
        </is>
      </c>
      <c r="N40" s="16" t="inlineStr">
        <is>
          <t xml:space="preserve">        391K           721K            22K</t>
        </is>
      </c>
      <c r="O40" s="16" t="inlineStr">
        <is>
          <t>EKSuhPJ9SjiEieMeKxwJ3BnF849cTZC4ZEPYvYpWpump</t>
        </is>
      </c>
      <c r="P40" s="16">
        <f>HYPERLINK("https://dexscreener.com/solana/EKSuhPJ9SjiEieMeKxwJ3BnF849cTZC4ZEPYvYpWpump", "View")</f>
        <v/>
      </c>
    </row>
    <row r="41">
      <c r="A41" s="19" t="inlineStr">
        <is>
          <t>BULK</t>
        </is>
      </c>
      <c r="B41" s="20" t="n">
        <v>15905674</v>
      </c>
      <c r="C41" s="20" t="n">
        <v>15905674</v>
      </c>
      <c r="D41" s="20" t="inlineStr">
        <is>
          <t>0.002010</t>
        </is>
      </c>
      <c r="E41" s="20" t="inlineStr">
        <is>
          <t>0.713 SOL</t>
        </is>
      </c>
      <c r="F41" s="20" t="inlineStr">
        <is>
          <t>0.666 SOL</t>
        </is>
      </c>
      <c r="G41" s="21" t="inlineStr">
        <is>
          <t>-0.049 SOL</t>
        </is>
      </c>
      <c r="H41" s="21" t="inlineStr">
        <is>
          <t>-6.91%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10.08.2024 17:24:44</t>
        </is>
      </c>
      <c r="M41" s="20" t="inlineStr">
        <is>
          <t>4 min</t>
        </is>
      </c>
      <c r="N41" s="20" t="inlineStr">
        <is>
          <t xml:space="preserve">          7K             7K             3K</t>
        </is>
      </c>
      <c r="O41" s="20" t="inlineStr">
        <is>
          <t>AnjGBUBbAyp41Ao5HLXdPzuDcr7QQhJpywBipHRXpump</t>
        </is>
      </c>
      <c r="P41" s="20">
        <f>HYPERLINK("https://photon-sol.tinyastro.io/en/lp/AnjGBUBbAyp41Ao5HLXdPzuDcr7QQhJpywBipHRXpump?handle=676050794bc1b1657a56b", "View")</f>
        <v/>
      </c>
    </row>
    <row r="42">
      <c r="A42" s="15" t="inlineStr">
        <is>
          <t xml:space="preserve">tab </t>
        </is>
      </c>
      <c r="B42" s="16" t="n">
        <v>3499773</v>
      </c>
      <c r="C42" s="16" t="n">
        <v>3499773</v>
      </c>
      <c r="D42" s="16" t="inlineStr">
        <is>
          <t>0.002010</t>
        </is>
      </c>
      <c r="E42" s="16" t="inlineStr">
        <is>
          <t>0.513 SOL</t>
        </is>
      </c>
      <c r="F42" s="16" t="inlineStr">
        <is>
          <t>0.300 SOL</t>
        </is>
      </c>
      <c r="G42" s="21" t="inlineStr">
        <is>
          <t>-0.215 SOL</t>
        </is>
      </c>
      <c r="H42" s="21" t="inlineStr">
        <is>
          <t>-41.79%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10.08.2024 16:52:41</t>
        </is>
      </c>
      <c r="M42" s="16" t="inlineStr">
        <is>
          <t>8 min</t>
        </is>
      </c>
      <c r="N42" s="16" t="inlineStr">
        <is>
          <t xml:space="preserve">        N/A           N/A           N/A</t>
        </is>
      </c>
      <c r="O42" s="16" t="inlineStr">
        <is>
          <t>B9pA2gWc2xnwXPiodCb8hRJiM4cV5XqVnJ1j4L1ppump</t>
        </is>
      </c>
      <c r="P42" s="16">
        <f>HYPERLINK("https://photon-sol.tinyastro.io/en/lp/B9pA2gWc2xnwXPiodCb8hRJiM4cV5XqVnJ1j4L1ppump?handle=676050794bc1b1657a56b", "View")</f>
        <v/>
      </c>
    </row>
    <row r="43">
      <c r="A43" s="19" t="inlineStr">
        <is>
          <t>dolphy</t>
        </is>
      </c>
      <c r="B43" s="20" t="n">
        <v>6462167</v>
      </c>
      <c r="C43" s="20" t="n">
        <v>6462167</v>
      </c>
      <c r="D43" s="20" t="inlineStr">
        <is>
          <t>0.002010</t>
        </is>
      </c>
      <c r="E43" s="20" t="inlineStr">
        <is>
          <t>0.513 SOL</t>
        </is>
      </c>
      <c r="F43" s="20" t="inlineStr">
        <is>
          <t>0.440 SOL</t>
        </is>
      </c>
      <c r="G43" s="21" t="inlineStr">
        <is>
          <t>-0.075 SOL</t>
        </is>
      </c>
      <c r="H43" s="21" t="inlineStr">
        <is>
          <t>-14.54%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10.08.2024 16:19:40</t>
        </is>
      </c>
      <c r="M43" s="18" t="inlineStr">
        <is>
          <t>11 sec</t>
        </is>
      </c>
      <c r="N43" s="20" t="inlineStr">
        <is>
          <t xml:space="preserve">        N/A           N/A           N/A</t>
        </is>
      </c>
      <c r="O43" s="20" t="inlineStr">
        <is>
          <t>CpZUxGdgfCiJevKCP8f4Sy58py4sx35MUMN54eQnWDdk</t>
        </is>
      </c>
      <c r="P43" s="20">
        <f>HYPERLINK("https://photon-sol.tinyastro.io/en/lp/CpZUxGdgfCiJevKCP8f4Sy58py4sx35MUMN54eQnWDdk?handle=676050794bc1b1657a56b", "View")</f>
        <v/>
      </c>
    </row>
    <row r="44">
      <c r="A44" s="15" t="inlineStr">
        <is>
          <t>police</t>
        </is>
      </c>
      <c r="B44" s="16" t="n">
        <v>15069253</v>
      </c>
      <c r="C44" s="16" t="n">
        <v>15069253</v>
      </c>
      <c r="D44" s="16" t="inlineStr">
        <is>
          <t>0.003020</t>
        </is>
      </c>
      <c r="E44" s="16" t="inlineStr">
        <is>
          <t>1.024 SOL</t>
        </is>
      </c>
      <c r="F44" s="16" t="inlineStr">
        <is>
          <t>0.929 SOL</t>
        </is>
      </c>
      <c r="G44" s="21" t="inlineStr">
        <is>
          <t>-0.098 SOL</t>
        </is>
      </c>
      <c r="H44" s="21" t="inlineStr">
        <is>
          <t>-9.52%</t>
        </is>
      </c>
      <c r="I44" s="16" t="inlineStr">
        <is>
          <t>N/A</t>
        </is>
      </c>
      <c r="J44" s="16" t="n">
        <v>2</v>
      </c>
      <c r="K44" s="16" t="n">
        <v>1</v>
      </c>
      <c r="L44" s="16" t="inlineStr">
        <is>
          <t>10.08.2024 16:10:14</t>
        </is>
      </c>
      <c r="M44" s="18" t="inlineStr">
        <is>
          <t>54 sec</t>
        </is>
      </c>
      <c r="N44" s="16" t="inlineStr">
        <is>
          <t xml:space="preserve">         12K            11K             3K</t>
        </is>
      </c>
      <c r="O44" s="16" t="inlineStr">
        <is>
          <t>A9EuZYpV3ahUSp3dfSTYvHLu74Xajs28JvnHPiUbziCS</t>
        </is>
      </c>
      <c r="P44" s="16">
        <f>HYPERLINK("https://photon-sol.tinyastro.io/en/lp/A9EuZYpV3ahUSp3dfSTYvHLu74Xajs28JvnHPiUbziCS?handle=676050794bc1b1657a56b", "View")</f>
        <v/>
      </c>
    </row>
    <row r="45">
      <c r="A45" s="19" t="inlineStr">
        <is>
          <t>recycle</t>
        </is>
      </c>
      <c r="B45" s="20" t="n">
        <v>6105813</v>
      </c>
      <c r="C45" s="20" t="n">
        <v>6105813</v>
      </c>
      <c r="D45" s="20" t="inlineStr">
        <is>
          <t>0.002010</t>
        </is>
      </c>
      <c r="E45" s="20" t="inlineStr">
        <is>
          <t>0.263 SOL</t>
        </is>
      </c>
      <c r="F45" s="20" t="inlineStr">
        <is>
          <t>0.193 SOL</t>
        </is>
      </c>
      <c r="G45" s="21" t="inlineStr">
        <is>
          <t>-0.072 SOL</t>
        </is>
      </c>
      <c r="H45" s="21" t="inlineStr">
        <is>
          <t>-27.31%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09.08.2024 09:51:56</t>
        </is>
      </c>
      <c r="M45" s="18" t="inlineStr">
        <is>
          <t>38 sec</t>
        </is>
      </c>
      <c r="N45" s="20" t="inlineStr">
        <is>
          <t xml:space="preserve">        N/A           N/A           N/A</t>
        </is>
      </c>
      <c r="O45" s="20" t="inlineStr">
        <is>
          <t>FgzAuKWjuFzm9YEGV1YsHVTjT6Y3CH6MUGmK7HZRpump</t>
        </is>
      </c>
      <c r="P45" s="20">
        <f>HYPERLINK("https://photon-sol.tinyastro.io/en/lp/FgzAuKWjuFzm9YEGV1YsHVTjT6Y3CH6MUGmK7HZRpump?handle=676050794bc1b1657a56b", "View")</f>
        <v/>
      </c>
    </row>
    <row r="46">
      <c r="A46" s="15" t="inlineStr">
        <is>
          <t>FTR</t>
        </is>
      </c>
      <c r="B46" s="16" t="n">
        <v>1624447</v>
      </c>
      <c r="C46" s="16" t="n">
        <v>1624447</v>
      </c>
      <c r="D46" s="16" t="inlineStr">
        <is>
          <t>0.003020</t>
        </is>
      </c>
      <c r="E46" s="16" t="inlineStr">
        <is>
          <t>0.990 SOL</t>
        </is>
      </c>
      <c r="F46" s="16" t="inlineStr">
        <is>
          <t>1.863 SOL</t>
        </is>
      </c>
      <c r="G46" s="23" t="inlineStr">
        <is>
          <t>0.870 SOL</t>
        </is>
      </c>
      <c r="H46" s="23" t="inlineStr">
        <is>
          <t>87.60%</t>
        </is>
      </c>
      <c r="I46" s="16" t="inlineStr">
        <is>
          <t>N/A</t>
        </is>
      </c>
      <c r="J46" s="16" t="n">
        <v>1</v>
      </c>
      <c r="K46" s="16" t="n">
        <v>2</v>
      </c>
      <c r="L46" s="16" t="inlineStr">
        <is>
          <t>08.08.2024 18:35:03</t>
        </is>
      </c>
      <c r="M46" s="16" t="inlineStr">
        <is>
          <t>18 min</t>
        </is>
      </c>
      <c r="N46" s="16" t="inlineStr">
        <is>
          <t xml:space="preserve">        107K           144K             5K</t>
        </is>
      </c>
      <c r="O46" s="16" t="inlineStr">
        <is>
          <t>5bv5XoLb4RgZgc4joghGPfyN5fwdVqfkYQyYQfFPpump</t>
        </is>
      </c>
      <c r="P46" s="16">
        <f>HYPERLINK("https://dexscreener.com/solana/5bv5XoLb4RgZgc4joghGPfyN5fwdVqfkYQyYQfFPpump", "View")</f>
        <v/>
      </c>
    </row>
    <row r="47">
      <c r="A47" s="19" t="inlineStr">
        <is>
          <t>ticker</t>
        </is>
      </c>
      <c r="B47" s="20" t="n">
        <v>593939</v>
      </c>
      <c r="C47" s="20" t="n">
        <v>593939</v>
      </c>
      <c r="D47" s="20" t="inlineStr">
        <is>
          <t>0.003020</t>
        </is>
      </c>
      <c r="E47" s="20" t="inlineStr">
        <is>
          <t>1.980 SOL</t>
        </is>
      </c>
      <c r="F47" s="20" t="inlineStr">
        <is>
          <t>0.615 SOL</t>
        </is>
      </c>
      <c r="G47" s="24" t="inlineStr">
        <is>
          <t>-1.368 SOL</t>
        </is>
      </c>
      <c r="H47" s="24" t="inlineStr">
        <is>
          <t>-68.98%</t>
        </is>
      </c>
      <c r="I47" s="20" t="inlineStr">
        <is>
          <t>N/A</t>
        </is>
      </c>
      <c r="J47" s="20" t="n">
        <v>2</v>
      </c>
      <c r="K47" s="20" t="n">
        <v>1</v>
      </c>
      <c r="L47" s="20" t="inlineStr">
        <is>
          <t>07.08.2024 20:26:47</t>
        </is>
      </c>
      <c r="M47" s="20" t="inlineStr">
        <is>
          <t>6 hours</t>
        </is>
      </c>
      <c r="N47" s="20" t="inlineStr">
        <is>
          <t xml:space="preserve">        558K           162K             7K</t>
        </is>
      </c>
      <c r="O47" s="20" t="inlineStr">
        <is>
          <t>BUhKum32LdwybN8vRLVLbUkhBGW2tQv4uDRudnvQpump</t>
        </is>
      </c>
      <c r="P47" s="20">
        <f>HYPERLINK("https://dexscreener.com/solana/BUhKum32LdwybN8vRLVLbUkhBGW2tQv4uDRudnvQpump", "View")</f>
        <v/>
      </c>
    </row>
    <row r="48">
      <c r="A48" s="15" t="inlineStr">
        <is>
          <t>ANAL</t>
        </is>
      </c>
      <c r="B48" s="16" t="n">
        <v>10410880</v>
      </c>
      <c r="C48" s="16" t="n">
        <v>10410880</v>
      </c>
      <c r="D48" s="16" t="inlineStr">
        <is>
          <t>0.002010</t>
        </is>
      </c>
      <c r="E48" s="16" t="inlineStr">
        <is>
          <t>0.513 SOL</t>
        </is>
      </c>
      <c r="F48" s="16" t="inlineStr">
        <is>
          <t>0.317 SOL</t>
        </is>
      </c>
      <c r="G48" s="21" t="inlineStr">
        <is>
          <t>-0.198 SOL</t>
        </is>
      </c>
      <c r="H48" s="21" t="inlineStr">
        <is>
          <t>-38.50%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07.08.2024 17:12:05</t>
        </is>
      </c>
      <c r="M48" s="16" t="inlineStr">
        <is>
          <t>1 min</t>
        </is>
      </c>
      <c r="N48" s="16" t="inlineStr">
        <is>
          <t xml:space="preserve">        N/A           N/A           N/A</t>
        </is>
      </c>
      <c r="O48" s="16" t="inlineStr">
        <is>
          <t>AQGYNRS7yCPwZVyuaxGXLEse4dsSg8QLx5zH5aGapump</t>
        </is>
      </c>
      <c r="P48" s="16">
        <f>HYPERLINK("https://photon-sol.tinyastro.io/en/lp/AQGYNRS7yCPwZVyuaxGXLEse4dsSg8QLx5zH5aGapump?handle=676050794bc1b1657a56b", "View")</f>
        <v/>
      </c>
    </row>
    <row r="49">
      <c r="A49" s="19" t="inlineStr">
        <is>
          <t>$</t>
        </is>
      </c>
      <c r="B49" s="20" t="n">
        <v>31747491</v>
      </c>
      <c r="C49" s="20" t="n">
        <v>31747491</v>
      </c>
      <c r="D49" s="20" t="inlineStr">
        <is>
          <t>0.002010</t>
        </is>
      </c>
      <c r="E49" s="20" t="inlineStr">
        <is>
          <t>1.013 SOL</t>
        </is>
      </c>
      <c r="F49" s="20" t="inlineStr">
        <is>
          <t>0.950 SOL</t>
        </is>
      </c>
      <c r="G49" s="21" t="inlineStr">
        <is>
          <t>-0.065 SOL</t>
        </is>
      </c>
      <c r="H49" s="21" t="inlineStr">
        <is>
          <t>-6.45%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07.08.2024 17:03:13</t>
        </is>
      </c>
      <c r="M49" s="18" t="inlineStr">
        <is>
          <t>33 sec</t>
        </is>
      </c>
      <c r="N49" s="20" t="inlineStr">
        <is>
          <t xml:space="preserve">        N/A           N/A           N/A</t>
        </is>
      </c>
      <c r="O49" s="20" t="inlineStr">
        <is>
          <t>DAuVueFep5DHUXPPDCK54bcQykE9QccocUvovCympump</t>
        </is>
      </c>
      <c r="P49" s="20">
        <f>HYPERLINK("https://photon-sol.tinyastro.io/en/lp/DAuVueFep5DHUXPPDCK54bcQykE9QccocUvovCympump?handle=676050794bc1b1657a56b", "View")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63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HYPERLINK("https://gmgn.ai/sol/address/7ETzevrpd9fbdyz4qoukTEgpS7cJe2o4JvYzm58A5E74", "GMGN")</f>
        <v/>
      </c>
    </row>
    <row r="2">
      <c r="A2" s="3" t="inlineStr">
        <is>
          <t>7ETzevrpd9fbdyz4qoukTEgpS7cJe2o4JvYzm58A5E74</t>
        </is>
      </c>
      <c r="B2" s="3" t="inlineStr">
        <is>
          <t>78.50 SOL</t>
        </is>
      </c>
      <c r="C2" s="3" t="inlineStr">
        <is>
          <t>45%</t>
        </is>
      </c>
      <c r="D2" s="3" t="inlineStr">
        <is>
          <t>70%</t>
        </is>
      </c>
      <c r="E2" s="3" t="inlineStr">
        <is>
          <t>86.29 SOL</t>
        </is>
      </c>
      <c r="F2" s="3" t="inlineStr">
        <is>
          <t>5 (11%)</t>
        </is>
      </c>
      <c r="G2" s="3" t="inlineStr">
        <is>
          <t>0 (0%)</t>
        </is>
      </c>
      <c r="H2" s="3" t="n">
        <v>44</v>
      </c>
      <c r="I2" s="3" t="n">
        <v>0</v>
      </c>
      <c r="J2" s="3" t="inlineStr">
        <is>
          <t>52 days</t>
        </is>
      </c>
      <c r="K2" s="3" t="inlineStr">
        <is>
          <t>25 min</t>
        </is>
      </c>
      <c r="L2" s="3" t="n">
        <v>24</v>
      </c>
      <c r="M2" s="3" t="n">
        <v>23</v>
      </c>
      <c r="N2" s="3">
        <f>HYPERLINK("https://solscan.io/account/7ETzevrpd9fbdyz4qoukTEgpS7cJe2o4JvYzm58A5E74", "Solscan")</f>
        <v/>
      </c>
    </row>
    <row r="3">
      <c r="A3" s="6" t="inlineStr">
        <is>
          <t>Median ROI</t>
        </is>
      </c>
      <c r="B3" s="5" t="inlineStr">
        <is>
          <t>-13.77%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HYPERLINK("https://birdeye.so/profile/7ETzevrpd9fbdyz4qoukTEgpS7cJe2o4JvYzm58A5E74", "Birdeye")</f>
        <v/>
      </c>
    </row>
    <row r="4">
      <c r="A4" s="6" t="inlineStr">
        <is>
          <t>Rockets percent</t>
        </is>
      </c>
      <c r="B4" s="3" t="inlineStr">
        <is>
          <t>30%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55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1.5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10</v>
      </c>
      <c r="D10" s="6" t="n">
        <v>1</v>
      </c>
      <c r="E10" s="6" t="n">
        <v>6</v>
      </c>
      <c r="F10" s="6" t="n">
        <v>11</v>
      </c>
      <c r="G10" s="6" t="n">
        <v>13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6.8%</t>
        </is>
      </c>
      <c r="C11" s="6" t="inlineStr">
        <is>
          <t>22.7%</t>
        </is>
      </c>
      <c r="D11" s="6" t="inlineStr">
        <is>
          <t>2.3%</t>
        </is>
      </c>
      <c r="E11" s="6" t="inlineStr">
        <is>
          <t>13.6%</t>
        </is>
      </c>
      <c r="F11" s="6" t="inlineStr">
        <is>
          <t>25.0%</t>
        </is>
      </c>
      <c r="G11" s="6" t="inlineStr">
        <is>
          <t>29.5%</t>
        </is>
      </c>
      <c r="H11" s="3" t="n"/>
      <c r="I11" s="3" t="inlineStr">
        <is>
          <t>5k-30k</t>
        </is>
      </c>
      <c r="J11" s="3" t="inlineStr">
        <is>
          <t>17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83.3 SOL</t>
        </is>
      </c>
      <c r="C12" s="6" t="inlineStr">
        <is>
          <t>31.6 SOL</t>
        </is>
      </c>
      <c r="D12" s="6" t="inlineStr">
        <is>
          <t>0.3 SOL</t>
        </is>
      </c>
      <c r="E12" s="6" t="inlineStr">
        <is>
          <t>8.5 SOL</t>
        </is>
      </c>
      <c r="F12" s="6" t="inlineStr">
        <is>
          <t>-4.2 SOL</t>
        </is>
      </c>
      <c r="G12" s="6" t="inlineStr">
        <is>
          <t>-33.2 SOL</t>
        </is>
      </c>
      <c r="H12" s="3" t="n"/>
      <c r="I12" s="3" t="inlineStr">
        <is>
          <t>30k-100k</t>
        </is>
      </c>
      <c r="J12" s="3" t="inlineStr">
        <is>
          <t>7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4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8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32.5K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CICADA</t>
        </is>
      </c>
      <c r="B20" s="16" t="n">
        <v>18037912</v>
      </c>
      <c r="C20" s="16" t="n">
        <v>18037912</v>
      </c>
      <c r="D20" s="16" t="inlineStr">
        <is>
          <t>0.050010</t>
        </is>
      </c>
      <c r="E20" s="16" t="inlineStr">
        <is>
          <t>1.170 SOL</t>
        </is>
      </c>
      <c r="F20" s="16" t="inlineStr">
        <is>
          <t>1.386 SOL</t>
        </is>
      </c>
      <c r="G20" s="22" t="inlineStr">
        <is>
          <t>0.166 SOL</t>
        </is>
      </c>
      <c r="H20" s="22" t="inlineStr">
        <is>
          <t>13.57%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05:17:27</t>
        </is>
      </c>
      <c r="M20" s="18" t="inlineStr">
        <is>
          <t>48 sec</t>
        </is>
      </c>
      <c r="N20" s="16" t="inlineStr">
        <is>
          <t xml:space="preserve">         11K            14K             5K</t>
        </is>
      </c>
      <c r="O20" s="16" t="inlineStr">
        <is>
          <t>5rnrdS2o7hyGq3GGXWK7aZwEqo46kiAHbEB6rDyypump</t>
        </is>
      </c>
      <c r="P20" s="16">
        <f>HYPERLINK("https://photon-sol.tinyastro.io/en/lp/5rnrdS2o7hyGq3GGXWK7aZwEqo46kiAHbEB6rDyypump?handle=676050794bc1b1657a56b", "View")</f>
        <v/>
      </c>
    </row>
    <row r="21">
      <c r="A21" s="19" t="inlineStr">
        <is>
          <t>KERMIT</t>
        </is>
      </c>
      <c r="B21" s="20" t="n">
        <v>9786079</v>
      </c>
      <c r="C21" s="20" t="n">
        <v>9786079</v>
      </c>
      <c r="D21" s="20" t="inlineStr">
        <is>
          <t>0.050010</t>
        </is>
      </c>
      <c r="E21" s="20" t="inlineStr">
        <is>
          <t>0.534 SOL</t>
        </is>
      </c>
      <c r="F21" s="20" t="inlineStr">
        <is>
          <t>0.594 SOL</t>
        </is>
      </c>
      <c r="G21" s="22" t="inlineStr">
        <is>
          <t>0.010 SOL</t>
        </is>
      </c>
      <c r="H21" s="22" t="inlineStr">
        <is>
          <t>1.72%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04:41:00</t>
        </is>
      </c>
      <c r="M21" s="20" t="inlineStr">
        <is>
          <t>1 min</t>
        </is>
      </c>
      <c r="N21" s="20" t="inlineStr">
        <is>
          <t xml:space="preserve">          9K            11K             5K</t>
        </is>
      </c>
      <c r="O21" s="20" t="inlineStr">
        <is>
          <t>8bLxsNrr73K44BgtAFnE5bQkbxMrjv1Y6gLD5SWcpump</t>
        </is>
      </c>
      <c r="P21" s="20">
        <f>HYPERLINK("https://photon-sol.tinyastro.io/en/lp/8bLxsNrr73K44BgtAFnE5bQkbxMrjv1Y6gLD5SWcpump?handle=676050794bc1b1657a56b", "View")</f>
        <v/>
      </c>
    </row>
    <row r="22">
      <c r="A22" s="15" t="inlineStr">
        <is>
          <t>MONKEY</t>
        </is>
      </c>
      <c r="B22" s="16" t="n">
        <v>2762492</v>
      </c>
      <c r="C22" s="16" t="n">
        <v>2762492</v>
      </c>
      <c r="D22" s="16" t="inlineStr">
        <is>
          <t>0.050010</t>
        </is>
      </c>
      <c r="E22" s="16" t="inlineStr">
        <is>
          <t>0.321 SOL</t>
        </is>
      </c>
      <c r="F22" s="16" t="inlineStr">
        <is>
          <t>0.320 SOL</t>
        </is>
      </c>
      <c r="G22" s="21" t="inlineStr">
        <is>
          <t>-0.050 SOL</t>
        </is>
      </c>
      <c r="H22" s="21" t="inlineStr">
        <is>
          <t>-13.55%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02:42:43</t>
        </is>
      </c>
      <c r="M22" s="16" t="inlineStr">
        <is>
          <t>47 min</t>
        </is>
      </c>
      <c r="N22" s="16" t="inlineStr">
        <is>
          <t xml:space="preserve">         21K            21K             3K</t>
        </is>
      </c>
      <c r="O22" s="16" t="inlineStr">
        <is>
          <t>EKHqneY5hYrMH7Vn8SnTFGrXcuNpBsRm2tzRqsxqpump</t>
        </is>
      </c>
      <c r="P22" s="16">
        <f>HYPERLINK("https://photon-sol.tinyastro.io/en/lp/EKHqneY5hYrMH7Vn8SnTFGrXcuNpBsRm2tzRqsxqpump?handle=676050794bc1b1657a56b", "View")</f>
        <v/>
      </c>
    </row>
    <row r="23">
      <c r="A23" s="19" t="inlineStr">
        <is>
          <t>NUTBUTT</t>
        </is>
      </c>
      <c r="B23" s="20" t="n">
        <v>3177884</v>
      </c>
      <c r="C23" s="20" t="n">
        <v>3177884</v>
      </c>
      <c r="D23" s="20" t="inlineStr">
        <is>
          <t>0.050010</t>
        </is>
      </c>
      <c r="E23" s="20" t="inlineStr">
        <is>
          <t>2.000 SOL</t>
        </is>
      </c>
      <c r="F23" s="20" t="inlineStr">
        <is>
          <t>1.597 SOL</t>
        </is>
      </c>
      <c r="G23" s="21" t="inlineStr">
        <is>
          <t>-0.453 SOL</t>
        </is>
      </c>
      <c r="H23" s="21" t="inlineStr">
        <is>
          <t>-22.07%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01:54:31</t>
        </is>
      </c>
      <c r="M23" s="18" t="inlineStr">
        <is>
          <t>17 sec</t>
        </is>
      </c>
      <c r="N23" s="20" t="inlineStr">
        <is>
          <t xml:space="preserve">        111K            88K           657K</t>
        </is>
      </c>
      <c r="O23" s="20" t="inlineStr">
        <is>
          <t>CFBYjzT357obRmihT9F5uyCY3kqgksRvXKM3RJN1pump</t>
        </is>
      </c>
      <c r="P23" s="20">
        <f>HYPERLINK("https://dexscreener.com/solana/CFBYjzT357obRmihT9F5uyCY3kqgksRvXKM3RJN1pump", "View")</f>
        <v/>
      </c>
    </row>
    <row r="24">
      <c r="A24" s="15" t="inlineStr">
        <is>
          <t>$FF</t>
        </is>
      </c>
      <c r="B24" s="16" t="n">
        <v>1064570</v>
      </c>
      <c r="C24" s="16" t="n">
        <v>1064570</v>
      </c>
      <c r="D24" s="16" t="inlineStr">
        <is>
          <t>0.050010</t>
        </is>
      </c>
      <c r="E24" s="16" t="inlineStr">
        <is>
          <t>20.000 SOL</t>
        </is>
      </c>
      <c r="F24" s="16" t="inlineStr">
        <is>
          <t>27.292 SOL</t>
        </is>
      </c>
      <c r="G24" s="22" t="inlineStr">
        <is>
          <t>7.242 SOL</t>
        </is>
      </c>
      <c r="H24" s="22" t="inlineStr">
        <is>
          <t>36.12%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18:53:25</t>
        </is>
      </c>
      <c r="M24" s="16" t="inlineStr">
        <is>
          <t>15 min</t>
        </is>
      </c>
      <c r="N24" s="16" t="inlineStr">
        <is>
          <t xml:space="preserve">          3M             4M           647K</t>
        </is>
      </c>
      <c r="O24" s="16" t="inlineStr">
        <is>
          <t>DqWbfzoFmZPrrQP7MdqYvwZbCkBNu2fSSaJqUrqEVYyX</t>
        </is>
      </c>
      <c r="P24" s="16">
        <f>HYPERLINK("https://dexscreener.com/solana/DqWbfzoFmZPrrQP7MdqYvwZbCkBNu2fSSaJqUrqEVYyX", "View")</f>
        <v/>
      </c>
    </row>
    <row r="25">
      <c r="A25" s="19" t="inlineStr">
        <is>
          <t>Sonny</t>
        </is>
      </c>
      <c r="B25" s="20" t="n">
        <v>10337667</v>
      </c>
      <c r="C25" s="20" t="n">
        <v>10337667</v>
      </c>
      <c r="D25" s="20" t="inlineStr">
        <is>
          <t>0.050010</t>
        </is>
      </c>
      <c r="E25" s="20" t="inlineStr">
        <is>
          <t>2.000 SOL</t>
        </is>
      </c>
      <c r="F25" s="20" t="inlineStr">
        <is>
          <t>6.314 SOL</t>
        </is>
      </c>
      <c r="G25" s="23" t="inlineStr">
        <is>
          <t>4.264 SOL</t>
        </is>
      </c>
      <c r="H25" s="23" t="inlineStr">
        <is>
          <t>207.98%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29.10.2024 15:48:29</t>
        </is>
      </c>
      <c r="M25" s="20" t="inlineStr">
        <is>
          <t>6 min</t>
        </is>
      </c>
      <c r="N25" s="20" t="inlineStr">
        <is>
          <t xml:space="preserve">         33K           107K            22K</t>
        </is>
      </c>
      <c r="O25" s="20" t="inlineStr">
        <is>
          <t>GJRgAWJ56BxvYcaeCQJJhxgxzxfNYBRhPRuY4rY3pump</t>
        </is>
      </c>
      <c r="P25" s="20">
        <f>HYPERLINK("https://dexscreener.com/solana/GJRgAWJ56BxvYcaeCQJJhxgxzxfNYBRhPRuY4rY3pump", "View")</f>
        <v/>
      </c>
    </row>
    <row r="26">
      <c r="A26" s="15" t="inlineStr">
        <is>
          <t>LONGCAT</t>
        </is>
      </c>
      <c r="B26" s="16" t="n">
        <v>15469665</v>
      </c>
      <c r="C26" s="16" t="n">
        <v>15469665</v>
      </c>
      <c r="D26" s="16" t="inlineStr">
        <is>
          <t>0.050010</t>
        </is>
      </c>
      <c r="E26" s="16" t="inlineStr">
        <is>
          <t>0.553 SOL</t>
        </is>
      </c>
      <c r="F26" s="16" t="inlineStr">
        <is>
          <t>1.297 SOL</t>
        </is>
      </c>
      <c r="G26" s="23" t="inlineStr">
        <is>
          <t>0.694 SOL</t>
        </is>
      </c>
      <c r="H26" s="23" t="inlineStr">
        <is>
          <t>115.11%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29.10.2024 05:41:18</t>
        </is>
      </c>
      <c r="M26" s="18" t="inlineStr">
        <is>
          <t>34 sec</t>
        </is>
      </c>
      <c r="N26" s="16" t="inlineStr">
        <is>
          <t xml:space="preserve">          7K            14K             5K</t>
        </is>
      </c>
      <c r="O26" s="16" t="inlineStr">
        <is>
          <t>ARsKsw5eBtihJ3JDyX7qfsiLXNHaRA7Box8Ct2RPpump</t>
        </is>
      </c>
      <c r="P26" s="16">
        <f>HYPERLINK("https://photon-sol.tinyastro.io/en/lp/ARsKsw5eBtihJ3JDyX7qfsiLXNHaRA7Box8Ct2RPpump?handle=676050794bc1b1657a56b", "View")</f>
        <v/>
      </c>
    </row>
    <row r="27">
      <c r="A27" s="19" t="inlineStr">
        <is>
          <t>DUCKHEAD</t>
        </is>
      </c>
      <c r="B27" s="20" t="n">
        <v>22010374</v>
      </c>
      <c r="C27" s="20" t="n">
        <v>22010374</v>
      </c>
      <c r="D27" s="20" t="inlineStr">
        <is>
          <t>0.050010</t>
        </is>
      </c>
      <c r="E27" s="20" t="inlineStr">
        <is>
          <t>5.000 SOL</t>
        </is>
      </c>
      <c r="F27" s="20" t="inlineStr">
        <is>
          <t>2.067 SOL</t>
        </is>
      </c>
      <c r="G27" s="24" t="inlineStr">
        <is>
          <t>-2.983 SOL</t>
        </is>
      </c>
      <c r="H27" s="24" t="inlineStr">
        <is>
          <t>-59.08%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28.10.2024 18:18:47</t>
        </is>
      </c>
      <c r="M27" s="20" t="inlineStr">
        <is>
          <t>2 min</t>
        </is>
      </c>
      <c r="N27" s="20" t="inlineStr">
        <is>
          <t xml:space="preserve">         40K            16K             4K</t>
        </is>
      </c>
      <c r="O27" s="20" t="inlineStr">
        <is>
          <t>8udpTqbwD9JrFM9idC311xKPGtuFGzti65hZvXrmpump</t>
        </is>
      </c>
      <c r="P27" s="20">
        <f>HYPERLINK("https://dexscreener.com/solana/8udpTqbwD9JrFM9idC311xKPGtuFGzti65hZvXrmpump", "View")</f>
        <v/>
      </c>
    </row>
    <row r="28">
      <c r="A28" s="15" t="inlineStr">
        <is>
          <t>PORK</t>
        </is>
      </c>
      <c r="B28" s="16" t="n">
        <v>2316974</v>
      </c>
      <c r="C28" s="16" t="n">
        <v>2316974</v>
      </c>
      <c r="D28" s="16" t="inlineStr">
        <is>
          <t>0.020010</t>
        </is>
      </c>
      <c r="E28" s="16" t="inlineStr">
        <is>
          <t>1.000 SOL</t>
        </is>
      </c>
      <c r="F28" s="16" t="inlineStr">
        <is>
          <t>0.175 SOL</t>
        </is>
      </c>
      <c r="G28" s="24" t="inlineStr">
        <is>
          <t>-0.845 SOL</t>
        </is>
      </c>
      <c r="H28" s="24" t="inlineStr">
        <is>
          <t>-82.89%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24.10.2024 19:45:04</t>
        </is>
      </c>
      <c r="M28" s="16" t="inlineStr">
        <is>
          <t>11 days</t>
        </is>
      </c>
      <c r="N28" s="16" t="inlineStr">
        <is>
          <t xml:space="preserve">         76K            76K            12K</t>
        </is>
      </c>
      <c r="O28" s="16" t="inlineStr">
        <is>
          <t>53jNHSaRU9sTqrZ39Xnf2pSJCQv7o4SF62vCjNbpump</t>
        </is>
      </c>
      <c r="P28" s="16">
        <f>HYPERLINK("https://dexscreener.com/solana/53jNHSaRU9sTqrZ39Xnf2pSJCQv7o4SF62vCjNbpump", "View")</f>
        <v/>
      </c>
    </row>
    <row r="29">
      <c r="A29" s="19" t="inlineStr">
        <is>
          <t>LILY</t>
        </is>
      </c>
      <c r="B29" s="20" t="n">
        <v>684974</v>
      </c>
      <c r="C29" s="20" t="n">
        <v>684974</v>
      </c>
      <c r="D29" s="20" t="inlineStr">
        <is>
          <t>0.070040</t>
        </is>
      </c>
      <c r="E29" s="20" t="inlineStr">
        <is>
          <t>11.000 SOL</t>
        </is>
      </c>
      <c r="F29" s="20" t="inlineStr">
        <is>
          <t>9.458 SOL</t>
        </is>
      </c>
      <c r="G29" s="21" t="inlineStr">
        <is>
          <t>-1.612 SOL</t>
        </is>
      </c>
      <c r="H29" s="21" t="inlineStr">
        <is>
          <t>-14.56%</t>
        </is>
      </c>
      <c r="I29" s="20" t="inlineStr">
        <is>
          <t>N/A</t>
        </is>
      </c>
      <c r="J29" s="20" t="n">
        <v>4</v>
      </c>
      <c r="K29" s="20" t="n">
        <v>3</v>
      </c>
      <c r="L29" s="20" t="inlineStr">
        <is>
          <t>24.10.2024 19:44:12</t>
        </is>
      </c>
      <c r="M29" s="20" t="inlineStr">
        <is>
          <t>10 days</t>
        </is>
      </c>
      <c r="N29" s="20" t="inlineStr">
        <is>
          <t xml:space="preserve">        N/A           N/A           N/A</t>
        </is>
      </c>
      <c r="O29" s="20" t="inlineStr">
        <is>
          <t>9o81cWB4kAWZ1hxxpakTsCTorJAwehPtxDKxMA564poi</t>
        </is>
      </c>
      <c r="P29" s="20">
        <f>HYPERLINK("https://dexscreener.com/solana/9o81cWB4kAWZ1hxxpakTsCTorJAwehPtxDKxMA564poi", "View")</f>
        <v/>
      </c>
    </row>
    <row r="30">
      <c r="A30" s="15" t="inlineStr">
        <is>
          <t>GARY</t>
        </is>
      </c>
      <c r="B30" s="16" t="n">
        <v>9369940</v>
      </c>
      <c r="C30" s="16" t="n">
        <v>9369940</v>
      </c>
      <c r="D30" s="16" t="inlineStr">
        <is>
          <t>0.050010</t>
        </is>
      </c>
      <c r="E30" s="16" t="inlineStr">
        <is>
          <t>1.096 SOL</t>
        </is>
      </c>
      <c r="F30" s="16" t="inlineStr">
        <is>
          <t>0.215 SOL</t>
        </is>
      </c>
      <c r="G30" s="24" t="inlineStr">
        <is>
          <t>-0.931 SOL</t>
        </is>
      </c>
      <c r="H30" s="24" t="inlineStr">
        <is>
          <t>-81.26%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24.10.2024 19:43:58</t>
        </is>
      </c>
      <c r="M30" s="16" t="inlineStr">
        <is>
          <t>17 hours</t>
        </is>
      </c>
      <c r="N30" s="16" t="inlineStr">
        <is>
          <t xml:space="preserve">         21K            21K             4K</t>
        </is>
      </c>
      <c r="O30" s="16" t="inlineStr">
        <is>
          <t>EU76bzoa5zeJtXNu5W5s5hf3dfVHhwCcK1Hf8oWqpump</t>
        </is>
      </c>
      <c r="P30" s="16">
        <f>HYPERLINK("https://photon-sol.tinyastro.io/en/lp/EU76bzoa5zeJtXNu5W5s5hf3dfVHhwCcK1Hf8oWqpump?handle=676050794bc1b1657a56b", "View")</f>
        <v/>
      </c>
    </row>
    <row r="31">
      <c r="A31" s="19" t="inlineStr">
        <is>
          <t>Wang</t>
        </is>
      </c>
      <c r="B31" s="20" t="n">
        <v>1137325</v>
      </c>
      <c r="C31" s="20" t="n">
        <v>1137325</v>
      </c>
      <c r="D31" s="20" t="inlineStr">
        <is>
          <t>0.050010</t>
        </is>
      </c>
      <c r="E31" s="20" t="inlineStr">
        <is>
          <t>0.500 SOL</t>
        </is>
      </c>
      <c r="F31" s="20" t="inlineStr">
        <is>
          <t>0.114 SOL</t>
        </is>
      </c>
      <c r="G31" s="24" t="inlineStr">
        <is>
          <t>-0.436 SOL</t>
        </is>
      </c>
      <c r="H31" s="24" t="inlineStr">
        <is>
          <t>-79.19%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24.10.2024 19:39:26</t>
        </is>
      </c>
      <c r="M31" s="18" t="inlineStr">
        <is>
          <t>56 sec</t>
        </is>
      </c>
      <c r="N31" s="20" t="inlineStr">
        <is>
          <t xml:space="preserve">         73K            17K             3K</t>
        </is>
      </c>
      <c r="O31" s="20" t="inlineStr">
        <is>
          <t>FtTCSrm5cyu8jRA6Gdyzt6Wmp5T1FsCEZXXufY77pump</t>
        </is>
      </c>
      <c r="P31" s="20">
        <f>HYPERLINK("https://dexscreener.com/solana/FtTCSrm5cyu8jRA6Gdyzt6Wmp5T1FsCEZXXufY77pump", "View")</f>
        <v/>
      </c>
    </row>
    <row r="32">
      <c r="A32" s="15" t="inlineStr">
        <is>
          <t>DBABY</t>
        </is>
      </c>
      <c r="B32" s="16" t="n">
        <v>12474560</v>
      </c>
      <c r="C32" s="16" t="n">
        <v>12474560</v>
      </c>
      <c r="D32" s="16" t="inlineStr">
        <is>
          <t>0.050010</t>
        </is>
      </c>
      <c r="E32" s="16" t="inlineStr">
        <is>
          <t>1.300 SOL</t>
        </is>
      </c>
      <c r="F32" s="16" t="inlineStr">
        <is>
          <t>1.230 SOL</t>
        </is>
      </c>
      <c r="G32" s="21" t="inlineStr">
        <is>
          <t>-0.120 SOL</t>
        </is>
      </c>
      <c r="H32" s="21" t="inlineStr">
        <is>
          <t>-8.92%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24.10.2024 03:54:54</t>
        </is>
      </c>
      <c r="M32" s="16" t="inlineStr">
        <is>
          <t>17 min</t>
        </is>
      </c>
      <c r="N32" s="16" t="inlineStr">
        <is>
          <t xml:space="preserve">         18K            18K             6K</t>
        </is>
      </c>
      <c r="O32" s="16" t="inlineStr">
        <is>
          <t>Az5kXAMsNbpdgpm4X3JNBxTtDLuyhetJeL5Wy3ropump</t>
        </is>
      </c>
      <c r="P32" s="16">
        <f>HYPERLINK("https://photon-sol.tinyastro.io/en/lp/Az5kXAMsNbpdgpm4X3JNBxTtDLuyhetJeL5Wy3ropump?handle=676050794bc1b1657a56b", "View")</f>
        <v/>
      </c>
    </row>
    <row r="33">
      <c r="A33" s="19" t="inlineStr">
        <is>
          <t>BABEL</t>
        </is>
      </c>
      <c r="B33" s="20" t="n">
        <v>1263695</v>
      </c>
      <c r="C33" s="20" t="n">
        <v>1263695</v>
      </c>
      <c r="D33" s="20" t="inlineStr">
        <is>
          <t>0.050010</t>
        </is>
      </c>
      <c r="E33" s="20" t="inlineStr">
        <is>
          <t>3.000 SOL</t>
        </is>
      </c>
      <c r="F33" s="20" t="inlineStr">
        <is>
          <t>0.440 SOL</t>
        </is>
      </c>
      <c r="G33" s="24" t="inlineStr">
        <is>
          <t>-2.610 SOL</t>
        </is>
      </c>
      <c r="H33" s="24" t="inlineStr">
        <is>
          <t>-85.58%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23.10.2024 20:48:25</t>
        </is>
      </c>
      <c r="M33" s="20" t="inlineStr">
        <is>
          <t>3 hours</t>
        </is>
      </c>
      <c r="N33" s="20" t="inlineStr">
        <is>
          <t xml:space="preserve">        416K           416K            11K</t>
        </is>
      </c>
      <c r="O33" s="20" t="inlineStr">
        <is>
          <t>D5BD9DGd95cqop5MV1Ph5v24MLTSB26RYcwUizSpump</t>
        </is>
      </c>
      <c r="P33" s="20">
        <f>HYPERLINK("https://dexscreener.com/solana/D5BD9DGd95cqop5MV1Ph5v24MLTSB26RYcwUizSpump", "View")</f>
        <v/>
      </c>
    </row>
    <row r="34">
      <c r="A34" s="15" t="inlineStr">
        <is>
          <t>APOKI</t>
        </is>
      </c>
      <c r="B34" s="16" t="n">
        <v>9332706</v>
      </c>
      <c r="C34" s="16" t="n">
        <v>9332706</v>
      </c>
      <c r="D34" s="16" t="inlineStr">
        <is>
          <t>0.090010</t>
        </is>
      </c>
      <c r="E34" s="16" t="inlineStr">
        <is>
          <t>1.634 SOL</t>
        </is>
      </c>
      <c r="F34" s="16" t="inlineStr">
        <is>
          <t>0.829 SOL</t>
        </is>
      </c>
      <c r="G34" s="24" t="inlineStr">
        <is>
          <t>-0.895 SOL</t>
        </is>
      </c>
      <c r="H34" s="24" t="inlineStr">
        <is>
          <t>-51.91%</t>
        </is>
      </c>
      <c r="I34" s="16" t="inlineStr">
        <is>
          <t>N/A</t>
        </is>
      </c>
      <c r="J34" s="16" t="n">
        <v>2</v>
      </c>
      <c r="K34" s="16" t="n">
        <v>1</v>
      </c>
      <c r="L34" s="16" t="inlineStr">
        <is>
          <t>23.10.2024 20:47:13</t>
        </is>
      </c>
      <c r="M34" s="16" t="inlineStr">
        <is>
          <t>4 hours</t>
        </is>
      </c>
      <c r="N34" s="16" t="inlineStr">
        <is>
          <t xml:space="preserve">        N/A           N/A           N/A</t>
        </is>
      </c>
      <c r="O34" s="16" t="inlineStr">
        <is>
          <t>AJoWXH9PEJkWxHnByLWcKEuSfG3eHGoJiCtHo7Xbpump</t>
        </is>
      </c>
      <c r="P34" s="16">
        <f>HYPERLINK("https://photon-sol.tinyastro.io/en/lp/AJoWXH9PEJkWxHnByLWcKEuSfG3eHGoJiCtHo7Xbpump?handle=676050794bc1b1657a56b", "View")</f>
        <v/>
      </c>
    </row>
    <row r="35">
      <c r="A35" s="19" t="inlineStr">
        <is>
          <t>flux</t>
        </is>
      </c>
      <c r="B35" s="20" t="n">
        <v>3102129</v>
      </c>
      <c r="C35" s="20" t="n">
        <v>3102129</v>
      </c>
      <c r="D35" s="20" t="inlineStr">
        <is>
          <t>0.050010</t>
        </is>
      </c>
      <c r="E35" s="20" t="inlineStr">
        <is>
          <t>5.000 SOL</t>
        </is>
      </c>
      <c r="F35" s="20" t="inlineStr">
        <is>
          <t>13.239 SOL</t>
        </is>
      </c>
      <c r="G35" s="23" t="inlineStr">
        <is>
          <t>8.189 SOL</t>
        </is>
      </c>
      <c r="H35" s="23" t="inlineStr">
        <is>
          <t>162.15%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23.10.2024 20:16:02</t>
        </is>
      </c>
      <c r="M35" s="20" t="inlineStr">
        <is>
          <t>4 hours</t>
        </is>
      </c>
      <c r="N35" s="20" t="inlineStr">
        <is>
          <t xml:space="preserve">        283K           283K            17K</t>
        </is>
      </c>
      <c r="O35" s="20" t="inlineStr">
        <is>
          <t>3xhDkG9BgTBnwM5D3PACpJxwtmJ1Py9LzpvmkD67pump</t>
        </is>
      </c>
      <c r="P35" s="20">
        <f>HYPERLINK("https://dexscreener.com/solana/3xhDkG9BgTBnwM5D3PACpJxwtmJ1Py9LzpvmkD67pump", "View")</f>
        <v/>
      </c>
    </row>
    <row r="36">
      <c r="A36" s="15" t="inlineStr">
        <is>
          <t>PSTAR</t>
        </is>
      </c>
      <c r="B36" s="16" t="n">
        <v>765417</v>
      </c>
      <c r="C36" s="16" t="n">
        <v>765417</v>
      </c>
      <c r="D36" s="16" t="inlineStr">
        <is>
          <t>0.090010</t>
        </is>
      </c>
      <c r="E36" s="16" t="inlineStr">
        <is>
          <t>20.000 SOL</t>
        </is>
      </c>
      <c r="F36" s="16" t="inlineStr">
        <is>
          <t>4.367 SOL</t>
        </is>
      </c>
      <c r="G36" s="24" t="inlineStr">
        <is>
          <t>-15.723 SOL</t>
        </is>
      </c>
      <c r="H36" s="24" t="inlineStr">
        <is>
          <t>-78.26%</t>
        </is>
      </c>
      <c r="I36" s="16" t="inlineStr">
        <is>
          <t>N/A</t>
        </is>
      </c>
      <c r="J36" s="16" t="n">
        <v>2</v>
      </c>
      <c r="K36" s="16" t="n">
        <v>1</v>
      </c>
      <c r="L36" s="16" t="inlineStr">
        <is>
          <t>23.10.2024 19:04:20</t>
        </is>
      </c>
      <c r="M36" s="16" t="inlineStr">
        <is>
          <t>1 hours</t>
        </is>
      </c>
      <c r="N36" s="16" t="inlineStr">
        <is>
          <t xml:space="preserve">          4M             6M            35K</t>
        </is>
      </c>
      <c r="O36" s="16" t="inlineStr">
        <is>
          <t>8Z2h8VsYqUoExZNwrtGQ1LQiHru6nnUsPSpvCwNapump</t>
        </is>
      </c>
      <c r="P36" s="16">
        <f>HYPERLINK("https://dexscreener.com/solana/8Z2h8VsYqUoExZNwrtGQ1LQiHru6nnUsPSpvCwNapump", "View")</f>
        <v/>
      </c>
    </row>
    <row r="37">
      <c r="A37" s="19" t="inlineStr">
        <is>
          <t>FurryAI</t>
        </is>
      </c>
      <c r="B37" s="20" t="n">
        <v>843739</v>
      </c>
      <c r="C37" s="20" t="n">
        <v>843739</v>
      </c>
      <c r="D37" s="20" t="inlineStr">
        <is>
          <t>0.050010</t>
        </is>
      </c>
      <c r="E37" s="20" t="inlineStr">
        <is>
          <t>3.000 SOL</t>
        </is>
      </c>
      <c r="F37" s="20" t="inlineStr">
        <is>
          <t>2.137 SOL</t>
        </is>
      </c>
      <c r="G37" s="21" t="inlineStr">
        <is>
          <t>-0.913 SOL</t>
        </is>
      </c>
      <c r="H37" s="21" t="inlineStr">
        <is>
          <t>-29.94%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23.10.2024 18:50:50</t>
        </is>
      </c>
      <c r="M37" s="20" t="inlineStr">
        <is>
          <t>3 min</t>
        </is>
      </c>
      <c r="N37" s="20" t="inlineStr">
        <is>
          <t xml:space="preserve">        625K           444K            19K</t>
        </is>
      </c>
      <c r="O37" s="20" t="inlineStr">
        <is>
          <t>9LfMC4nKssr3wg1iAdBPXt97AQ1sFJBLVdP8UDHmpump</t>
        </is>
      </c>
      <c r="P37" s="20">
        <f>HYPERLINK("https://dexscreener.com/solana/9LfMC4nKssr3wg1iAdBPXt97AQ1sFJBLVdP8UDHmpump", "View")</f>
        <v/>
      </c>
    </row>
    <row r="38">
      <c r="A38" s="15" t="inlineStr">
        <is>
          <t>CC</t>
        </is>
      </c>
      <c r="B38" s="16" t="n">
        <v>1993455</v>
      </c>
      <c r="C38" s="16" t="n">
        <v>1993455</v>
      </c>
      <c r="D38" s="16" t="inlineStr">
        <is>
          <t>0.050010</t>
        </is>
      </c>
      <c r="E38" s="16" t="inlineStr">
        <is>
          <t>5.000 SOL</t>
        </is>
      </c>
      <c r="F38" s="16" t="inlineStr">
        <is>
          <t>5.428 SOL</t>
        </is>
      </c>
      <c r="G38" s="22" t="inlineStr">
        <is>
          <t>0.378 SOL</t>
        </is>
      </c>
      <c r="H38" s="22" t="inlineStr">
        <is>
          <t>7.48%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23.10.2024 16:01:04</t>
        </is>
      </c>
      <c r="M38" s="16" t="inlineStr">
        <is>
          <t>9 min</t>
        </is>
      </c>
      <c r="N38" s="16" t="inlineStr">
        <is>
          <t xml:space="preserve">        441K           478K            10K</t>
        </is>
      </c>
      <c r="O38" s="16" t="inlineStr">
        <is>
          <t>G7YVLUYbhiqBXFt4uhKF4Ejs1eC7yvbDhr2syFKWpump</t>
        </is>
      </c>
      <c r="P38" s="16">
        <f>HYPERLINK("https://dexscreener.com/solana/G7YVLUYbhiqBXFt4uhKF4Ejs1eC7yvbDhr2syFKWpump", "View")</f>
        <v/>
      </c>
    </row>
    <row r="39">
      <c r="A39" s="19" t="inlineStr">
        <is>
          <t>GAMBLE</t>
        </is>
      </c>
      <c r="B39" s="20" t="n">
        <v>32418160</v>
      </c>
      <c r="C39" s="20" t="n">
        <v>32418160</v>
      </c>
      <c r="D39" s="20" t="inlineStr">
        <is>
          <t>0.070020</t>
        </is>
      </c>
      <c r="E39" s="20" t="inlineStr">
        <is>
          <t>1.658 SOL</t>
        </is>
      </c>
      <c r="F39" s="20" t="inlineStr">
        <is>
          <t>8.564 SOL</t>
        </is>
      </c>
      <c r="G39" s="23" t="inlineStr">
        <is>
          <t>6.836 SOL</t>
        </is>
      </c>
      <c r="H39" s="23" t="inlineStr">
        <is>
          <t>395.57%</t>
        </is>
      </c>
      <c r="I39" s="20" t="inlineStr">
        <is>
          <t>N/A</t>
        </is>
      </c>
      <c r="J39" s="20" t="n">
        <v>1</v>
      </c>
      <c r="K39" s="20" t="n">
        <v>3</v>
      </c>
      <c r="L39" s="20" t="inlineStr">
        <is>
          <t>23.10.2024 03:56:56</t>
        </is>
      </c>
      <c r="M39" s="20" t="inlineStr">
        <is>
          <t>8 min</t>
        </is>
      </c>
      <c r="N39" s="20" t="inlineStr">
        <is>
          <t xml:space="preserve">          9K            47K             4K</t>
        </is>
      </c>
      <c r="O39" s="20" t="inlineStr">
        <is>
          <t>AeQ2ZN2qG3P7CxaeY7QDtUX4R9Ume6kr4bnwn1QLpump</t>
        </is>
      </c>
      <c r="P39" s="20">
        <f>HYPERLINK("https://photon-sol.tinyastro.io/en/lp/AeQ2ZN2qG3P7CxaeY7QDtUX4R9Ume6kr4bnwn1QLpump?handle=676050794bc1b1657a56b", "View")</f>
        <v/>
      </c>
    </row>
    <row r="40">
      <c r="A40" s="15" t="inlineStr">
        <is>
          <t>CLIPPY</t>
        </is>
      </c>
      <c r="B40" s="16" t="n">
        <v>26913354</v>
      </c>
      <c r="C40" s="16" t="n">
        <v>26913354</v>
      </c>
      <c r="D40" s="16" t="inlineStr">
        <is>
          <t>0.070020</t>
        </is>
      </c>
      <c r="E40" s="16" t="inlineStr">
        <is>
          <t>1.536 SOL</t>
        </is>
      </c>
      <c r="F40" s="16" t="inlineStr">
        <is>
          <t>3.767 SOL</t>
        </is>
      </c>
      <c r="G40" s="23" t="inlineStr">
        <is>
          <t>2.161 SOL</t>
        </is>
      </c>
      <c r="H40" s="23" t="inlineStr">
        <is>
          <t>134.51%</t>
        </is>
      </c>
      <c r="I40" s="16" t="inlineStr">
        <is>
          <t>N/A</t>
        </is>
      </c>
      <c r="J40" s="16" t="n">
        <v>1</v>
      </c>
      <c r="K40" s="16" t="n">
        <v>3</v>
      </c>
      <c r="L40" s="16" t="inlineStr">
        <is>
          <t>22.10.2024 08:44:31</t>
        </is>
      </c>
      <c r="M40" s="16" t="inlineStr">
        <is>
          <t>50 min</t>
        </is>
      </c>
      <c r="N40" s="16" t="inlineStr">
        <is>
          <t xml:space="preserve">         11K            25K             4K</t>
        </is>
      </c>
      <c r="O40" s="16" t="inlineStr">
        <is>
          <t>FnNgTcbRNWAUt4ubGRckrMFJivdg5YjwU8fwvjtYpump</t>
        </is>
      </c>
      <c r="P40" s="16">
        <f>HYPERLINK("https://photon-sol.tinyastro.io/en/lp/FnNgTcbRNWAUt4ubGRckrMFJivdg5YjwU8fwvjtYpump?handle=676050794bc1b1657a56b", "View")</f>
        <v/>
      </c>
    </row>
    <row r="41">
      <c r="A41" s="19" t="inlineStr">
        <is>
          <t>JOTCHUA</t>
        </is>
      </c>
      <c r="B41" s="20" t="n">
        <v>30247119</v>
      </c>
      <c r="C41" s="20" t="n">
        <v>30247119</v>
      </c>
      <c r="D41" s="20" t="inlineStr">
        <is>
          <t>0.120040</t>
        </is>
      </c>
      <c r="E41" s="20" t="inlineStr">
        <is>
          <t>1.728 SOL</t>
        </is>
      </c>
      <c r="F41" s="20" t="inlineStr">
        <is>
          <t>32.316 SOL</t>
        </is>
      </c>
      <c r="G41" s="23" t="inlineStr">
        <is>
          <t>30.468 SOL</t>
        </is>
      </c>
      <c r="H41" s="23" t="inlineStr">
        <is>
          <t>1649.07%</t>
        </is>
      </c>
      <c r="I41" s="20" t="inlineStr">
        <is>
          <t>N/A</t>
        </is>
      </c>
      <c r="J41" s="20" t="n">
        <v>1</v>
      </c>
      <c r="K41" s="20" t="n">
        <v>8</v>
      </c>
      <c r="L41" s="20" t="inlineStr">
        <is>
          <t>22.10.2024 07:59:30</t>
        </is>
      </c>
      <c r="M41" s="20" t="inlineStr">
        <is>
          <t>2 hours</t>
        </is>
      </c>
      <c r="N41" s="20" t="inlineStr">
        <is>
          <t xml:space="preserve">         11K           372K             5K</t>
        </is>
      </c>
      <c r="O41" s="20" t="inlineStr">
        <is>
          <t>DyPXxmdLMVTwTULBFW1pzt1gb4bHFzGxSeeJnB1fpump</t>
        </is>
      </c>
      <c r="P41" s="20">
        <f>HYPERLINK("https://photon-sol.tinyastro.io/en/lp/DyPXxmdLMVTwTULBFW1pzt1gb4bHFzGxSeeJnB1fpump?handle=676050794bc1b1657a56b", "View")</f>
        <v/>
      </c>
    </row>
    <row r="42">
      <c r="A42" s="15" t="inlineStr">
        <is>
          <t>Simba</t>
        </is>
      </c>
      <c r="B42" s="16" t="n">
        <v>12893395</v>
      </c>
      <c r="C42" s="16" t="n">
        <v>12893395</v>
      </c>
      <c r="D42" s="16" t="inlineStr">
        <is>
          <t>0.020010</t>
        </is>
      </c>
      <c r="E42" s="16" t="inlineStr">
        <is>
          <t>1.062 SOL</t>
        </is>
      </c>
      <c r="F42" s="16" t="inlineStr">
        <is>
          <t>0.401 SOL</t>
        </is>
      </c>
      <c r="G42" s="24" t="inlineStr">
        <is>
          <t>-0.681 SOL</t>
        </is>
      </c>
      <c r="H42" s="24" t="inlineStr">
        <is>
          <t>-62.94%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19.10.2024 05:08:59</t>
        </is>
      </c>
      <c r="M42" s="16" t="inlineStr">
        <is>
          <t>1 hours</t>
        </is>
      </c>
      <c r="N42" s="16" t="inlineStr">
        <is>
          <t xml:space="preserve">         14K            14K             3K</t>
        </is>
      </c>
      <c r="O42" s="16" t="inlineStr">
        <is>
          <t>6Gc4cGCWm2eRb5o3rcxQ9kkJWeZcJEF13SdPGay7pump</t>
        </is>
      </c>
      <c r="P42" s="16">
        <f>HYPERLINK("https://photon-sol.tinyastro.io/en/lp/6Gc4cGCWm2eRb5o3rcxQ9kkJWeZcJEF13SdPGay7pump?handle=676050794bc1b1657a56b", "View")</f>
        <v/>
      </c>
    </row>
    <row r="43">
      <c r="A43" s="19" t="inlineStr">
        <is>
          <t>KEK</t>
        </is>
      </c>
      <c r="B43" s="20" t="n">
        <v>7811749</v>
      </c>
      <c r="C43" s="20" t="n">
        <v>7811749</v>
      </c>
      <c r="D43" s="20" t="inlineStr">
        <is>
          <t>0.020010</t>
        </is>
      </c>
      <c r="E43" s="20" t="inlineStr">
        <is>
          <t>0.554 SOL</t>
        </is>
      </c>
      <c r="F43" s="20" t="inlineStr">
        <is>
          <t>0.892 SOL</t>
        </is>
      </c>
      <c r="G43" s="23" t="inlineStr">
        <is>
          <t>0.318 SOL</t>
        </is>
      </c>
      <c r="H43" s="23" t="inlineStr">
        <is>
          <t>55.36%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18.10.2024 23:17:28</t>
        </is>
      </c>
      <c r="M43" s="20" t="inlineStr">
        <is>
          <t>5 min</t>
        </is>
      </c>
      <c r="N43" s="20" t="inlineStr">
        <is>
          <t xml:space="preserve">         12K            19K             5K</t>
        </is>
      </c>
      <c r="O43" s="20" t="inlineStr">
        <is>
          <t>HZatK1U2RvkeFUWbNMfv2J1D565dkjVbX6F6pTE2pump</t>
        </is>
      </c>
      <c r="P43" s="20">
        <f>HYPERLINK("https://photon-sol.tinyastro.io/en/lp/HZatK1U2RvkeFUWbNMfv2J1D565dkjVbX6F6pTE2pump?handle=676050794bc1b1657a56b", "View")</f>
        <v/>
      </c>
    </row>
    <row r="44">
      <c r="A44" s="15" t="inlineStr">
        <is>
          <t>🫵😹</t>
        </is>
      </c>
      <c r="B44" s="16" t="n">
        <v>7755628</v>
      </c>
      <c r="C44" s="16" t="n">
        <v>7755628</v>
      </c>
      <c r="D44" s="16" t="inlineStr">
        <is>
          <t>0.020010</t>
        </is>
      </c>
      <c r="E44" s="16" t="inlineStr">
        <is>
          <t>0.516 SOL</t>
        </is>
      </c>
      <c r="F44" s="16" t="inlineStr">
        <is>
          <t>1.485 SOL</t>
        </is>
      </c>
      <c r="G44" s="23" t="inlineStr">
        <is>
          <t>0.949 SOL</t>
        </is>
      </c>
      <c r="H44" s="23" t="inlineStr">
        <is>
          <t>177.06%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18.10.2024 06:53:52</t>
        </is>
      </c>
      <c r="M44" s="16" t="inlineStr">
        <is>
          <t>22 min</t>
        </is>
      </c>
      <c r="N44" s="16" t="inlineStr">
        <is>
          <t xml:space="preserve">         12K            33K             5K</t>
        </is>
      </c>
      <c r="O44" s="16" t="inlineStr">
        <is>
          <t>6GSRzmd1vrZ9jujUhE6TkkGVtNc435HGbWmtkr4ypump</t>
        </is>
      </c>
      <c r="P44" s="16">
        <f>HYPERLINK("https://photon-sol.tinyastro.io/en/lp/6GSRzmd1vrZ9jujUhE6TkkGVtNc435HGbWmtkr4ypump?handle=676050794bc1b1657a56b", "View")</f>
        <v/>
      </c>
    </row>
    <row r="45">
      <c r="A45" s="19" t="inlineStr">
        <is>
          <t>💩</t>
        </is>
      </c>
      <c r="B45" s="20" t="n">
        <v>2207854</v>
      </c>
      <c r="C45" s="20" t="n">
        <v>2207854</v>
      </c>
      <c r="D45" s="20" t="inlineStr">
        <is>
          <t>0.020010</t>
        </is>
      </c>
      <c r="E45" s="20" t="inlineStr">
        <is>
          <t>0.298 SOL</t>
        </is>
      </c>
      <c r="F45" s="20" t="inlineStr">
        <is>
          <t>0.962 SOL</t>
        </is>
      </c>
      <c r="G45" s="23" t="inlineStr">
        <is>
          <t>0.644 SOL</t>
        </is>
      </c>
      <c r="H45" s="23" t="inlineStr">
        <is>
          <t>202.79%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18.10.2024 05:35:16</t>
        </is>
      </c>
      <c r="M45" s="20" t="inlineStr">
        <is>
          <t>28 min</t>
        </is>
      </c>
      <c r="N45" s="20" t="inlineStr">
        <is>
          <t xml:space="preserve">         23K            77K             4K</t>
        </is>
      </c>
      <c r="O45" s="20" t="inlineStr">
        <is>
          <t>H33XaAyCkPejrG43tB2FnfBu4x6DEjcBZnW9ziFKpump</t>
        </is>
      </c>
      <c r="P45" s="20">
        <f>HYPERLINK("https://photon-sol.tinyastro.io/en/lp/H33XaAyCkPejrG43tB2FnfBu4x6DEjcBZnW9ziFKpump?handle=676050794bc1b1657a56b", "View")</f>
        <v/>
      </c>
    </row>
    <row r="46">
      <c r="A46" s="15" t="inlineStr">
        <is>
          <t>ACAT</t>
        </is>
      </c>
      <c r="B46" s="16" t="n">
        <v>13873700</v>
      </c>
      <c r="C46" s="16" t="n">
        <v>13873700</v>
      </c>
      <c r="D46" s="16" t="inlineStr">
        <is>
          <t>0.020010</t>
        </is>
      </c>
      <c r="E46" s="16" t="inlineStr">
        <is>
          <t>0.491 SOL</t>
        </is>
      </c>
      <c r="F46" s="16" t="inlineStr">
        <is>
          <t>22.158 SOL</t>
        </is>
      </c>
      <c r="G46" s="23" t="inlineStr">
        <is>
          <t>21.647 SOL</t>
        </is>
      </c>
      <c r="H46" s="23" t="inlineStr">
        <is>
          <t>4235.02%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16.10.2024 06:12:29</t>
        </is>
      </c>
      <c r="M46" s="16" t="inlineStr">
        <is>
          <t>43 min</t>
        </is>
      </c>
      <c r="N46" s="16" t="inlineStr">
        <is>
          <t xml:space="preserve">        N/A           N/A           N/A</t>
        </is>
      </c>
      <c r="O46" s="16" t="inlineStr">
        <is>
          <t>HpQDF5bK88ijPAWnQyFtaz2FuvRxwgsnJdJdqX6npump</t>
        </is>
      </c>
      <c r="P46" s="16">
        <f>HYPERLINK("https://photon-sol.tinyastro.io/en/lp/HpQDF5bK88ijPAWnQyFtaz2FuvRxwgsnJdJdqX6npump?handle=676050794bc1b1657a56b", "View")</f>
        <v/>
      </c>
    </row>
    <row r="47">
      <c r="A47" s="19" t="inlineStr">
        <is>
          <t>PRDX</t>
        </is>
      </c>
      <c r="B47" s="20" t="n">
        <v>3212954</v>
      </c>
      <c r="C47" s="20" t="n">
        <v>3212954</v>
      </c>
      <c r="D47" s="20" t="inlineStr">
        <is>
          <t>0.030020</t>
        </is>
      </c>
      <c r="E47" s="20" t="inlineStr">
        <is>
          <t>6.000 SOL</t>
        </is>
      </c>
      <c r="F47" s="20" t="inlineStr">
        <is>
          <t>1.642 SOL</t>
        </is>
      </c>
      <c r="G47" s="24" t="inlineStr">
        <is>
          <t>-4.388 SOL</t>
        </is>
      </c>
      <c r="H47" s="24" t="inlineStr">
        <is>
          <t>-72.76%</t>
        </is>
      </c>
      <c r="I47" s="20" t="inlineStr">
        <is>
          <t>N/A</t>
        </is>
      </c>
      <c r="J47" s="20" t="n">
        <v>2</v>
      </c>
      <c r="K47" s="20" t="n">
        <v>1</v>
      </c>
      <c r="L47" s="20" t="inlineStr">
        <is>
          <t>16.10.2024 02:33:39</t>
        </is>
      </c>
      <c r="M47" s="20" t="inlineStr">
        <is>
          <t>6 min</t>
        </is>
      </c>
      <c r="N47" s="20" t="inlineStr">
        <is>
          <t xml:space="preserve">        372K            89K             5K</t>
        </is>
      </c>
      <c r="O47" s="20" t="inlineStr">
        <is>
          <t>2nUfHS8CZBoFvqyr9QV9oxMA2pMLneM6ftnvrBTNpump</t>
        </is>
      </c>
      <c r="P47" s="20">
        <f>HYPERLINK("https://dexscreener.com/solana/2nUfHS8CZBoFvqyr9QV9oxMA2pMLneM6ftnvrBTNpump", "View")</f>
        <v/>
      </c>
    </row>
    <row r="48">
      <c r="A48" s="15" t="inlineStr">
        <is>
          <t>MEOWMEOW</t>
        </is>
      </c>
      <c r="B48" s="16" t="n">
        <v>317584</v>
      </c>
      <c r="C48" s="16" t="n">
        <v>317584</v>
      </c>
      <c r="D48" s="16" t="inlineStr">
        <is>
          <t>0.050030</t>
        </is>
      </c>
      <c r="E48" s="16" t="inlineStr">
        <is>
          <t>8.000 SOL</t>
        </is>
      </c>
      <c r="F48" s="16" t="inlineStr">
        <is>
          <t>8.213 SOL</t>
        </is>
      </c>
      <c r="G48" s="22" t="inlineStr">
        <is>
          <t>0.163 SOL</t>
        </is>
      </c>
      <c r="H48" s="22" t="inlineStr">
        <is>
          <t>2.03%</t>
        </is>
      </c>
      <c r="I48" s="16" t="inlineStr">
        <is>
          <t>N/A</t>
        </is>
      </c>
      <c r="J48" s="16" t="n">
        <v>3</v>
      </c>
      <c r="K48" s="16" t="n">
        <v>2</v>
      </c>
      <c r="L48" s="16" t="inlineStr">
        <is>
          <t>16.10.2024 01:28:02</t>
        </is>
      </c>
      <c r="M48" s="16" t="inlineStr">
        <is>
          <t>1 days</t>
        </is>
      </c>
      <c r="N48" s="16" t="inlineStr">
        <is>
          <t xml:space="preserve">          4M             5M            75K</t>
        </is>
      </c>
      <c r="O48" s="16" t="inlineStr">
        <is>
          <t>HeCFQ5hiDZRKVYEuDF1LYBfbYfqAg98CQtbrTR7ipump</t>
        </is>
      </c>
      <c r="P48" s="16">
        <f>HYPERLINK("https://dexscreener.com/solana/HeCFQ5hiDZRKVYEuDF1LYBfbYfqAg98CQtbrTR7ipump", "View")</f>
        <v/>
      </c>
    </row>
    <row r="49">
      <c r="A49" s="19" t="inlineStr">
        <is>
          <t>Fries</t>
        </is>
      </c>
      <c r="B49" s="20" t="n">
        <v>11218278</v>
      </c>
      <c r="C49" s="20" t="n">
        <v>11218278</v>
      </c>
      <c r="D49" s="20" t="inlineStr">
        <is>
          <t>0.020010</t>
        </is>
      </c>
      <c r="E49" s="20" t="inlineStr">
        <is>
          <t>1.092 SOL</t>
        </is>
      </c>
      <c r="F49" s="20" t="inlineStr">
        <is>
          <t>2.599 SOL</t>
        </is>
      </c>
      <c r="G49" s="23" t="inlineStr">
        <is>
          <t>1.487 SOL</t>
        </is>
      </c>
      <c r="H49" s="23" t="inlineStr">
        <is>
          <t>133.74%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15.10.2024 08:28:12</t>
        </is>
      </c>
      <c r="M49" s="20" t="inlineStr">
        <is>
          <t>29 min</t>
        </is>
      </c>
      <c r="N49" s="20" t="inlineStr">
        <is>
          <t xml:space="preserve">         18K            40K             4K</t>
        </is>
      </c>
      <c r="O49" s="20" t="inlineStr">
        <is>
          <t>6pnptvW8hqCDdQ7vPPf3ANFgd7zYZHijKatjAZudpump</t>
        </is>
      </c>
      <c r="P49" s="20">
        <f>HYPERLINK("https://photon-sol.tinyastro.io/en/lp/6pnptvW8hqCDdQ7vPPf3ANFgd7zYZHijKatjAZudpump?handle=676050794bc1b1657a56b", "View")</f>
        <v/>
      </c>
    </row>
    <row r="50">
      <c r="A50" s="15" t="inlineStr">
        <is>
          <t>Fries</t>
        </is>
      </c>
      <c r="B50" s="16" t="n">
        <v>6371503</v>
      </c>
      <c r="C50" s="16" t="n">
        <v>6371503</v>
      </c>
      <c r="D50" s="16" t="inlineStr">
        <is>
          <t>0.020010</t>
        </is>
      </c>
      <c r="E50" s="16" t="inlineStr">
        <is>
          <t>0.608 SOL</t>
        </is>
      </c>
      <c r="F50" s="16" t="inlineStr">
        <is>
          <t>0.291 SOL</t>
        </is>
      </c>
      <c r="G50" s="24" t="inlineStr">
        <is>
          <t>-0.337 SOL</t>
        </is>
      </c>
      <c r="H50" s="24" t="inlineStr">
        <is>
          <t>-53.64%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15.10.2024 07:40:04</t>
        </is>
      </c>
      <c r="M50" s="16" t="inlineStr">
        <is>
          <t>19 min</t>
        </is>
      </c>
      <c r="N50" s="16" t="inlineStr">
        <is>
          <t xml:space="preserve">        N/A           N/A           N/A</t>
        </is>
      </c>
      <c r="O50" s="16" t="inlineStr">
        <is>
          <t>BGHqLtTUcmJrZh7jBFXDbR1USQf4KWTc5rb5P2FYpump</t>
        </is>
      </c>
      <c r="P50" s="16">
        <f>HYPERLINK("https://photon-sol.tinyastro.io/en/lp/BGHqLtTUcmJrZh7jBFXDbR1USQf4KWTc5rb5P2FYpump?handle=676050794bc1b1657a56b", "View")</f>
        <v/>
      </c>
    </row>
    <row r="51">
      <c r="A51" s="19" t="inlineStr">
        <is>
          <t>ksilisab</t>
        </is>
      </c>
      <c r="B51" s="20" t="n">
        <v>2758470</v>
      </c>
      <c r="C51" s="20" t="n">
        <v>2758470</v>
      </c>
      <c r="D51" s="20" t="inlineStr">
        <is>
          <t>0.020010</t>
        </is>
      </c>
      <c r="E51" s="20" t="inlineStr">
        <is>
          <t>2.000 SOL</t>
        </is>
      </c>
      <c r="F51" s="20" t="inlineStr">
        <is>
          <t>1.737 SOL</t>
        </is>
      </c>
      <c r="G51" s="21" t="inlineStr">
        <is>
          <t>-0.283 SOL</t>
        </is>
      </c>
      <c r="H51" s="21" t="inlineStr">
        <is>
          <t>-13.99%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15.10.2024 06:30:08</t>
        </is>
      </c>
      <c r="M51" s="20" t="inlineStr">
        <is>
          <t>33 min</t>
        </is>
      </c>
      <c r="N51" s="20" t="inlineStr">
        <is>
          <t xml:space="preserve">        128K           111K             9K</t>
        </is>
      </c>
      <c r="O51" s="20" t="inlineStr">
        <is>
          <t>Exicyp4p8VbwsutHUYbuNA3CHyQUHZuzo7FFN1Yepump</t>
        </is>
      </c>
      <c r="P51" s="20">
        <f>HYPERLINK("https://dexscreener.com/solana/Exicyp4p8VbwsutHUYbuNA3CHyQUHZuzo7FFN1Yepump", "View")</f>
        <v/>
      </c>
    </row>
    <row r="52">
      <c r="A52" s="15" t="inlineStr">
        <is>
          <t>LILY</t>
        </is>
      </c>
      <c r="B52" s="16" t="n">
        <v>586187</v>
      </c>
      <c r="C52" s="16" t="n">
        <v>586187</v>
      </c>
      <c r="D52" s="16" t="inlineStr">
        <is>
          <t>0.030020</t>
        </is>
      </c>
      <c r="E52" s="16" t="inlineStr">
        <is>
          <t>2.000 SOL</t>
        </is>
      </c>
      <c r="F52" s="16" t="inlineStr">
        <is>
          <t>0.098 SOL</t>
        </is>
      </c>
      <c r="G52" s="24" t="inlineStr">
        <is>
          <t>-1.932 SOL</t>
        </is>
      </c>
      <c r="H52" s="24" t="inlineStr">
        <is>
          <t>-95.15%</t>
        </is>
      </c>
      <c r="I52" s="16" t="inlineStr">
        <is>
          <t>N/A</t>
        </is>
      </c>
      <c r="J52" s="16" t="n">
        <v>2</v>
      </c>
      <c r="K52" s="16" t="n">
        <v>1</v>
      </c>
      <c r="L52" s="16" t="inlineStr">
        <is>
          <t>15.10.2024 02:17:43</t>
        </is>
      </c>
      <c r="M52" s="16" t="inlineStr">
        <is>
          <t>19 hours</t>
        </is>
      </c>
      <c r="N52" s="16" t="inlineStr">
        <is>
          <t xml:space="preserve">        N/A           N/A           N/A</t>
        </is>
      </c>
      <c r="O52" s="16" t="inlineStr">
        <is>
          <t>4LrUY5zrJ6CUFQKg2NsahU6W2ggiwDDqR3N4njAApump</t>
        </is>
      </c>
      <c r="P52" s="16">
        <f>HYPERLINK("https://dexscreener.com/solana/4LrUY5zrJ6CUFQKg2NsahU6W2ggiwDDqR3N4njAApump", "View")</f>
        <v/>
      </c>
    </row>
    <row r="53">
      <c r="A53" s="19" t="inlineStr">
        <is>
          <t>/r9k/</t>
        </is>
      </c>
      <c r="B53" s="20" t="n">
        <v>5731346</v>
      </c>
      <c r="C53" s="20" t="n">
        <v>5731346</v>
      </c>
      <c r="D53" s="20" t="inlineStr">
        <is>
          <t>0.020010</t>
        </is>
      </c>
      <c r="E53" s="20" t="inlineStr">
        <is>
          <t>1.059 SOL</t>
        </is>
      </c>
      <c r="F53" s="20" t="inlineStr">
        <is>
          <t>0.239 SOL</t>
        </is>
      </c>
      <c r="G53" s="24" t="inlineStr">
        <is>
          <t>-0.841 SOL</t>
        </is>
      </c>
      <c r="H53" s="24" t="inlineStr">
        <is>
          <t>-77.88%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15.10.2024 02:16:56</t>
        </is>
      </c>
      <c r="M53" s="20" t="inlineStr">
        <is>
          <t>18 hours</t>
        </is>
      </c>
      <c r="N53" s="20" t="inlineStr">
        <is>
          <t xml:space="preserve">         32K            32K             5K</t>
        </is>
      </c>
      <c r="O53" s="20" t="inlineStr">
        <is>
          <t>2ob874iPApH1JWzBBmcVSxEs7HYTuZAEW4DKpiAbuTRQ</t>
        </is>
      </c>
      <c r="P53" s="20">
        <f>HYPERLINK("https://photon-sol.tinyastro.io/en/lp/2ob874iPApH1JWzBBmcVSxEs7HYTuZAEW4DKpiAbuTRQ?handle=676050794bc1b1657a56b", "View")</f>
        <v/>
      </c>
    </row>
    <row r="54">
      <c r="A54" s="15" t="inlineStr">
        <is>
          <t>r9k</t>
        </is>
      </c>
      <c r="B54" s="16" t="n">
        <v>11235676</v>
      </c>
      <c r="C54" s="16" t="n">
        <v>11235676</v>
      </c>
      <c r="D54" s="16" t="inlineStr">
        <is>
          <t>0.020010</t>
        </is>
      </c>
      <c r="E54" s="16" t="inlineStr">
        <is>
          <t>0.550 SOL</t>
        </is>
      </c>
      <c r="F54" s="16" t="inlineStr">
        <is>
          <t>1.559 SOL</t>
        </is>
      </c>
      <c r="G54" s="23" t="inlineStr">
        <is>
          <t>0.989 SOL</t>
        </is>
      </c>
      <c r="H54" s="23" t="inlineStr">
        <is>
          <t>173.66%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14.10.2024 08:02:30</t>
        </is>
      </c>
      <c r="M54" s="16" t="inlineStr">
        <is>
          <t>31 min</t>
        </is>
      </c>
      <c r="N54" s="16" t="inlineStr">
        <is>
          <t xml:space="preserve">          9K            25K             3K</t>
        </is>
      </c>
      <c r="O54" s="16" t="inlineStr">
        <is>
          <t>mpPc4hxnbsN2CxRGqpGbCPSSgxTq2gL4CTwZZDnpump</t>
        </is>
      </c>
      <c r="P54" s="16">
        <f>HYPERLINK("https://photon-sol.tinyastro.io/en/lp/mpPc4hxnbsN2CxRGqpGbCPSSgxTq2gL4CTwZZDnpump?handle=676050794bc1b1657a56b", "View")</f>
        <v/>
      </c>
    </row>
    <row r="55">
      <c r="A55" s="19" t="inlineStr">
        <is>
          <t>Strawberry</t>
        </is>
      </c>
      <c r="B55" s="20" t="n">
        <v>299858</v>
      </c>
      <c r="C55" s="20" t="n">
        <v>299858</v>
      </c>
      <c r="D55" s="20" t="inlineStr">
        <is>
          <t>0.020010</t>
        </is>
      </c>
      <c r="E55" s="20" t="inlineStr">
        <is>
          <t>1.000 SOL</t>
        </is>
      </c>
      <c r="F55" s="20" t="inlineStr">
        <is>
          <t>0.384 SOL</t>
        </is>
      </c>
      <c r="G55" s="24" t="inlineStr">
        <is>
          <t>-0.636 SOL</t>
        </is>
      </c>
      <c r="H55" s="24" t="inlineStr">
        <is>
          <t>-62.34%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14.10.2024 07:16:40</t>
        </is>
      </c>
      <c r="M55" s="20" t="inlineStr">
        <is>
          <t>8 min</t>
        </is>
      </c>
      <c r="N55" s="20" t="inlineStr">
        <is>
          <t xml:space="preserve">        585K           225K            32K</t>
        </is>
      </c>
      <c r="O55" s="20" t="inlineStr">
        <is>
          <t>CcBZWB4KKddUCtKnWACP9vZHU471KiakYBnDYcPNpump</t>
        </is>
      </c>
      <c r="P55" s="20">
        <f>HYPERLINK("https://dexscreener.com/solana/CcBZWB4KKddUCtKnWACP9vZHU471KiakYBnDYcPNpump", "View")</f>
        <v/>
      </c>
    </row>
    <row r="56">
      <c r="A56" s="15" t="inlineStr">
        <is>
          <t>MemesAI</t>
        </is>
      </c>
      <c r="B56" s="16" t="n">
        <v>5030144</v>
      </c>
      <c r="C56" s="16" t="n">
        <v>5030144</v>
      </c>
      <c r="D56" s="16" t="inlineStr">
        <is>
          <t>0.040020</t>
        </is>
      </c>
      <c r="E56" s="16" t="inlineStr">
        <is>
          <t>2.250 SOL</t>
        </is>
      </c>
      <c r="F56" s="16" t="inlineStr">
        <is>
          <t>33.471 SOL</t>
        </is>
      </c>
      <c r="G56" s="23" t="inlineStr">
        <is>
          <t>31.181 SOL</t>
        </is>
      </c>
      <c r="H56" s="23" t="inlineStr">
        <is>
          <t>1361.61%</t>
        </is>
      </c>
      <c r="I56" s="16" t="inlineStr">
        <is>
          <t>N/A</t>
        </is>
      </c>
      <c r="J56" s="16" t="n">
        <v>3</v>
      </c>
      <c r="K56" s="16" t="n">
        <v>1</v>
      </c>
      <c r="L56" s="16" t="inlineStr">
        <is>
          <t>14.10.2024 01:11:26</t>
        </is>
      </c>
      <c r="M56" s="16" t="inlineStr">
        <is>
          <t>57 min</t>
        </is>
      </c>
      <c r="N56" s="16" t="inlineStr">
        <is>
          <t xml:space="preserve">         63K             1M            13M</t>
        </is>
      </c>
      <c r="O56" s="16" t="inlineStr">
        <is>
          <t>39qibQxVzemuZTEvjSB7NePhw9WyyHdQCqP8xmBMpump</t>
        </is>
      </c>
      <c r="P56" s="16">
        <f>HYPERLINK("https://dexscreener.com/solana/39qibQxVzemuZTEvjSB7NePhw9WyyHdQCqP8xmBMpump", "View")</f>
        <v/>
      </c>
    </row>
    <row r="57">
      <c r="A57" s="19" t="inlineStr">
        <is>
          <t>CLURB</t>
        </is>
      </c>
      <c r="B57" s="20" t="n">
        <v>6660326</v>
      </c>
      <c r="C57" s="20" t="n">
        <v>6660326</v>
      </c>
      <c r="D57" s="20" t="inlineStr">
        <is>
          <t>0.040020</t>
        </is>
      </c>
      <c r="E57" s="20" t="inlineStr">
        <is>
          <t>1.550 SOL</t>
        </is>
      </c>
      <c r="F57" s="20" t="inlineStr">
        <is>
          <t>6.998 SOL</t>
        </is>
      </c>
      <c r="G57" s="23" t="inlineStr">
        <is>
          <t>5.409 SOL</t>
        </is>
      </c>
      <c r="H57" s="23" t="inlineStr">
        <is>
          <t>340.24%</t>
        </is>
      </c>
      <c r="I57" s="20" t="inlineStr">
        <is>
          <t>N/A</t>
        </is>
      </c>
      <c r="J57" s="20" t="n">
        <v>2</v>
      </c>
      <c r="K57" s="20" t="n">
        <v>2</v>
      </c>
      <c r="L57" s="20" t="inlineStr">
        <is>
          <t>13.10.2024 08:35:01</t>
        </is>
      </c>
      <c r="M57" s="20" t="inlineStr">
        <is>
          <t>1 hours</t>
        </is>
      </c>
      <c r="N57" s="20" t="inlineStr">
        <is>
          <t xml:space="preserve">         18K           135K            25K</t>
        </is>
      </c>
      <c r="O57" s="20" t="inlineStr">
        <is>
          <t>Do89yHhkwtZCR737zyfV4oHxUCkkECoysDXwz6vPpump</t>
        </is>
      </c>
      <c r="P57" s="20">
        <f>HYPERLINK("https://photon-sol.tinyastro.io/en/lp/Do89yHhkwtZCR737zyfV4oHxUCkkECoysDXwz6vPpump?handle=676050794bc1b1657a56b", "View")</f>
        <v/>
      </c>
    </row>
    <row r="58">
      <c r="A58" s="15" t="inlineStr">
        <is>
          <t>SUBTLE</t>
        </is>
      </c>
      <c r="B58" s="16" t="n">
        <v>9709915</v>
      </c>
      <c r="C58" s="16" t="n">
        <v>9709915</v>
      </c>
      <c r="D58" s="16" t="inlineStr">
        <is>
          <t>0.030020</t>
        </is>
      </c>
      <c r="E58" s="16" t="inlineStr">
        <is>
          <t>1.070 SOL</t>
        </is>
      </c>
      <c r="F58" s="16" t="inlineStr">
        <is>
          <t>1.602 SOL</t>
        </is>
      </c>
      <c r="G58" s="22" t="inlineStr">
        <is>
          <t>0.503 SOL</t>
        </is>
      </c>
      <c r="H58" s="22" t="inlineStr">
        <is>
          <t>45.69%</t>
        </is>
      </c>
      <c r="I58" s="16" t="inlineStr">
        <is>
          <t>N/A</t>
        </is>
      </c>
      <c r="J58" s="16" t="n">
        <v>2</v>
      </c>
      <c r="K58" s="16" t="n">
        <v>1</v>
      </c>
      <c r="L58" s="16" t="inlineStr">
        <is>
          <t>13.10.2024 05:50:42</t>
        </is>
      </c>
      <c r="M58" s="16" t="inlineStr">
        <is>
          <t>2 hours</t>
        </is>
      </c>
      <c r="N58" s="16" t="inlineStr">
        <is>
          <t xml:space="preserve">         16K            30K             5K</t>
        </is>
      </c>
      <c r="O58" s="16" t="inlineStr">
        <is>
          <t>6GAXzPf1m8k8GfG8QgtKTo1k7r5FGHPbQQ6LkGE9pump</t>
        </is>
      </c>
      <c r="P58" s="16">
        <f>HYPERLINK("https://photon-sol.tinyastro.io/en/lp/6GAXzPf1m8k8GfG8QgtKTo1k7r5FGHPbQQ6LkGE9pump?handle=676050794bc1b1657a56b", "View")</f>
        <v/>
      </c>
    </row>
    <row r="59">
      <c r="A59" s="19" t="inlineStr">
        <is>
          <t>revenga</t>
        </is>
      </c>
      <c r="B59" s="20" t="n">
        <v>353169</v>
      </c>
      <c r="C59" s="20" t="n">
        <v>353169</v>
      </c>
      <c r="D59" s="20" t="inlineStr">
        <is>
          <t>0.020010</t>
        </is>
      </c>
      <c r="E59" s="20" t="inlineStr">
        <is>
          <t>0.250 SOL</t>
        </is>
      </c>
      <c r="F59" s="20" t="inlineStr">
        <is>
          <t>0.196 SOL</t>
        </is>
      </c>
      <c r="G59" s="21" t="inlineStr">
        <is>
          <t>-0.074 SOL</t>
        </is>
      </c>
      <c r="H59" s="21" t="inlineStr">
        <is>
          <t>-27.30%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08.09.2024 20:08:27</t>
        </is>
      </c>
      <c r="M59" s="18" t="inlineStr">
        <is>
          <t>28 sec</t>
        </is>
      </c>
      <c r="N59" s="20" t="inlineStr">
        <is>
          <t xml:space="preserve">        125K            98K             3K</t>
        </is>
      </c>
      <c r="O59" s="20" t="inlineStr">
        <is>
          <t>A5sLjEiM8JsPdo9vjsPAbWKAurcQnKxj4PzCFcjcpump</t>
        </is>
      </c>
      <c r="P59" s="20">
        <f>HYPERLINK("https://dexscreener.com/solana/A5sLjEiM8JsPdo9vjsPAbWKAurcQnKxj4PzCFcjcpump", "View")</f>
        <v/>
      </c>
    </row>
    <row r="60">
      <c r="A60" s="15" t="inlineStr">
        <is>
          <t>Brick</t>
        </is>
      </c>
      <c r="B60" s="16" t="n">
        <v>7924679</v>
      </c>
      <c r="C60" s="16" t="n">
        <v>7924679</v>
      </c>
      <c r="D60" s="16" t="inlineStr">
        <is>
          <t>0.030020</t>
        </is>
      </c>
      <c r="E60" s="16" t="inlineStr">
        <is>
          <t>0.358 SOL</t>
        </is>
      </c>
      <c r="F60" s="16" t="inlineStr">
        <is>
          <t>0.258 SOL</t>
        </is>
      </c>
      <c r="G60" s="21" t="inlineStr">
        <is>
          <t>-0.130 SOL</t>
        </is>
      </c>
      <c r="H60" s="21" t="inlineStr">
        <is>
          <t>-33.50%</t>
        </is>
      </c>
      <c r="I60" s="16" t="inlineStr">
        <is>
          <t>N/A</t>
        </is>
      </c>
      <c r="J60" s="16" t="n">
        <v>2</v>
      </c>
      <c r="K60" s="16" t="n">
        <v>1</v>
      </c>
      <c r="L60" s="16" t="inlineStr">
        <is>
          <t>08.09.2024 17:05:04</t>
        </is>
      </c>
      <c r="M60" s="16" t="inlineStr">
        <is>
          <t>8 min</t>
        </is>
      </c>
      <c r="N60" s="16" t="inlineStr">
        <is>
          <t xml:space="preserve">        N/A           N/A           N/A</t>
        </is>
      </c>
      <c r="O60" s="16" t="inlineStr">
        <is>
          <t>6QMjSu3jpMvu9fSEc9g9ozEiufNgq1zGwNrM6S4fTy1a</t>
        </is>
      </c>
      <c r="P60" s="16">
        <f>HYPERLINK("https://photon-sol.tinyastro.io/en/lp/6QMjSu3jpMvu9fSEc9g9ozEiufNgq1zGwNrM6S4fTy1a?handle=676050794bc1b1657a56b", "View")</f>
        <v/>
      </c>
    </row>
    <row r="61">
      <c r="A61" s="19" t="inlineStr">
        <is>
          <t>bingus</t>
        </is>
      </c>
      <c r="B61" s="20" t="n">
        <v>7453263</v>
      </c>
      <c r="C61" s="20" t="n">
        <v>7453263</v>
      </c>
      <c r="D61" s="20" t="inlineStr">
        <is>
          <t>0.040020</t>
        </is>
      </c>
      <c r="E61" s="20" t="inlineStr">
        <is>
          <t>0.351 SOL</t>
        </is>
      </c>
      <c r="F61" s="20" t="inlineStr">
        <is>
          <t>0.258 SOL</t>
        </is>
      </c>
      <c r="G61" s="21" t="inlineStr">
        <is>
          <t>-0.133 SOL</t>
        </is>
      </c>
      <c r="H61" s="21" t="inlineStr">
        <is>
          <t>-34.12%</t>
        </is>
      </c>
      <c r="I61" s="20" t="inlineStr">
        <is>
          <t>N/A</t>
        </is>
      </c>
      <c r="J61" s="20" t="n">
        <v>3</v>
      </c>
      <c r="K61" s="20" t="n">
        <v>1</v>
      </c>
      <c r="L61" s="20" t="inlineStr">
        <is>
          <t>08.09.2024 16:29:41</t>
        </is>
      </c>
      <c r="M61" s="20" t="inlineStr">
        <is>
          <t>6 min</t>
        </is>
      </c>
      <c r="N61" s="20" t="inlineStr">
        <is>
          <t xml:space="preserve">        N/A           N/A           N/A</t>
        </is>
      </c>
      <c r="O61" s="20" t="inlineStr">
        <is>
          <t>3uWWgGc4N4KCjs14m5wkaRLSt1NsSM8neJjdecc4cCeT</t>
        </is>
      </c>
      <c r="P61" s="20">
        <f>HYPERLINK("https://photon-sol.tinyastro.io/en/lp/3uWWgGc4N4KCjs14m5wkaRLSt1NsSM8neJjdecc4cCeT?handle=676050794bc1b1657a56b", "View")</f>
        <v/>
      </c>
    </row>
    <row r="62">
      <c r="A62" s="15" t="inlineStr">
        <is>
          <t>Dbaby</t>
        </is>
      </c>
      <c r="B62" s="16" t="n">
        <v>15521694</v>
      </c>
      <c r="C62" s="16" t="n">
        <v>15521694</v>
      </c>
      <c r="D62" s="16" t="inlineStr">
        <is>
          <t>0.050030</t>
        </is>
      </c>
      <c r="E62" s="16" t="inlineStr">
        <is>
          <t>0.572 SOL</t>
        </is>
      </c>
      <c r="F62" s="16" t="inlineStr">
        <is>
          <t>0.514 SOL</t>
        </is>
      </c>
      <c r="G62" s="21" t="inlineStr">
        <is>
          <t>-0.108 SOL</t>
        </is>
      </c>
      <c r="H62" s="21" t="inlineStr">
        <is>
          <t>-17.43%</t>
        </is>
      </c>
      <c r="I62" s="16" t="inlineStr">
        <is>
          <t>N/A</t>
        </is>
      </c>
      <c r="J62" s="16" t="n">
        <v>3</v>
      </c>
      <c r="K62" s="16" t="n">
        <v>2</v>
      </c>
      <c r="L62" s="16" t="inlineStr">
        <is>
          <t>07.09.2024 18:43:38</t>
        </is>
      </c>
      <c r="M62" s="16" t="inlineStr">
        <is>
          <t>6 min</t>
        </is>
      </c>
      <c r="N62" s="16" t="inlineStr">
        <is>
          <t xml:space="preserve">        N/A           N/A           N/A</t>
        </is>
      </c>
      <c r="O62" s="16" t="inlineStr">
        <is>
          <t>5to76DdCRTKD35AevgUd78K5t4UoaLKQd1U7R9vPHoX8</t>
        </is>
      </c>
      <c r="P62" s="16">
        <f>HYPERLINK("https://photon-sol.tinyastro.io/en/lp/5to76DdCRTKD35AevgUd78K5t4UoaLKQd1U7R9vPHoX8?handle=676050794bc1b1657a56b", "View")</f>
        <v/>
      </c>
    </row>
    <row r="63">
      <c r="A63" s="19" t="inlineStr">
        <is>
          <t>kitty</t>
        </is>
      </c>
      <c r="B63" s="20" t="n">
        <v>1920567</v>
      </c>
      <c r="C63" s="20" t="n">
        <v>1920567</v>
      </c>
      <c r="D63" s="20" t="inlineStr">
        <is>
          <t>0.080040</t>
        </is>
      </c>
      <c r="E63" s="20" t="inlineStr">
        <is>
          <t>1.250 SOL</t>
        </is>
      </c>
      <c r="F63" s="20" t="inlineStr">
        <is>
          <t>1.036 SOL</t>
        </is>
      </c>
      <c r="G63" s="21" t="inlineStr">
        <is>
          <t>-0.294 SOL</t>
        </is>
      </c>
      <c r="H63" s="21" t="inlineStr">
        <is>
          <t>-22.11%</t>
        </is>
      </c>
      <c r="I63" s="20" t="inlineStr">
        <is>
          <t>N/A</t>
        </is>
      </c>
      <c r="J63" s="20" t="n">
        <v>5</v>
      </c>
      <c r="K63" s="20" t="n">
        <v>3</v>
      </c>
      <c r="L63" s="20" t="inlineStr">
        <is>
          <t>07.09.2024 17:54:09</t>
        </is>
      </c>
      <c r="M63" s="20" t="inlineStr">
        <is>
          <t>6 min</t>
        </is>
      </c>
      <c r="N63" s="20" t="inlineStr">
        <is>
          <t xml:space="preserve">         91K            56K             4K</t>
        </is>
      </c>
      <c r="O63" s="20" t="inlineStr">
        <is>
          <t>8QiE4aMaLKWC2GshKa7HUDeZkUYeSzoQwcLHKnPYpump</t>
        </is>
      </c>
      <c r="P63" s="20">
        <f>HYPERLINK("https://dexscreener.com/solana/8QiE4aMaLKWC2GshKa7HUDeZkUYeSzoQwcLHKnPYpump", "View")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1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HYPERLINK("https://gmgn.ai/sol/address/9PVLTmep2NhN7yk3gQDyLL4gbivwNEKXNrVsska12kLK", "GMGN")</f>
        <v/>
      </c>
    </row>
    <row r="2">
      <c r="A2" s="3" t="inlineStr">
        <is>
          <t>9PVLTmep2NhN7yk3gQDyLL4gbivwNEKXNrVsska12kLK</t>
        </is>
      </c>
      <c r="B2" s="3" t="inlineStr">
        <is>
          <t>5.53 SOL</t>
        </is>
      </c>
      <c r="C2" s="3" t="inlineStr">
        <is>
          <t>30%</t>
        </is>
      </c>
      <c r="D2" s="3" t="inlineStr">
        <is>
          <t>-9%</t>
        </is>
      </c>
      <c r="E2" s="3" t="inlineStr">
        <is>
          <t>-4.17 SOL</t>
        </is>
      </c>
      <c r="F2" s="3" t="inlineStr">
        <is>
          <t>0 (0%)</t>
        </is>
      </c>
      <c r="G2" s="3" t="inlineStr">
        <is>
          <t>1 (1%)</t>
        </is>
      </c>
      <c r="H2" s="3" t="n">
        <v>197</v>
      </c>
      <c r="I2" s="3" t="n">
        <v>34</v>
      </c>
      <c r="J2" s="3" t="inlineStr">
        <is>
          <t>26 days</t>
        </is>
      </c>
      <c r="K2" s="3" t="inlineStr">
        <is>
          <t>2 h</t>
        </is>
      </c>
      <c r="L2" s="3" t="n">
        <v>72</v>
      </c>
      <c r="M2" s="3" t="n">
        <v>70</v>
      </c>
      <c r="N2" s="3">
        <f>HYPERLINK("https://solscan.io/account/9PVLTmep2NhN7yk3gQDyLL4gbivwNEKXNrVsska12kLK", "Solscan")</f>
        <v/>
      </c>
    </row>
    <row r="3">
      <c r="A3" s="6" t="inlineStr">
        <is>
          <t>Median ROI</t>
        </is>
      </c>
      <c r="B3" s="5" t="inlineStr">
        <is>
          <t>-100.00%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HYPERLINK("https://birdeye.so/profile/9PVLTmep2NhN7yk3gQDyLL4gbivwNEKXNrVsska12kLK", "Birdeye")</f>
        <v/>
      </c>
    </row>
    <row r="4">
      <c r="A4" s="6" t="inlineStr">
        <is>
          <t>Rockets percent</t>
        </is>
      </c>
      <c r="B4" s="3" t="inlineStr">
        <is>
          <t>13%</t>
        </is>
      </c>
      <c r="C4" s="3" t="inlineStr"/>
      <c r="D4" s="3" t="inlineStr">
        <is>
          <t>11%</t>
        </is>
      </c>
      <c r="E4" s="3" t="inlineStr">
        <is>
          <t>5.29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26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6</v>
      </c>
      <c r="C10" s="6" t="n">
        <v>19</v>
      </c>
      <c r="D10" s="6" t="n">
        <v>13</v>
      </c>
      <c r="E10" s="6" t="n">
        <v>22</v>
      </c>
      <c r="F10" s="6" t="n">
        <v>12</v>
      </c>
      <c r="G10" s="6" t="n">
        <v>125</v>
      </c>
      <c r="H10" s="3" t="n"/>
      <c r="I10" s="3" t="inlineStr">
        <is>
          <t>&lt;5k</t>
        </is>
      </c>
      <c r="J10" s="3" t="inlineStr">
        <is>
          <t>1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3.0%</t>
        </is>
      </c>
      <c r="C11" s="6" t="inlineStr">
        <is>
          <t>9.6%</t>
        </is>
      </c>
      <c r="D11" s="6" t="inlineStr">
        <is>
          <t>6.6%</t>
        </is>
      </c>
      <c r="E11" s="6" t="inlineStr">
        <is>
          <t>11.2%</t>
        </is>
      </c>
      <c r="F11" s="6" t="inlineStr">
        <is>
          <t>6.1%</t>
        </is>
      </c>
      <c r="G11" s="6" t="inlineStr">
        <is>
          <t>63.5%</t>
        </is>
      </c>
      <c r="H11" s="3" t="n"/>
      <c r="I11" s="3" t="inlineStr">
        <is>
          <t>5k-30k</t>
        </is>
      </c>
      <c r="J11" s="3" t="inlineStr">
        <is>
          <t>57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13.5 SOL</t>
        </is>
      </c>
      <c r="C12" s="6" t="inlineStr">
        <is>
          <t>8.5 SOL</t>
        </is>
      </c>
      <c r="D12" s="6" t="inlineStr">
        <is>
          <t>2.3 SOL</t>
        </is>
      </c>
      <c r="E12" s="6" t="inlineStr">
        <is>
          <t>1.0 SOL</t>
        </is>
      </c>
      <c r="F12" s="6" t="inlineStr">
        <is>
          <t>-0.8 SOL</t>
        </is>
      </c>
      <c r="G12" s="6" t="inlineStr">
        <is>
          <t>-28.6 SOL</t>
        </is>
      </c>
      <c r="H12" s="3" t="n"/>
      <c r="I12" s="3" t="inlineStr">
        <is>
          <t>30k-100k</t>
        </is>
      </c>
      <c r="J12" s="3" t="inlineStr">
        <is>
          <t>64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26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46.0K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HANNO</t>
        </is>
      </c>
      <c r="B20" s="16" t="n">
        <v>1210798</v>
      </c>
      <c r="C20" s="16" t="n">
        <v>0</v>
      </c>
      <c r="D20" s="16" t="inlineStr">
        <is>
          <t>0.000060</t>
        </is>
      </c>
      <c r="E20" s="16" t="inlineStr">
        <is>
          <t>0.200 SOL</t>
        </is>
      </c>
      <c r="F20" s="16" t="inlineStr">
        <is>
          <t>0.000 SOL</t>
        </is>
      </c>
      <c r="G20" s="17" t="inlineStr">
        <is>
          <t>-0.200 SOL</t>
        </is>
      </c>
      <c r="H20" s="17" t="inlineStr">
        <is>
          <t>0.00%</t>
        </is>
      </c>
      <c r="I20" s="16" t="inlineStr">
        <is>
          <t>1,210,798</t>
        </is>
      </c>
      <c r="J20" s="16" t="n">
        <v>1</v>
      </c>
      <c r="K20" s="16" t="n">
        <v>0</v>
      </c>
      <c r="L20" s="16" t="inlineStr">
        <is>
          <t>30.10.2024 21:29:20</t>
        </is>
      </c>
      <c r="M20" s="18" t="inlineStr">
        <is>
          <t>0 sec</t>
        </is>
      </c>
      <c r="N20" s="16" t="inlineStr">
        <is>
          <t xml:space="preserve">        N/A           N/A           N/A</t>
        </is>
      </c>
      <c r="O20" s="16" t="inlineStr">
        <is>
          <t>9STSC4SZ2m9TWrd56jPYVeJ7mcGxaSkg7akb2GWqpump</t>
        </is>
      </c>
      <c r="P20" s="16">
        <f>HYPERLINK("https://dexscreener.com/solana/9STSC4SZ2m9TWrd56jPYVeJ7mcGxaSkg7akb2GWqpump", "View")</f>
        <v/>
      </c>
    </row>
    <row r="21">
      <c r="A21" s="19" t="inlineStr">
        <is>
          <t>MONO</t>
        </is>
      </c>
      <c r="B21" s="20" t="n">
        <v>1146371</v>
      </c>
      <c r="C21" s="20" t="n">
        <v>1146371</v>
      </c>
      <c r="D21" s="20" t="inlineStr">
        <is>
          <t>0.000120</t>
        </is>
      </c>
      <c r="E21" s="20" t="inlineStr">
        <is>
          <t>0.200 SOL</t>
        </is>
      </c>
      <c r="F21" s="20" t="inlineStr">
        <is>
          <t>0.239 SOL</t>
        </is>
      </c>
      <c r="G21" s="22" t="inlineStr">
        <is>
          <t>0.038 SOL</t>
        </is>
      </c>
      <c r="H21" s="22" t="inlineStr">
        <is>
          <t>19.23%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15:41:54</t>
        </is>
      </c>
      <c r="M21" s="20" t="inlineStr">
        <is>
          <t>32 min</t>
        </is>
      </c>
      <c r="N21" s="20" t="inlineStr">
        <is>
          <t xml:space="preserve">         30K            30K             5K</t>
        </is>
      </c>
      <c r="O21" s="20" t="inlineStr">
        <is>
          <t>HY1xfBKJknhUpWsqr4SooMK3awo31zzv21KydXmxpump</t>
        </is>
      </c>
      <c r="P21" s="20">
        <f>HYPERLINK("https://dexscreener.com/solana/HY1xfBKJknhUpWsqr4SooMK3awo31zzv21KydXmxpump", "View")</f>
        <v/>
      </c>
    </row>
    <row r="22">
      <c r="A22" s="15" t="inlineStr">
        <is>
          <t>Clione</t>
        </is>
      </c>
      <c r="B22" s="16" t="n">
        <v>978630</v>
      </c>
      <c r="C22" s="16" t="n">
        <v>0</v>
      </c>
      <c r="D22" s="16" t="inlineStr">
        <is>
          <t>0.000060</t>
        </is>
      </c>
      <c r="E22" s="16" t="inlineStr">
        <is>
          <t>0.200 SOL</t>
        </is>
      </c>
      <c r="F22" s="16" t="inlineStr">
        <is>
          <t>0.000 SOL</t>
        </is>
      </c>
      <c r="G22" s="17" t="inlineStr">
        <is>
          <t>-0.200 SOL</t>
        </is>
      </c>
      <c r="H22" s="17" t="inlineStr">
        <is>
          <t>0.00%</t>
        </is>
      </c>
      <c r="I22" s="16" t="inlineStr">
        <is>
          <t>978,630</t>
        </is>
      </c>
      <c r="J22" s="16" t="n">
        <v>1</v>
      </c>
      <c r="K22" s="16" t="n">
        <v>0</v>
      </c>
      <c r="L22" s="16" t="inlineStr">
        <is>
          <t>30.10.2024 14:36:45</t>
        </is>
      </c>
      <c r="M22" s="18" t="inlineStr">
        <is>
          <t>0 sec</t>
        </is>
      </c>
      <c r="N22" s="16" t="inlineStr">
        <is>
          <t xml:space="preserve">         35K            35K             4K</t>
        </is>
      </c>
      <c r="O22" s="16" t="inlineStr">
        <is>
          <t>HHqQJFBKDq7pgyv5HcPwnPhju1es9CN558ZzF7UZpump</t>
        </is>
      </c>
      <c r="P22" s="16">
        <f>HYPERLINK("https://dexscreener.com/solana/HHqQJFBKDq7pgyv5HcPwnPhju1es9CN558ZzF7UZpump", "View")</f>
        <v/>
      </c>
    </row>
    <row r="23">
      <c r="A23" s="19" t="inlineStr">
        <is>
          <t>Froge</t>
        </is>
      </c>
      <c r="B23" s="20" t="n">
        <v>1615261</v>
      </c>
      <c r="C23" s="20" t="n">
        <v>0</v>
      </c>
      <c r="D23" s="20" t="inlineStr">
        <is>
          <t>0.000060</t>
        </is>
      </c>
      <c r="E23" s="20" t="inlineStr">
        <is>
          <t>0.207 SOL</t>
        </is>
      </c>
      <c r="F23" s="20" t="inlineStr">
        <is>
          <t>0.000 SOL</t>
        </is>
      </c>
      <c r="G23" s="17" t="inlineStr">
        <is>
          <t>-0.207 SOL</t>
        </is>
      </c>
      <c r="H23" s="17" t="inlineStr">
        <is>
          <t>0.00%</t>
        </is>
      </c>
      <c r="I23" s="20" t="inlineStr">
        <is>
          <t>1,615,261</t>
        </is>
      </c>
      <c r="J23" s="20" t="n">
        <v>1</v>
      </c>
      <c r="K23" s="20" t="n">
        <v>0</v>
      </c>
      <c r="L23" s="20" t="inlineStr">
        <is>
          <t>30.10.2024 14:34:19</t>
        </is>
      </c>
      <c r="M23" s="18" t="inlineStr">
        <is>
          <t>0 sec</t>
        </is>
      </c>
      <c r="N23" s="20" t="inlineStr">
        <is>
          <t xml:space="preserve">         23K            23K             6K</t>
        </is>
      </c>
      <c r="O23" s="20" t="inlineStr">
        <is>
          <t>7SWwkspj5h2n112ZG1Ys5iWZUKP838a29diNq55npump</t>
        </is>
      </c>
      <c r="P23" s="20">
        <f>HYPERLINK("https://photon-sol.tinyastro.io/en/lp/7SWwkspj5h2n112ZG1Ys5iWZUKP838a29diNq55npump?handle=676050794bc1b1657a56b", "View")</f>
        <v/>
      </c>
    </row>
    <row r="24">
      <c r="A24" s="15" t="inlineStr">
        <is>
          <t>SOAR</t>
        </is>
      </c>
      <c r="B24" s="16" t="n">
        <v>1624906</v>
      </c>
      <c r="C24" s="16" t="n">
        <v>1624906</v>
      </c>
      <c r="D24" s="16" t="inlineStr">
        <is>
          <t>0.000120</t>
        </is>
      </c>
      <c r="E24" s="16" t="inlineStr">
        <is>
          <t>0.200 SOL</t>
        </is>
      </c>
      <c r="F24" s="16" t="inlineStr">
        <is>
          <t>0.292 SOL</t>
        </is>
      </c>
      <c r="G24" s="22" t="inlineStr">
        <is>
          <t>0.092 SOL</t>
        </is>
      </c>
      <c r="H24" s="22" t="inlineStr">
        <is>
          <t>46.10%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12:52:59</t>
        </is>
      </c>
      <c r="M24" s="16" t="inlineStr">
        <is>
          <t>2 min</t>
        </is>
      </c>
      <c r="N24" s="16" t="inlineStr">
        <is>
          <t xml:space="preserve">         21K            32K             4K</t>
        </is>
      </c>
      <c r="O24" s="16" t="inlineStr">
        <is>
          <t>DSMBxacyzGiqNgmadjZPMMGY2EEjRriH4HMbFDbRpump</t>
        </is>
      </c>
      <c r="P24" s="16">
        <f>HYPERLINK("https://dexscreener.com/solana/DSMBxacyzGiqNgmadjZPMMGY2EEjRriH4HMbFDbRpump", "View")</f>
        <v/>
      </c>
    </row>
    <row r="25">
      <c r="A25" s="19" t="inlineStr">
        <is>
          <t>ROBO</t>
        </is>
      </c>
      <c r="B25" s="20" t="n">
        <v>847980</v>
      </c>
      <c r="C25" s="20" t="n">
        <v>847980</v>
      </c>
      <c r="D25" s="20" t="inlineStr">
        <is>
          <t>0.000120</t>
        </is>
      </c>
      <c r="E25" s="20" t="inlineStr">
        <is>
          <t>0.164 SOL</t>
        </is>
      </c>
      <c r="F25" s="20" t="inlineStr">
        <is>
          <t>0.167 SOL</t>
        </is>
      </c>
      <c r="G25" s="22" t="inlineStr">
        <is>
          <t>0.003 SOL</t>
        </is>
      </c>
      <c r="H25" s="22" t="inlineStr">
        <is>
          <t>1.98%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30.10.2024 09:05:44</t>
        </is>
      </c>
      <c r="M25" s="20" t="inlineStr">
        <is>
          <t>1 min</t>
        </is>
      </c>
      <c r="N25" s="20" t="inlineStr">
        <is>
          <t xml:space="preserve">         33K            35K             6K</t>
        </is>
      </c>
      <c r="O25" s="20" t="inlineStr">
        <is>
          <t>BEU9QchHmNuZLTSJVxtK8tmnEbM3YVebd1ht5Z6bpump</t>
        </is>
      </c>
      <c r="P25" s="20">
        <f>HYPERLINK("https://photon-sol.tinyastro.io/en/lp/BEU9QchHmNuZLTSJVxtK8tmnEbM3YVebd1ht5Z6bpump?handle=676050794bc1b1657a56b", "View")</f>
        <v/>
      </c>
    </row>
    <row r="26">
      <c r="A26" s="15" t="inlineStr">
        <is>
          <t>ALETHIA</t>
        </is>
      </c>
      <c r="B26" s="16" t="n">
        <v>1461486</v>
      </c>
      <c r="C26" s="16" t="n">
        <v>0</v>
      </c>
      <c r="D26" s="16" t="inlineStr">
        <is>
          <t>0.000060</t>
        </is>
      </c>
      <c r="E26" s="16" t="inlineStr">
        <is>
          <t>0.207 SOL</t>
        </is>
      </c>
      <c r="F26" s="16" t="inlineStr">
        <is>
          <t>0.000 SOL</t>
        </is>
      </c>
      <c r="G26" s="17" t="inlineStr">
        <is>
          <t>-0.207 SOL</t>
        </is>
      </c>
      <c r="H26" s="17" t="inlineStr">
        <is>
          <t>0.00%</t>
        </is>
      </c>
      <c r="I26" s="16" t="inlineStr">
        <is>
          <t>1,461,486</t>
        </is>
      </c>
      <c r="J26" s="16" t="n">
        <v>1</v>
      </c>
      <c r="K26" s="16" t="n">
        <v>0</v>
      </c>
      <c r="L26" s="16" t="inlineStr">
        <is>
          <t>30.10.2024 08:58:43</t>
        </is>
      </c>
      <c r="M26" s="18" t="inlineStr">
        <is>
          <t>0 sec</t>
        </is>
      </c>
      <c r="N26" s="16" t="inlineStr">
        <is>
          <t xml:space="preserve">         25K            25K             5K</t>
        </is>
      </c>
      <c r="O26" s="16" t="inlineStr">
        <is>
          <t>EkfsUrsgJwumk7m6tJiFGfVzoQCpfHYe5oGhLoZCpump</t>
        </is>
      </c>
      <c r="P26" s="16">
        <f>HYPERLINK("https://photon-sol.tinyastro.io/en/lp/EkfsUrsgJwumk7m6tJiFGfVzoQCpfHYe5oGhLoZCpump?handle=676050794bc1b1657a56b", "View")</f>
        <v/>
      </c>
    </row>
    <row r="27">
      <c r="A27" s="19" t="inlineStr">
        <is>
          <t>marc</t>
        </is>
      </c>
      <c r="B27" s="20" t="n">
        <v>855706</v>
      </c>
      <c r="C27" s="20" t="n">
        <v>0</v>
      </c>
      <c r="D27" s="20" t="inlineStr">
        <is>
          <t>0.000060</t>
        </is>
      </c>
      <c r="E27" s="20" t="inlineStr">
        <is>
          <t>0.211 SOL</t>
        </is>
      </c>
      <c r="F27" s="20" t="inlineStr">
        <is>
          <t>0.000 SOL</t>
        </is>
      </c>
      <c r="G27" s="17" t="inlineStr">
        <is>
          <t>-0.211 SOL</t>
        </is>
      </c>
      <c r="H27" s="17" t="inlineStr">
        <is>
          <t>0.00%</t>
        </is>
      </c>
      <c r="I27" s="20" t="inlineStr">
        <is>
          <t>855,706</t>
        </is>
      </c>
      <c r="J27" s="20" t="n">
        <v>1</v>
      </c>
      <c r="K27" s="20" t="n">
        <v>0</v>
      </c>
      <c r="L27" s="20" t="inlineStr">
        <is>
          <t>30.10.2024 08:49:54</t>
        </is>
      </c>
      <c r="M27" s="18" t="inlineStr">
        <is>
          <t>0 sec</t>
        </is>
      </c>
      <c r="N27" s="20" t="inlineStr">
        <is>
          <t xml:space="preserve">         44K            44K             6K</t>
        </is>
      </c>
      <c r="O27" s="20" t="inlineStr">
        <is>
          <t>AKXZczQNhotQyHM4AJNu2FU1ooESKEbapeoT1E8spump</t>
        </is>
      </c>
      <c r="P27" s="20">
        <f>HYPERLINK("https://photon-sol.tinyastro.io/en/lp/AKXZczQNhotQyHM4AJNu2FU1ooESKEbapeoT1E8spump?handle=676050794bc1b1657a56b", "View")</f>
        <v/>
      </c>
    </row>
    <row r="28">
      <c r="A28" s="15" t="inlineStr">
        <is>
          <t>MOKSHA</t>
        </is>
      </c>
      <c r="B28" s="16" t="n">
        <v>108615</v>
      </c>
      <c r="C28" s="16" t="n">
        <v>108615</v>
      </c>
      <c r="D28" s="16" t="inlineStr">
        <is>
          <t>0.000120</t>
        </is>
      </c>
      <c r="E28" s="16" t="inlineStr">
        <is>
          <t>0.200 SOL</t>
        </is>
      </c>
      <c r="F28" s="16" t="inlineStr">
        <is>
          <t>0.265 SOL</t>
        </is>
      </c>
      <c r="G28" s="22" t="inlineStr">
        <is>
          <t>0.065 SOL</t>
        </is>
      </c>
      <c r="H28" s="22" t="inlineStr">
        <is>
          <t>32.52%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30.10.2024 08:40:07</t>
        </is>
      </c>
      <c r="M28" s="16" t="inlineStr">
        <is>
          <t>42 min</t>
        </is>
      </c>
      <c r="N28" s="16" t="inlineStr">
        <is>
          <t xml:space="preserve">        323K           429K           233K</t>
        </is>
      </c>
      <c r="O28" s="16" t="inlineStr">
        <is>
          <t>D5S1nXXaMnJui8rCnMbP1GZQnL9TxzbF92hXvgkVpump</t>
        </is>
      </c>
      <c r="P28" s="16">
        <f>HYPERLINK("https://dexscreener.com/solana/D5S1nXXaMnJui8rCnMbP1GZQnL9TxzbF92hXvgkVpump", "View")</f>
        <v/>
      </c>
    </row>
    <row r="29">
      <c r="A29" s="19" t="inlineStr">
        <is>
          <t>BFLYZ</t>
        </is>
      </c>
      <c r="B29" s="20" t="n">
        <v>14294</v>
      </c>
      <c r="C29" s="20" t="n">
        <v>14294</v>
      </c>
      <c r="D29" s="20" t="inlineStr">
        <is>
          <t>0.000120</t>
        </is>
      </c>
      <c r="E29" s="20" t="inlineStr">
        <is>
          <t>0.200 SOL</t>
        </is>
      </c>
      <c r="F29" s="20" t="inlineStr">
        <is>
          <t>0.260 SOL</t>
        </is>
      </c>
      <c r="G29" s="22" t="inlineStr">
        <is>
          <t>0.059 SOL</t>
        </is>
      </c>
      <c r="H29" s="22" t="inlineStr">
        <is>
          <t>29.70%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30.10.2024 07:13:35</t>
        </is>
      </c>
      <c r="M29" s="20" t="inlineStr">
        <is>
          <t>2 min</t>
        </is>
      </c>
      <c r="N29" s="20" t="inlineStr">
        <is>
          <t xml:space="preserve">          2M             3M           170K</t>
        </is>
      </c>
      <c r="O29" s="20" t="inlineStr">
        <is>
          <t>DDxS3mzbFiwPgmpK7j573MDvD7EQj5stPHZ8K8Wppump</t>
        </is>
      </c>
      <c r="P29" s="20">
        <f>HYPERLINK("https://dexscreener.com/solana/DDxS3mzbFiwPgmpK7j573MDvD7EQj5stPHZ8K8Wppump", "View")</f>
        <v/>
      </c>
    </row>
    <row r="30">
      <c r="A30" s="15" t="inlineStr">
        <is>
          <t>MAYA</t>
        </is>
      </c>
      <c r="B30" s="16" t="n">
        <v>2327699</v>
      </c>
      <c r="C30" s="16" t="n">
        <v>0</v>
      </c>
      <c r="D30" s="16" t="inlineStr">
        <is>
          <t>0.000060</t>
        </is>
      </c>
      <c r="E30" s="16" t="inlineStr">
        <is>
          <t>0.207 SOL</t>
        </is>
      </c>
      <c r="F30" s="16" t="inlineStr">
        <is>
          <t>0.000 SOL</t>
        </is>
      </c>
      <c r="G30" s="17" t="inlineStr">
        <is>
          <t>-0.207 SOL</t>
        </is>
      </c>
      <c r="H30" s="17" t="inlineStr">
        <is>
          <t>0.00%</t>
        </is>
      </c>
      <c r="I30" s="16" t="inlineStr">
        <is>
          <t>2,327,699</t>
        </is>
      </c>
      <c r="J30" s="16" t="n">
        <v>1</v>
      </c>
      <c r="K30" s="16" t="n">
        <v>0</v>
      </c>
      <c r="L30" s="16" t="inlineStr">
        <is>
          <t>30.10.2024 06:48:58</t>
        </is>
      </c>
      <c r="M30" s="18" t="inlineStr">
        <is>
          <t>0 sec</t>
        </is>
      </c>
      <c r="N30" s="16" t="inlineStr">
        <is>
          <t xml:space="preserve">        N/A           N/A           N/A</t>
        </is>
      </c>
      <c r="O30" s="16" t="inlineStr">
        <is>
          <t>CgS9QcAurjRLLYyFcSNoqp1K3bBQz873ytCCsUPXpump</t>
        </is>
      </c>
      <c r="P30" s="16">
        <f>HYPERLINK("https://photon-sol.tinyastro.io/en/lp/CgS9QcAurjRLLYyFcSNoqp1K3bBQz873ytCCsUPXpump?handle=676050794bc1b1657a56b", "View")</f>
        <v/>
      </c>
    </row>
    <row r="31">
      <c r="A31" s="19" t="inlineStr">
        <is>
          <t>Dogezilla</t>
        </is>
      </c>
      <c r="B31" s="20" t="n">
        <v>2780663</v>
      </c>
      <c r="C31" s="20" t="n">
        <v>0</v>
      </c>
      <c r="D31" s="20" t="inlineStr">
        <is>
          <t>0.000060</t>
        </is>
      </c>
      <c r="E31" s="20" t="inlineStr">
        <is>
          <t>0.211 SOL</t>
        </is>
      </c>
      <c r="F31" s="20" t="inlineStr">
        <is>
          <t>0.000 SOL</t>
        </is>
      </c>
      <c r="G31" s="17" t="inlineStr">
        <is>
          <t>-0.211 SOL</t>
        </is>
      </c>
      <c r="H31" s="17" t="inlineStr">
        <is>
          <t>0.00%</t>
        </is>
      </c>
      <c r="I31" s="20" t="inlineStr">
        <is>
          <t>2,780,663</t>
        </is>
      </c>
      <c r="J31" s="20" t="n">
        <v>1</v>
      </c>
      <c r="K31" s="20" t="n">
        <v>0</v>
      </c>
      <c r="L31" s="20" t="inlineStr">
        <is>
          <t>30.10.2024 06:44:15</t>
        </is>
      </c>
      <c r="M31" s="18" t="inlineStr">
        <is>
          <t>0 sec</t>
        </is>
      </c>
      <c r="N31" s="20" t="inlineStr">
        <is>
          <t xml:space="preserve">         14K            14K             5K</t>
        </is>
      </c>
      <c r="O31" s="20" t="inlineStr">
        <is>
          <t>9wBmg7L9rpRJzNSbpKaR1ix8PpbS3p8bnfeaRRoJpump</t>
        </is>
      </c>
      <c r="P31" s="20">
        <f>HYPERLINK("https://photon-sol.tinyastro.io/en/lp/9wBmg7L9rpRJzNSbpKaR1ix8PpbS3p8bnfeaRRoJpump?handle=676050794bc1b1657a56b", "View")</f>
        <v/>
      </c>
    </row>
    <row r="32">
      <c r="A32" s="15" t="inlineStr">
        <is>
          <t>Torin</t>
        </is>
      </c>
      <c r="B32" s="16" t="n">
        <v>316069</v>
      </c>
      <c r="C32" s="16" t="n">
        <v>316069</v>
      </c>
      <c r="D32" s="16" t="inlineStr">
        <is>
          <t>0.000120</t>
        </is>
      </c>
      <c r="E32" s="16" t="inlineStr">
        <is>
          <t>0.200 SOL</t>
        </is>
      </c>
      <c r="F32" s="16" t="inlineStr">
        <is>
          <t>0.235 SOL</t>
        </is>
      </c>
      <c r="G32" s="22" t="inlineStr">
        <is>
          <t>0.034 SOL</t>
        </is>
      </c>
      <c r="H32" s="22" t="inlineStr">
        <is>
          <t>17.23%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30.10.2024 06:20:35</t>
        </is>
      </c>
      <c r="M32" s="16" t="inlineStr">
        <is>
          <t>5 min</t>
        </is>
      </c>
      <c r="N32" s="16" t="inlineStr">
        <is>
          <t xml:space="preserve">        111K           130K             7K</t>
        </is>
      </c>
      <c r="O32" s="16" t="inlineStr">
        <is>
          <t>ALKTKLRTyF3P83KMCAvGEtY4CsoMzvh1k38uixCgpump</t>
        </is>
      </c>
      <c r="P32" s="16">
        <f>HYPERLINK("https://dexscreener.com/solana/ALKTKLRTyF3P83KMCAvGEtY4CsoMzvh1k38uixCgpump", "View")</f>
        <v/>
      </c>
    </row>
    <row r="33">
      <c r="A33" s="19" t="inlineStr">
        <is>
          <t>Unicross</t>
        </is>
      </c>
      <c r="B33" s="20" t="n">
        <v>286580</v>
      </c>
      <c r="C33" s="20" t="n">
        <v>286580</v>
      </c>
      <c r="D33" s="20" t="inlineStr">
        <is>
          <t>0.000120</t>
        </is>
      </c>
      <c r="E33" s="20" t="inlineStr">
        <is>
          <t>0.200 SOL</t>
        </is>
      </c>
      <c r="F33" s="20" t="inlineStr">
        <is>
          <t>0.388 SOL</t>
        </is>
      </c>
      <c r="G33" s="23" t="inlineStr">
        <is>
          <t>0.188 SOL</t>
        </is>
      </c>
      <c r="H33" s="23" t="inlineStr">
        <is>
          <t>94.04%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30.10.2024 05:16:39</t>
        </is>
      </c>
      <c r="M33" s="20" t="inlineStr">
        <is>
          <t>29 min</t>
        </is>
      </c>
      <c r="N33" s="20" t="inlineStr">
        <is>
          <t xml:space="preserve">        117K           227K             6K</t>
        </is>
      </c>
      <c r="O33" s="20" t="inlineStr">
        <is>
          <t>Afzw9a8zYMkd77EDYSfyxsVwwzVdZbW47xHRtMfzpump</t>
        </is>
      </c>
      <c r="P33" s="20">
        <f>HYPERLINK("https://dexscreener.com/solana/Afzw9a8zYMkd77EDYSfyxsVwwzVdZbW47xHRtMfzpump", "View")</f>
        <v/>
      </c>
    </row>
    <row r="34">
      <c r="A34" s="15" t="inlineStr">
        <is>
          <t>Grimace</t>
        </is>
      </c>
      <c r="B34" s="16" t="n">
        <v>343868</v>
      </c>
      <c r="C34" s="16" t="n">
        <v>343868</v>
      </c>
      <c r="D34" s="16" t="inlineStr">
        <is>
          <t>0.000120</t>
        </is>
      </c>
      <c r="E34" s="16" t="inlineStr">
        <is>
          <t>0.104 SOL</t>
        </is>
      </c>
      <c r="F34" s="16" t="inlineStr">
        <is>
          <t>0.118 SOL</t>
        </is>
      </c>
      <c r="G34" s="22" t="inlineStr">
        <is>
          <t>0.013 SOL</t>
        </is>
      </c>
      <c r="H34" s="22" t="inlineStr">
        <is>
          <t>12.61%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30.10.2024 03:49:34</t>
        </is>
      </c>
      <c r="M34" s="16" t="inlineStr">
        <is>
          <t>24 min</t>
        </is>
      </c>
      <c r="N34" s="16" t="inlineStr">
        <is>
          <t xml:space="preserve">         52K            59K             7K</t>
        </is>
      </c>
      <c r="O34" s="16" t="inlineStr">
        <is>
          <t>GyZRpDg9C36uW29g5128mkrZxAWFu7Qgg2MS71rp4xE3</t>
        </is>
      </c>
      <c r="P34" s="16">
        <f>HYPERLINK("https://photon-sol.tinyastro.io/en/lp/GyZRpDg9C36uW29g5128mkrZxAWFu7Qgg2MS71rp4xE3?handle=676050794bc1b1657a56b", "View")</f>
        <v/>
      </c>
    </row>
    <row r="35">
      <c r="A35" s="19" t="inlineStr">
        <is>
          <t>HOL</t>
        </is>
      </c>
      <c r="B35" s="20" t="n">
        <v>1560487</v>
      </c>
      <c r="C35" s="20" t="n">
        <v>1560487</v>
      </c>
      <c r="D35" s="20" t="inlineStr">
        <is>
          <t>0.000180</t>
        </is>
      </c>
      <c r="E35" s="20" t="inlineStr">
        <is>
          <t>0.200 SOL</t>
        </is>
      </c>
      <c r="F35" s="20" t="inlineStr">
        <is>
          <t>0.571 SOL</t>
        </is>
      </c>
      <c r="G35" s="23" t="inlineStr">
        <is>
          <t>0.371 SOL</t>
        </is>
      </c>
      <c r="H35" s="23" t="inlineStr">
        <is>
          <t>185.40%</t>
        </is>
      </c>
      <c r="I35" s="20" t="inlineStr">
        <is>
          <t>N/A</t>
        </is>
      </c>
      <c r="J35" s="20" t="n">
        <v>1</v>
      </c>
      <c r="K35" s="20" t="n">
        <v>2</v>
      </c>
      <c r="L35" s="20" t="inlineStr">
        <is>
          <t>30.10.2024 02:12:45</t>
        </is>
      </c>
      <c r="M35" s="20" t="inlineStr">
        <is>
          <t>1 days</t>
        </is>
      </c>
      <c r="N35" s="20" t="inlineStr">
        <is>
          <t xml:space="preserve">         23K            23K            73K</t>
        </is>
      </c>
      <c r="O35" s="20" t="inlineStr">
        <is>
          <t>8r8xXP3eHgn19HYRX9Qe2AzSaSXrWCj6URAmFpvUpump</t>
        </is>
      </c>
      <c r="P35" s="20">
        <f>HYPERLINK("https://dexscreener.com/solana/8r8xXP3eHgn19HYRX9Qe2AzSaSXrWCj6URAmFpvUpump", "View")</f>
        <v/>
      </c>
    </row>
    <row r="36">
      <c r="A36" s="15" t="inlineStr">
        <is>
          <t>LUCK</t>
        </is>
      </c>
      <c r="B36" s="16" t="n">
        <v>1317658</v>
      </c>
      <c r="C36" s="16" t="n">
        <v>0</v>
      </c>
      <c r="D36" s="16" t="inlineStr">
        <is>
          <t>0.000060</t>
        </is>
      </c>
      <c r="E36" s="16" t="inlineStr">
        <is>
          <t>0.104 SOL</t>
        </is>
      </c>
      <c r="F36" s="16" t="inlineStr">
        <is>
          <t>0.000 SOL</t>
        </is>
      </c>
      <c r="G36" s="17" t="inlineStr">
        <is>
          <t>-0.104 SOL</t>
        </is>
      </c>
      <c r="H36" s="17" t="inlineStr">
        <is>
          <t>0.00%</t>
        </is>
      </c>
      <c r="I36" s="16" t="inlineStr">
        <is>
          <t>1,317,658</t>
        </is>
      </c>
      <c r="J36" s="16" t="n">
        <v>1</v>
      </c>
      <c r="K36" s="16" t="n">
        <v>0</v>
      </c>
      <c r="L36" s="16" t="inlineStr">
        <is>
          <t>29.10.2024 16:57:05</t>
        </is>
      </c>
      <c r="M36" s="18" t="inlineStr">
        <is>
          <t>0 sec</t>
        </is>
      </c>
      <c r="N36" s="16" t="inlineStr">
        <is>
          <t xml:space="preserve">         14K            14K             7K</t>
        </is>
      </c>
      <c r="O36" s="16" t="inlineStr">
        <is>
          <t>pqZQ2pr2idU9MSZJMXzCzNn3twbZHvd1oLYTWCBpump</t>
        </is>
      </c>
      <c r="P36" s="16">
        <f>HYPERLINK("https://photon-sol.tinyastro.io/en/lp/pqZQ2pr2idU9MSZJMXzCzNn3twbZHvd1oLYTWCBpump?handle=676050794bc1b1657a56b", "View")</f>
        <v/>
      </c>
    </row>
    <row r="37">
      <c r="A37" s="19" t="inlineStr">
        <is>
          <t>KOKOSANKA</t>
        </is>
      </c>
      <c r="B37" s="20" t="n">
        <v>7153333</v>
      </c>
      <c r="C37" s="20" t="n">
        <v>7153333</v>
      </c>
      <c r="D37" s="20" t="inlineStr">
        <is>
          <t>0.000120</t>
        </is>
      </c>
      <c r="E37" s="20" t="inlineStr">
        <is>
          <t>0.207 SOL</t>
        </is>
      </c>
      <c r="F37" s="20" t="inlineStr">
        <is>
          <t>0.197 SOL</t>
        </is>
      </c>
      <c r="G37" s="21" t="inlineStr">
        <is>
          <t>-0.010 SOL</t>
        </is>
      </c>
      <c r="H37" s="21" t="inlineStr">
        <is>
          <t>-4.98%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29.10.2024 07:16:26</t>
        </is>
      </c>
      <c r="M37" s="20" t="inlineStr">
        <is>
          <t>3 days</t>
        </is>
      </c>
      <c r="N37" s="20" t="inlineStr">
        <is>
          <t xml:space="preserve">          5K             5K             5K</t>
        </is>
      </c>
      <c r="O37" s="20" t="inlineStr">
        <is>
          <t>2QHhAudnnCF94XaaANJYe5xCHdCuVhZpaYsAEdnjpump</t>
        </is>
      </c>
      <c r="P37" s="20">
        <f>HYPERLINK("https://photon-sol.tinyastro.io/en/lp/2QHhAudnnCF94XaaANJYe5xCHdCuVhZpaYsAEdnjpump?handle=676050794bc1b1657a56b", "View")</f>
        <v/>
      </c>
    </row>
    <row r="38">
      <c r="A38" s="15" t="inlineStr">
        <is>
          <t>group</t>
        </is>
      </c>
      <c r="B38" s="16" t="n">
        <v>5293468</v>
      </c>
      <c r="C38" s="16" t="n">
        <v>5293468</v>
      </c>
      <c r="D38" s="16" t="inlineStr">
        <is>
          <t>0.000570</t>
        </is>
      </c>
      <c r="E38" s="16" t="inlineStr">
        <is>
          <t>0.208 SOL</t>
        </is>
      </c>
      <c r="F38" s="16" t="inlineStr">
        <is>
          <t>0.147 SOL</t>
        </is>
      </c>
      <c r="G38" s="21" t="inlineStr">
        <is>
          <t>-0.061 SOL</t>
        </is>
      </c>
      <c r="H38" s="21" t="inlineStr">
        <is>
          <t>-29.42%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29.10.2024 07:16:11</t>
        </is>
      </c>
      <c r="M38" s="16" t="inlineStr">
        <is>
          <t>8 days</t>
        </is>
      </c>
      <c r="N38" s="16" t="inlineStr">
        <is>
          <t xml:space="preserve">          7K             7K             5K</t>
        </is>
      </c>
      <c r="O38" s="16" t="inlineStr">
        <is>
          <t>9JepYiLyHt3eDwbyMeRemxh9XQEARDFoaJYETsJjpump</t>
        </is>
      </c>
      <c r="P38" s="16">
        <f>HYPERLINK("https://photon-sol.tinyastro.io/en/lp/9JepYiLyHt3eDwbyMeRemxh9XQEARDFoaJYETsJjpump?handle=676050794bc1b1657a56b", "View")</f>
        <v/>
      </c>
    </row>
    <row r="39">
      <c r="A39" s="19" t="inlineStr">
        <is>
          <t>BABYGOAT</t>
        </is>
      </c>
      <c r="B39" s="20" t="n">
        <v>6542694</v>
      </c>
      <c r="C39" s="20" t="n">
        <v>6542694</v>
      </c>
      <c r="D39" s="20" t="inlineStr">
        <is>
          <t>0.000120</t>
        </is>
      </c>
      <c r="E39" s="20" t="inlineStr">
        <is>
          <t>0.207 SOL</t>
        </is>
      </c>
      <c r="F39" s="20" t="inlineStr">
        <is>
          <t>0.181 SOL</t>
        </is>
      </c>
      <c r="G39" s="21" t="inlineStr">
        <is>
          <t>-0.027 SOL</t>
        </is>
      </c>
      <c r="H39" s="21" t="inlineStr">
        <is>
          <t>-12.97%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29.10.2024 07:15:56</t>
        </is>
      </c>
      <c r="M39" s="20" t="inlineStr">
        <is>
          <t>3 days</t>
        </is>
      </c>
      <c r="N39" s="20" t="inlineStr">
        <is>
          <t xml:space="preserve">          5K             5K             5K</t>
        </is>
      </c>
      <c r="O39" s="20" t="inlineStr">
        <is>
          <t>4d7NV1k9f9gpurP99N8E4MVrqLRqxFeGvN5gReB6pump</t>
        </is>
      </c>
      <c r="P39" s="20">
        <f>HYPERLINK("https://photon-sol.tinyastro.io/en/lp/4d7NV1k9f9gpurP99N8E4MVrqLRqxFeGvN5gReB6pump?handle=676050794bc1b1657a56b", "View")</f>
        <v/>
      </c>
    </row>
    <row r="40">
      <c r="A40" s="15" t="inlineStr">
        <is>
          <t>REDPANDAS</t>
        </is>
      </c>
      <c r="B40" s="16" t="n">
        <v>1717222</v>
      </c>
      <c r="C40" s="16" t="n">
        <v>0</v>
      </c>
      <c r="D40" s="16" t="inlineStr">
        <is>
          <t>0.000060</t>
        </is>
      </c>
      <c r="E40" s="16" t="inlineStr">
        <is>
          <t>0.191 SOL</t>
        </is>
      </c>
      <c r="F40" s="16" t="inlineStr">
        <is>
          <t>0.000 SOL</t>
        </is>
      </c>
      <c r="G40" s="17" t="inlineStr">
        <is>
          <t>-0.191 SOL</t>
        </is>
      </c>
      <c r="H40" s="17" t="inlineStr">
        <is>
          <t>0.00%</t>
        </is>
      </c>
      <c r="I40" s="16" t="inlineStr">
        <is>
          <t>1,717,222</t>
        </is>
      </c>
      <c r="J40" s="16" t="n">
        <v>1</v>
      </c>
      <c r="K40" s="16" t="n">
        <v>0</v>
      </c>
      <c r="L40" s="16" t="inlineStr">
        <is>
          <t>29.10.2024 07:13:07</t>
        </is>
      </c>
      <c r="M40" s="18" t="inlineStr">
        <is>
          <t>0 sec</t>
        </is>
      </c>
      <c r="N40" s="16" t="inlineStr">
        <is>
          <t xml:space="preserve">        N/A           N/A           N/A</t>
        </is>
      </c>
      <c r="O40" s="16" t="inlineStr">
        <is>
          <t>GuDh4S7Msd1ZUvLn3jgGKtLUkcPgGv2qqoS5o8a6pump</t>
        </is>
      </c>
      <c r="P40" s="16">
        <f>HYPERLINK("https://photon-sol.tinyastro.io/en/lp/GuDh4S7Msd1ZUvLn3jgGKtLUkcPgGv2qqoS5o8a6pump?handle=676050794bc1b1657a56b", "View")</f>
        <v/>
      </c>
    </row>
    <row r="41">
      <c r="A41" s="19" t="inlineStr">
        <is>
          <t>WORK</t>
        </is>
      </c>
      <c r="B41" s="20" t="n">
        <v>35704</v>
      </c>
      <c r="C41" s="20" t="n">
        <v>35704</v>
      </c>
      <c r="D41" s="20" t="inlineStr">
        <is>
          <t>0.001070</t>
        </is>
      </c>
      <c r="E41" s="20" t="inlineStr">
        <is>
          <t>0.200 SOL</t>
        </is>
      </c>
      <c r="F41" s="20" t="inlineStr">
        <is>
          <t>0.315 SOL</t>
        </is>
      </c>
      <c r="G41" s="23" t="inlineStr">
        <is>
          <t>0.113 SOL</t>
        </is>
      </c>
      <c r="H41" s="23" t="inlineStr">
        <is>
          <t>56.42%</t>
        </is>
      </c>
      <c r="I41" s="20" t="inlineStr">
        <is>
          <t>N/A</t>
        </is>
      </c>
      <c r="J41" s="20" t="n">
        <v>1</v>
      </c>
      <c r="K41" s="20" t="n">
        <v>2</v>
      </c>
      <c r="L41" s="20" t="inlineStr">
        <is>
          <t>29.10.2024 07:01:13</t>
        </is>
      </c>
      <c r="M41" s="20" t="inlineStr">
        <is>
          <t>11 days</t>
        </is>
      </c>
      <c r="N41" s="20" t="inlineStr">
        <is>
          <t xml:space="preserve">        984K           984K             1M</t>
        </is>
      </c>
      <c r="O41" s="20" t="inlineStr">
        <is>
          <t>F7Hwf8ib5DVCoiuyGr618Y3gon429Rnd1r5F9R5upump</t>
        </is>
      </c>
      <c r="P41" s="20">
        <f>HYPERLINK("https://dexscreener.com/solana/F7Hwf8ib5DVCoiuyGr618Y3gon429Rnd1r5F9R5upump", "View")</f>
        <v/>
      </c>
    </row>
    <row r="42">
      <c r="A42" s="15" t="inlineStr">
        <is>
          <t>RNA</t>
        </is>
      </c>
      <c r="B42" s="16" t="n">
        <v>5629220</v>
      </c>
      <c r="C42" s="16" t="n">
        <v>5629220</v>
      </c>
      <c r="D42" s="16" t="inlineStr">
        <is>
          <t>0.000120</t>
        </is>
      </c>
      <c r="E42" s="16" t="inlineStr">
        <is>
          <t>0.207 SOL</t>
        </is>
      </c>
      <c r="F42" s="16" t="inlineStr">
        <is>
          <t>0.167 SOL</t>
        </is>
      </c>
      <c r="G42" s="21" t="inlineStr">
        <is>
          <t>-0.040 SOL</t>
        </is>
      </c>
      <c r="H42" s="21" t="inlineStr">
        <is>
          <t>-19.36%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29.10.2024 06:46:51</t>
        </is>
      </c>
      <c r="M42" s="16" t="inlineStr">
        <is>
          <t>18 min</t>
        </is>
      </c>
      <c r="N42" s="16" t="inlineStr">
        <is>
          <t xml:space="preserve">          7K             5K             5K</t>
        </is>
      </c>
      <c r="O42" s="16" t="inlineStr">
        <is>
          <t>DLEEzUKc7jo7e5eB7x7yCmdf1EMfyW3V9MXBHMR5pump</t>
        </is>
      </c>
      <c r="P42" s="16">
        <f>HYPERLINK("https://photon-sol.tinyastro.io/en/lp/DLEEzUKc7jo7e5eB7x7yCmdf1EMfyW3V9MXBHMR5pump?handle=676050794bc1b1657a56b", "View")</f>
        <v/>
      </c>
    </row>
    <row r="43">
      <c r="A43" s="19" t="inlineStr">
        <is>
          <t>Whity</t>
        </is>
      </c>
      <c r="B43" s="20" t="n">
        <v>5539877</v>
      </c>
      <c r="C43" s="20" t="n">
        <v>5539877</v>
      </c>
      <c r="D43" s="20" t="inlineStr">
        <is>
          <t>0.000120</t>
        </is>
      </c>
      <c r="E43" s="20" t="inlineStr">
        <is>
          <t>0.207 SOL</t>
        </is>
      </c>
      <c r="F43" s="20" t="inlineStr">
        <is>
          <t>0.154 SOL</t>
        </is>
      </c>
      <c r="G43" s="21" t="inlineStr">
        <is>
          <t>-0.053 SOL</t>
        </is>
      </c>
      <c r="H43" s="21" t="inlineStr">
        <is>
          <t>-25.72%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29.10.2024 06:39:35</t>
        </is>
      </c>
      <c r="M43" s="20" t="inlineStr">
        <is>
          <t>9 min</t>
        </is>
      </c>
      <c r="N43" s="20" t="inlineStr">
        <is>
          <t xml:space="preserve">          7K             5K             5K</t>
        </is>
      </c>
      <c r="O43" s="20" t="inlineStr">
        <is>
          <t>83K2yBnHgfyp6WyL5rqHRqgk5KLqU99Nb1Hj7hqzpump</t>
        </is>
      </c>
      <c r="P43" s="20">
        <f>HYPERLINK("https://photon-sol.tinyastro.io/en/lp/83K2yBnHgfyp6WyL5rqHRqgk5KLqU99Nb1Hj7hqzpump?handle=676050794bc1b1657a56b", "View")</f>
        <v/>
      </c>
    </row>
    <row r="44">
      <c r="A44" s="15" t="inlineStr">
        <is>
          <t>Plaid</t>
        </is>
      </c>
      <c r="B44" s="16" t="n">
        <v>5365004</v>
      </c>
      <c r="C44" s="16" t="n">
        <v>0</v>
      </c>
      <c r="D44" s="16" t="inlineStr">
        <is>
          <t>0.000060</t>
        </is>
      </c>
      <c r="E44" s="16" t="inlineStr">
        <is>
          <t>0.207 SOL</t>
        </is>
      </c>
      <c r="F44" s="16" t="inlineStr">
        <is>
          <t>0.000 SOL</t>
        </is>
      </c>
      <c r="G44" s="17" t="inlineStr">
        <is>
          <t>-0.207 SOL</t>
        </is>
      </c>
      <c r="H44" s="17" t="inlineStr">
        <is>
          <t>0.00%</t>
        </is>
      </c>
      <c r="I44" s="16" t="inlineStr">
        <is>
          <t>5,365,004</t>
        </is>
      </c>
      <c r="J44" s="16" t="n">
        <v>1</v>
      </c>
      <c r="K44" s="16" t="n">
        <v>0</v>
      </c>
      <c r="L44" s="16" t="inlineStr">
        <is>
          <t>29.10.2024 05:37:44</t>
        </is>
      </c>
      <c r="M44" s="18" t="inlineStr">
        <is>
          <t>0 sec</t>
        </is>
      </c>
      <c r="N44" s="16" t="inlineStr">
        <is>
          <t xml:space="preserve">          7K             7K             5K</t>
        </is>
      </c>
      <c r="O44" s="16" t="inlineStr">
        <is>
          <t>4iiJSzG8RdzhmL4UzNxxE4Jw4UjPFjxGEp43mCv4pump</t>
        </is>
      </c>
      <c r="P44" s="16">
        <f>HYPERLINK("https://photon-sol.tinyastro.io/en/lp/4iiJSzG8RdzhmL4UzNxxE4Jw4UjPFjxGEp43mCv4pump?handle=676050794bc1b1657a56b", "View")</f>
        <v/>
      </c>
    </row>
    <row r="45">
      <c r="A45" s="19" t="inlineStr">
        <is>
          <t>guitar</t>
        </is>
      </c>
      <c r="B45" s="20" t="n">
        <v>2662520</v>
      </c>
      <c r="C45" s="20" t="n">
        <v>0</v>
      </c>
      <c r="D45" s="20" t="inlineStr">
        <is>
          <t>0.000060</t>
        </is>
      </c>
      <c r="E45" s="20" t="inlineStr">
        <is>
          <t>0.207 SOL</t>
        </is>
      </c>
      <c r="F45" s="20" t="inlineStr">
        <is>
          <t>0.000 SOL</t>
        </is>
      </c>
      <c r="G45" s="17" t="inlineStr">
        <is>
          <t>-0.207 SOL</t>
        </is>
      </c>
      <c r="H45" s="17" t="inlineStr">
        <is>
          <t>0.00%</t>
        </is>
      </c>
      <c r="I45" s="20" t="inlineStr">
        <is>
          <t>2,662,520</t>
        </is>
      </c>
      <c r="J45" s="20" t="n">
        <v>1</v>
      </c>
      <c r="K45" s="20" t="n">
        <v>0</v>
      </c>
      <c r="L45" s="20" t="inlineStr">
        <is>
          <t>29.10.2024 05:36:10</t>
        </is>
      </c>
      <c r="M45" s="18" t="inlineStr">
        <is>
          <t>0 sec</t>
        </is>
      </c>
      <c r="N45" s="20" t="inlineStr">
        <is>
          <t xml:space="preserve">         14K            14K             5K</t>
        </is>
      </c>
      <c r="O45" s="20" t="inlineStr">
        <is>
          <t>7i89jiT71gUXRXbvcPrUWzarDRSfbeJh2SeRmonppump</t>
        </is>
      </c>
      <c r="P45" s="20">
        <f>HYPERLINK("https://photon-sol.tinyastro.io/en/lp/7i89jiT71gUXRXbvcPrUWzarDRSfbeJh2SeRmonppump?handle=676050794bc1b1657a56b", "View")</f>
        <v/>
      </c>
    </row>
    <row r="46">
      <c r="A46" s="15" t="inlineStr">
        <is>
          <t>Ziggy</t>
        </is>
      </c>
      <c r="B46" s="16" t="n">
        <v>909528</v>
      </c>
      <c r="C46" s="16" t="n">
        <v>909528</v>
      </c>
      <c r="D46" s="16" t="inlineStr">
        <is>
          <t>0.000120</t>
        </is>
      </c>
      <c r="E46" s="16" t="inlineStr">
        <is>
          <t>0.200 SOL</t>
        </is>
      </c>
      <c r="F46" s="16" t="inlineStr">
        <is>
          <t>0.202 SOL</t>
        </is>
      </c>
      <c r="G46" s="22" t="inlineStr">
        <is>
          <t>0.002 SOL</t>
        </is>
      </c>
      <c r="H46" s="22" t="inlineStr">
        <is>
          <t>1.07%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28.10.2024 16:56:52</t>
        </is>
      </c>
      <c r="M46" s="16" t="inlineStr">
        <is>
          <t>1 min</t>
        </is>
      </c>
      <c r="N46" s="16" t="inlineStr">
        <is>
          <t xml:space="preserve">         39K            39K             4K</t>
        </is>
      </c>
      <c r="O46" s="16" t="inlineStr">
        <is>
          <t>9wBdGejMb6UJeXDdTSfvRhhECCCNi74vmzLFQixjpump</t>
        </is>
      </c>
      <c r="P46" s="16">
        <f>HYPERLINK("https://dexscreener.com/solana/9wBdGejMb6UJeXDdTSfvRhhECCCNi74vmzLFQixjpump", "View")</f>
        <v/>
      </c>
    </row>
    <row r="47">
      <c r="A47" s="19" t="inlineStr">
        <is>
          <t>BE</t>
        </is>
      </c>
      <c r="B47" s="20" t="n">
        <v>581232</v>
      </c>
      <c r="C47" s="20" t="n">
        <v>0</v>
      </c>
      <c r="D47" s="20" t="inlineStr">
        <is>
          <t>0.000060</t>
        </is>
      </c>
      <c r="E47" s="20" t="inlineStr">
        <is>
          <t>0.200 SOL</t>
        </is>
      </c>
      <c r="F47" s="20" t="inlineStr">
        <is>
          <t>0.000 SOL</t>
        </is>
      </c>
      <c r="G47" s="17" t="inlineStr">
        <is>
          <t>-0.200 SOL</t>
        </is>
      </c>
      <c r="H47" s="17" t="inlineStr">
        <is>
          <t>0.00%</t>
        </is>
      </c>
      <c r="I47" s="20" t="inlineStr">
        <is>
          <t>581,232</t>
        </is>
      </c>
      <c r="J47" s="20" t="n">
        <v>1</v>
      </c>
      <c r="K47" s="20" t="n">
        <v>0</v>
      </c>
      <c r="L47" s="20" t="inlineStr">
        <is>
          <t>28.10.2024 16:45:47</t>
        </is>
      </c>
      <c r="M47" s="18" t="inlineStr">
        <is>
          <t>0 sec</t>
        </is>
      </c>
      <c r="N47" s="20" t="inlineStr">
        <is>
          <t xml:space="preserve">         60K            60K             6K</t>
        </is>
      </c>
      <c r="O47" s="20" t="inlineStr">
        <is>
          <t>7unjDTz3Gtaw6Duo2W6SATiXWUYtXcihWTezfgRdpump</t>
        </is>
      </c>
      <c r="P47" s="20">
        <f>HYPERLINK("https://dexscreener.com/solana/7unjDTz3Gtaw6Duo2W6SATiXWUYtXcihWTezfgRdpump", "View")</f>
        <v/>
      </c>
    </row>
    <row r="48">
      <c r="A48" s="15" t="inlineStr">
        <is>
          <t>DOG</t>
        </is>
      </c>
      <c r="B48" s="16" t="n">
        <v>190032</v>
      </c>
      <c r="C48" s="16" t="n">
        <v>0</v>
      </c>
      <c r="D48" s="16" t="inlineStr">
        <is>
          <t>0.000060</t>
        </is>
      </c>
      <c r="E48" s="16" t="inlineStr">
        <is>
          <t>0.200 SOL</t>
        </is>
      </c>
      <c r="F48" s="16" t="inlineStr">
        <is>
          <t>0.000 SOL</t>
        </is>
      </c>
      <c r="G48" s="17" t="inlineStr">
        <is>
          <t>-0.200 SOL</t>
        </is>
      </c>
      <c r="H48" s="17" t="inlineStr">
        <is>
          <t>0.00%</t>
        </is>
      </c>
      <c r="I48" s="16" t="inlineStr">
        <is>
          <t>190,032</t>
        </is>
      </c>
      <c r="J48" s="16" t="n">
        <v>1</v>
      </c>
      <c r="K48" s="16" t="n">
        <v>0</v>
      </c>
      <c r="L48" s="16" t="inlineStr">
        <is>
          <t>28.10.2024 16:45:07</t>
        </is>
      </c>
      <c r="M48" s="18" t="inlineStr">
        <is>
          <t>0 sec</t>
        </is>
      </c>
      <c r="N48" s="16" t="inlineStr">
        <is>
          <t xml:space="preserve">        184K           184K            12K</t>
        </is>
      </c>
      <c r="O48" s="16" t="inlineStr">
        <is>
          <t>D8Uf5HeqqJDACDSdrVTq262UDHZUppEjFEGsBXxppump</t>
        </is>
      </c>
      <c r="P48" s="16">
        <f>HYPERLINK("https://dexscreener.com/solana/D8Uf5HeqqJDACDSdrVTq262UDHZUppEjFEGsBXxppump", "View")</f>
        <v/>
      </c>
    </row>
    <row r="49">
      <c r="A49" s="19" t="inlineStr">
        <is>
          <t>Popmichi</t>
        </is>
      </c>
      <c r="B49" s="20" t="n">
        <v>4290416</v>
      </c>
      <c r="C49" s="20" t="n">
        <v>0</v>
      </c>
      <c r="D49" s="20" t="inlineStr">
        <is>
          <t>0.000060</t>
        </is>
      </c>
      <c r="E49" s="20" t="inlineStr">
        <is>
          <t>0.207 SOL</t>
        </is>
      </c>
      <c r="F49" s="20" t="inlineStr">
        <is>
          <t>0.000 SOL</t>
        </is>
      </c>
      <c r="G49" s="17" t="inlineStr">
        <is>
          <t>-0.207 SOL</t>
        </is>
      </c>
      <c r="H49" s="17" t="inlineStr">
        <is>
          <t>0.00%</t>
        </is>
      </c>
      <c r="I49" s="20" t="inlineStr">
        <is>
          <t>4,290,416</t>
        </is>
      </c>
      <c r="J49" s="20" t="n">
        <v>1</v>
      </c>
      <c r="K49" s="20" t="n">
        <v>0</v>
      </c>
      <c r="L49" s="20" t="inlineStr">
        <is>
          <t>28.10.2024 15:53:01</t>
        </is>
      </c>
      <c r="M49" s="18" t="inlineStr">
        <is>
          <t>0 sec</t>
        </is>
      </c>
      <c r="N49" s="20" t="inlineStr">
        <is>
          <t xml:space="preserve">          9K             9K             5K</t>
        </is>
      </c>
      <c r="O49" s="20" t="inlineStr">
        <is>
          <t>EWoyv4vjNzvnCpoZXDqvS3YrPjfucHuUkUyCRMoSpump</t>
        </is>
      </c>
      <c r="P49" s="20">
        <f>HYPERLINK("https://photon-sol.tinyastro.io/en/lp/EWoyv4vjNzvnCpoZXDqvS3YrPjfucHuUkUyCRMoSpump?handle=676050794bc1b1657a56b", "View")</f>
        <v/>
      </c>
    </row>
    <row r="50">
      <c r="A50" s="15" t="inlineStr">
        <is>
          <t>LUNIX</t>
        </is>
      </c>
      <c r="B50" s="16" t="n">
        <v>213833</v>
      </c>
      <c r="C50" s="16" t="n">
        <v>0</v>
      </c>
      <c r="D50" s="16" t="inlineStr">
        <is>
          <t>0.000060</t>
        </is>
      </c>
      <c r="E50" s="16" t="inlineStr">
        <is>
          <t>0.200 SOL</t>
        </is>
      </c>
      <c r="F50" s="16" t="inlineStr">
        <is>
          <t>0.000 SOL</t>
        </is>
      </c>
      <c r="G50" s="17" t="inlineStr">
        <is>
          <t>-0.200 SOL</t>
        </is>
      </c>
      <c r="H50" s="17" t="inlineStr">
        <is>
          <t>0.00%</t>
        </is>
      </c>
      <c r="I50" s="16" t="inlineStr">
        <is>
          <t>213,833</t>
        </is>
      </c>
      <c r="J50" s="16" t="n">
        <v>1</v>
      </c>
      <c r="K50" s="16" t="n">
        <v>0</v>
      </c>
      <c r="L50" s="16" t="inlineStr">
        <is>
          <t>28.10.2024 15:35:13</t>
        </is>
      </c>
      <c r="M50" s="18" t="inlineStr">
        <is>
          <t>0 sec</t>
        </is>
      </c>
      <c r="N50" s="16" t="inlineStr">
        <is>
          <t xml:space="preserve">         77K            77K             7K</t>
        </is>
      </c>
      <c r="O50" s="16" t="inlineStr">
        <is>
          <t>2vuTTsSqRjjDcozauGTXcUYR3a7GVJsnKMcMLpxjpump</t>
        </is>
      </c>
      <c r="P50" s="16">
        <f>HYPERLINK("https://dexscreener.com/solana/2vuTTsSqRjjDcozauGTXcUYR3a7GVJsnKMcMLpxjpump", "View")</f>
        <v/>
      </c>
    </row>
    <row r="51">
      <c r="A51" s="19" t="inlineStr">
        <is>
          <t xml:space="preserve">ALTERA </t>
        </is>
      </c>
      <c r="B51" s="20" t="n">
        <v>1147091</v>
      </c>
      <c r="C51" s="20" t="n">
        <v>0</v>
      </c>
      <c r="D51" s="20" t="inlineStr">
        <is>
          <t>0.000060</t>
        </is>
      </c>
      <c r="E51" s="20" t="inlineStr">
        <is>
          <t>0.200 SOL</t>
        </is>
      </c>
      <c r="F51" s="20" t="inlineStr">
        <is>
          <t>0.000 SOL</t>
        </is>
      </c>
      <c r="G51" s="17" t="inlineStr">
        <is>
          <t>-0.200 SOL</t>
        </is>
      </c>
      <c r="H51" s="17" t="inlineStr">
        <is>
          <t>0.00%</t>
        </is>
      </c>
      <c r="I51" s="20" t="inlineStr">
        <is>
          <t>1,147,091</t>
        </is>
      </c>
      <c r="J51" s="20" t="n">
        <v>1</v>
      </c>
      <c r="K51" s="20" t="n">
        <v>0</v>
      </c>
      <c r="L51" s="20" t="inlineStr">
        <is>
          <t>28.10.2024 13:57:35</t>
        </is>
      </c>
      <c r="M51" s="18" t="inlineStr">
        <is>
          <t>0 sec</t>
        </is>
      </c>
      <c r="N51" s="20" t="inlineStr">
        <is>
          <t xml:space="preserve">         30K            30K             7K</t>
        </is>
      </c>
      <c r="O51" s="20" t="inlineStr">
        <is>
          <t>8gvfbUZ1X7RbkD8Z1PLFgDJHoft1jNeweBu97JiWpump</t>
        </is>
      </c>
      <c r="P51" s="20">
        <f>HYPERLINK("https://dexscreener.com/solana/8gvfbUZ1X7RbkD8Z1PLFgDJHoft1jNeweBu97JiWpump", "View")</f>
        <v/>
      </c>
    </row>
    <row r="52">
      <c r="A52" s="15" t="inlineStr">
        <is>
          <t>AGPL</t>
        </is>
      </c>
      <c r="B52" s="16" t="n">
        <v>1723076</v>
      </c>
      <c r="C52" s="16" t="n">
        <v>0</v>
      </c>
      <c r="D52" s="16" t="inlineStr">
        <is>
          <t>0.000060</t>
        </is>
      </c>
      <c r="E52" s="16" t="inlineStr">
        <is>
          <t>0.215 SOL</t>
        </is>
      </c>
      <c r="F52" s="16" t="inlineStr">
        <is>
          <t>0.000 SOL</t>
        </is>
      </c>
      <c r="G52" s="17" t="inlineStr">
        <is>
          <t>-0.216 SOL</t>
        </is>
      </c>
      <c r="H52" s="17" t="inlineStr">
        <is>
          <t>0.00%</t>
        </is>
      </c>
      <c r="I52" s="16" t="inlineStr">
        <is>
          <t>1,723,076</t>
        </is>
      </c>
      <c r="J52" s="16" t="n">
        <v>1</v>
      </c>
      <c r="K52" s="16" t="n">
        <v>0</v>
      </c>
      <c r="L52" s="16" t="inlineStr">
        <is>
          <t>28.10.2024 06:22:29</t>
        </is>
      </c>
      <c r="M52" s="18" t="inlineStr">
        <is>
          <t>0 sec</t>
        </is>
      </c>
      <c r="N52" s="16" t="inlineStr">
        <is>
          <t xml:space="preserve">         23K            23K             6K</t>
        </is>
      </c>
      <c r="O52" s="16" t="inlineStr">
        <is>
          <t>HDhjBrAS3jZHvsV5ccNCq56o6jMMuJyfjFgJzEZQpump</t>
        </is>
      </c>
      <c r="P52" s="16">
        <f>HYPERLINK("https://photon-sol.tinyastro.io/en/lp/HDhjBrAS3jZHvsV5ccNCq56o6jMMuJyfjFgJzEZQpump?handle=676050794bc1b1657a56b", "View")</f>
        <v/>
      </c>
    </row>
    <row r="53">
      <c r="A53" s="19" t="inlineStr">
        <is>
          <t>AIOS</t>
        </is>
      </c>
      <c r="B53" s="20" t="n">
        <v>217139</v>
      </c>
      <c r="C53" s="20" t="n">
        <v>168500</v>
      </c>
      <c r="D53" s="20" t="inlineStr">
        <is>
          <t>0.000300</t>
        </is>
      </c>
      <c r="E53" s="20" t="inlineStr">
        <is>
          <t>0.200 SOL</t>
        </is>
      </c>
      <c r="F53" s="20" t="inlineStr">
        <is>
          <t>1.658 SOL</t>
        </is>
      </c>
      <c r="G53" s="23" t="inlineStr">
        <is>
          <t>1.457 SOL</t>
        </is>
      </c>
      <c r="H53" s="23" t="inlineStr">
        <is>
          <t>727.59%</t>
        </is>
      </c>
      <c r="I53" s="20" t="inlineStr">
        <is>
          <t>N/A</t>
        </is>
      </c>
      <c r="J53" s="20" t="n">
        <v>1</v>
      </c>
      <c r="K53" s="20" t="n">
        <v>4</v>
      </c>
      <c r="L53" s="20" t="inlineStr">
        <is>
          <t>28.10.2024 05:06:33</t>
        </is>
      </c>
      <c r="M53" s="20" t="inlineStr">
        <is>
          <t>1 hours</t>
        </is>
      </c>
      <c r="N53" s="20" t="inlineStr">
        <is>
          <t xml:space="preserve">        162K           162K            26K</t>
        </is>
      </c>
      <c r="O53" s="20" t="inlineStr">
        <is>
          <t>p2niQeJVj2vnevYnheBWujVyfzzGURpBTjap3gipump</t>
        </is>
      </c>
      <c r="P53" s="20">
        <f>HYPERLINK("https://dexscreener.com/solana/p2niQeJVj2vnevYnheBWujVyfzzGURpBTjap3gipump", "View")</f>
        <v/>
      </c>
    </row>
    <row r="54">
      <c r="A54" s="15" t="inlineStr">
        <is>
          <t>SL</t>
        </is>
      </c>
      <c r="B54" s="16" t="n">
        <v>20605</v>
      </c>
      <c r="C54" s="16" t="n">
        <v>0</v>
      </c>
      <c r="D54" s="16" t="inlineStr">
        <is>
          <t>0.000060</t>
        </is>
      </c>
      <c r="E54" s="16" t="inlineStr">
        <is>
          <t>0.300 SOL</t>
        </is>
      </c>
      <c r="F54" s="16" t="inlineStr">
        <is>
          <t>0.000 SOL</t>
        </is>
      </c>
      <c r="G54" s="17" t="inlineStr">
        <is>
          <t>-0.300 SOL</t>
        </is>
      </c>
      <c r="H54" s="17" t="inlineStr">
        <is>
          <t>0.00%</t>
        </is>
      </c>
      <c r="I54" s="16" t="inlineStr">
        <is>
          <t>20,605</t>
        </is>
      </c>
      <c r="J54" s="16" t="n">
        <v>1</v>
      </c>
      <c r="K54" s="16" t="n">
        <v>0</v>
      </c>
      <c r="L54" s="16" t="inlineStr">
        <is>
          <t>28.10.2024 04:55:04</t>
        </is>
      </c>
      <c r="M54" s="18" t="inlineStr">
        <is>
          <t>0 sec</t>
        </is>
      </c>
      <c r="N54" s="16" t="inlineStr">
        <is>
          <t xml:space="preserve">          3M             3M             1M</t>
        </is>
      </c>
      <c r="O54" s="16" t="inlineStr">
        <is>
          <t>7wUwkXo8Qjt3cYM8BaHHHeyfDY7ZSn7qvod92pNupump</t>
        </is>
      </c>
      <c r="P54" s="16">
        <f>HYPERLINK("https://dexscreener.com/solana/7wUwkXo8Qjt3cYM8BaHHHeyfDY7ZSn7qvod92pNupump", "View")</f>
        <v/>
      </c>
    </row>
    <row r="55">
      <c r="A55" s="19" t="inlineStr">
        <is>
          <t>VOTE</t>
        </is>
      </c>
      <c r="B55" s="20" t="n">
        <v>473860</v>
      </c>
      <c r="C55" s="20" t="n">
        <v>473860</v>
      </c>
      <c r="D55" s="20" t="inlineStr">
        <is>
          <t>0.001070</t>
        </is>
      </c>
      <c r="E55" s="20" t="inlineStr">
        <is>
          <t>0.500 SOL</t>
        </is>
      </c>
      <c r="F55" s="20" t="inlineStr">
        <is>
          <t>0.190 SOL</t>
        </is>
      </c>
      <c r="G55" s="24" t="inlineStr">
        <is>
          <t>-0.311 SOL</t>
        </is>
      </c>
      <c r="H55" s="24" t="inlineStr">
        <is>
          <t>-62.10%</t>
        </is>
      </c>
      <c r="I55" s="20" t="inlineStr">
        <is>
          <t>N/A</t>
        </is>
      </c>
      <c r="J55" s="20" t="n">
        <v>2</v>
      </c>
      <c r="K55" s="20" t="n">
        <v>1</v>
      </c>
      <c r="L55" s="20" t="inlineStr">
        <is>
          <t>27.10.2024 21:53:09</t>
        </is>
      </c>
      <c r="M55" s="20" t="inlineStr">
        <is>
          <t>12 days</t>
        </is>
      </c>
      <c r="N55" s="20" t="inlineStr">
        <is>
          <t xml:space="preserve">         88K           734K            46K</t>
        </is>
      </c>
      <c r="O55" s="20" t="inlineStr">
        <is>
          <t>BqJyEmXDw6oGQLzHM6MsBZjpip6BRe1MyeZJAfK8pump</t>
        </is>
      </c>
      <c r="P55" s="20">
        <f>HYPERLINK("https://dexscreener.com/solana/BqJyEmXDw6oGQLzHM6MsBZjpip6BRe1MyeZJAfK8pump", "View")</f>
        <v/>
      </c>
    </row>
    <row r="56">
      <c r="A56" s="15" t="inlineStr">
        <is>
          <t>Sampa</t>
        </is>
      </c>
      <c r="B56" s="16" t="n">
        <v>973095</v>
      </c>
      <c r="C56" s="16" t="n">
        <v>0</v>
      </c>
      <c r="D56" s="16" t="inlineStr">
        <is>
          <t>0.000060</t>
        </is>
      </c>
      <c r="E56" s="16" t="inlineStr">
        <is>
          <t>0.200 SOL</t>
        </is>
      </c>
      <c r="F56" s="16" t="inlineStr">
        <is>
          <t>0.000 SOL</t>
        </is>
      </c>
      <c r="G56" s="17" t="inlineStr">
        <is>
          <t>-0.200 SOL</t>
        </is>
      </c>
      <c r="H56" s="17" t="inlineStr">
        <is>
          <t>0.00%</t>
        </is>
      </c>
      <c r="I56" s="16" t="inlineStr">
        <is>
          <t>973,095</t>
        </is>
      </c>
      <c r="J56" s="16" t="n">
        <v>1</v>
      </c>
      <c r="K56" s="16" t="n">
        <v>0</v>
      </c>
      <c r="L56" s="16" t="inlineStr">
        <is>
          <t>27.10.2024 17:26:03</t>
        </is>
      </c>
      <c r="M56" s="18" t="inlineStr">
        <is>
          <t>0 sec</t>
        </is>
      </c>
      <c r="N56" s="16" t="inlineStr">
        <is>
          <t xml:space="preserve">         37K            37K             3K</t>
        </is>
      </c>
      <c r="O56" s="16" t="inlineStr">
        <is>
          <t>8AykFZwhmt82x8sqt9VNZMrfpgzPbi6ZDeakTAgGpump</t>
        </is>
      </c>
      <c r="P56" s="16">
        <f>HYPERLINK("https://dexscreener.com/solana/8AykFZwhmt82x8sqt9VNZMrfpgzPbi6ZDeakTAgGpump", "View")</f>
        <v/>
      </c>
    </row>
    <row r="57">
      <c r="A57" s="19" t="inlineStr">
        <is>
          <t>DEEEER</t>
        </is>
      </c>
      <c r="B57" s="20" t="n">
        <v>706871</v>
      </c>
      <c r="C57" s="20" t="n">
        <v>0</v>
      </c>
      <c r="D57" s="20" t="inlineStr">
        <is>
          <t>0.000060</t>
        </is>
      </c>
      <c r="E57" s="20" t="inlineStr">
        <is>
          <t>0.207 SOL</t>
        </is>
      </c>
      <c r="F57" s="20" t="inlineStr">
        <is>
          <t>0.000 SOL</t>
        </is>
      </c>
      <c r="G57" s="17" t="inlineStr">
        <is>
          <t>-0.207 SOL</t>
        </is>
      </c>
      <c r="H57" s="17" t="inlineStr">
        <is>
          <t>0.00%</t>
        </is>
      </c>
      <c r="I57" s="20" t="inlineStr">
        <is>
          <t>706,871</t>
        </is>
      </c>
      <c r="J57" s="20" t="n">
        <v>1</v>
      </c>
      <c r="K57" s="20" t="n">
        <v>0</v>
      </c>
      <c r="L57" s="20" t="inlineStr">
        <is>
          <t>27.10.2024 15:52:05</t>
        </is>
      </c>
      <c r="M57" s="18" t="inlineStr">
        <is>
          <t>0 sec</t>
        </is>
      </c>
      <c r="N57" s="20" t="inlineStr">
        <is>
          <t xml:space="preserve">         51K            51K            13K</t>
        </is>
      </c>
      <c r="O57" s="20" t="inlineStr">
        <is>
          <t>2GWJuK72QXhXV24PsCC9ikRNdCibPSgA67TM2sgJpump</t>
        </is>
      </c>
      <c r="P57" s="20">
        <f>HYPERLINK("https://photon-sol.tinyastro.io/en/lp/2GWJuK72QXhXV24PsCC9ikRNdCibPSgA67TM2sgJpump?handle=676050794bc1b1657a56b", "View")</f>
        <v/>
      </c>
    </row>
    <row r="58">
      <c r="A58" s="15" t="inlineStr">
        <is>
          <t>Botto</t>
        </is>
      </c>
      <c r="B58" s="16" t="n">
        <v>1362466</v>
      </c>
      <c r="C58" s="16" t="n">
        <v>495848</v>
      </c>
      <c r="D58" s="16" t="inlineStr">
        <is>
          <t>0.000240</t>
        </is>
      </c>
      <c r="E58" s="16" t="inlineStr">
        <is>
          <t>0.400 SOL</t>
        </is>
      </c>
      <c r="F58" s="16" t="inlineStr">
        <is>
          <t>0.908 SOL</t>
        </is>
      </c>
      <c r="G58" s="23" t="inlineStr">
        <is>
          <t>0.507 SOL</t>
        </is>
      </c>
      <c r="H58" s="23" t="inlineStr">
        <is>
          <t>126.78%</t>
        </is>
      </c>
      <c r="I58" s="16" t="inlineStr">
        <is>
          <t>N/A</t>
        </is>
      </c>
      <c r="J58" s="16" t="n">
        <v>2</v>
      </c>
      <c r="K58" s="16" t="n">
        <v>2</v>
      </c>
      <c r="L58" s="16" t="inlineStr">
        <is>
          <t>27.10.2024 15:12:04</t>
        </is>
      </c>
      <c r="M58" s="16" t="inlineStr">
        <is>
          <t>10 hours</t>
        </is>
      </c>
      <c r="N58" s="16" t="inlineStr">
        <is>
          <t xml:space="preserve">         40K           320K            27K</t>
        </is>
      </c>
      <c r="O58" s="16" t="inlineStr">
        <is>
          <t>2Aaj5DXGE5n6XPLeSrC6oNxCkjAuJVEumtJN3PA9pump</t>
        </is>
      </c>
      <c r="P58" s="16">
        <f>HYPERLINK("https://dexscreener.com/solana/2Aaj5DXGE5n6XPLeSrC6oNxCkjAuJVEumtJN3PA9pump", "View")</f>
        <v/>
      </c>
    </row>
    <row r="59">
      <c r="A59" s="19" t="inlineStr">
        <is>
          <t>PUZ</t>
        </is>
      </c>
      <c r="B59" s="20" t="n">
        <v>904574</v>
      </c>
      <c r="C59" s="20" t="n">
        <v>0</v>
      </c>
      <c r="D59" s="20" t="inlineStr">
        <is>
          <t>0.000060</t>
        </is>
      </c>
      <c r="E59" s="20" t="inlineStr">
        <is>
          <t>0.200 SOL</t>
        </is>
      </c>
      <c r="F59" s="20" t="inlineStr">
        <is>
          <t>0.000 SOL</t>
        </is>
      </c>
      <c r="G59" s="17" t="inlineStr">
        <is>
          <t>-0.200 SOL</t>
        </is>
      </c>
      <c r="H59" s="17" t="inlineStr">
        <is>
          <t>0.00%</t>
        </is>
      </c>
      <c r="I59" s="20" t="inlineStr">
        <is>
          <t>904,574</t>
        </is>
      </c>
      <c r="J59" s="20" t="n">
        <v>1</v>
      </c>
      <c r="K59" s="20" t="n">
        <v>0</v>
      </c>
      <c r="L59" s="20" t="inlineStr">
        <is>
          <t>27.10.2024 14:39:35</t>
        </is>
      </c>
      <c r="M59" s="18" t="inlineStr">
        <is>
          <t>0 sec</t>
        </is>
      </c>
      <c r="N59" s="20" t="inlineStr">
        <is>
          <t xml:space="preserve">         39K            39K             4K</t>
        </is>
      </c>
      <c r="O59" s="20" t="inlineStr">
        <is>
          <t>GvxRdtx9u5oLFj44BoLGVibUVN2hCTVWRVYqB8Japump</t>
        </is>
      </c>
      <c r="P59" s="20">
        <f>HYPERLINK("https://dexscreener.com/solana/GvxRdtx9u5oLFj44BoLGVibUVN2hCTVWRVYqB8Japump", "View")</f>
        <v/>
      </c>
    </row>
    <row r="60">
      <c r="A60" s="15" t="inlineStr">
        <is>
          <t>VanEye</t>
        </is>
      </c>
      <c r="B60" s="16" t="n">
        <v>1250770</v>
      </c>
      <c r="C60" s="16" t="n">
        <v>0</v>
      </c>
      <c r="D60" s="16" t="inlineStr">
        <is>
          <t>0.000060</t>
        </is>
      </c>
      <c r="E60" s="16" t="inlineStr">
        <is>
          <t>0.207 SOL</t>
        </is>
      </c>
      <c r="F60" s="16" t="inlineStr">
        <is>
          <t>0.000 SOL</t>
        </is>
      </c>
      <c r="G60" s="17" t="inlineStr">
        <is>
          <t>-0.207 SOL</t>
        </is>
      </c>
      <c r="H60" s="17" t="inlineStr">
        <is>
          <t>0.00%</t>
        </is>
      </c>
      <c r="I60" s="16" t="inlineStr">
        <is>
          <t>1,250,770</t>
        </is>
      </c>
      <c r="J60" s="16" t="n">
        <v>1</v>
      </c>
      <c r="K60" s="16" t="n">
        <v>0</v>
      </c>
      <c r="L60" s="16" t="inlineStr">
        <is>
          <t>27.10.2024 14:23:30</t>
        </is>
      </c>
      <c r="M60" s="18" t="inlineStr">
        <is>
          <t>0 sec</t>
        </is>
      </c>
      <c r="N60" s="16" t="inlineStr">
        <is>
          <t xml:space="preserve">         30K            30K             5K</t>
        </is>
      </c>
      <c r="O60" s="16" t="inlineStr">
        <is>
          <t>CmsMaGQx4J1VvsXN3LvzABLKwm9hN89BvBBwxVzRpump</t>
        </is>
      </c>
      <c r="P60" s="16">
        <f>HYPERLINK("https://photon-sol.tinyastro.io/en/lp/CmsMaGQx4J1VvsXN3LvzABLKwm9hN89BvBBwxVzRpump?handle=676050794bc1b1657a56b", "View")</f>
        <v/>
      </c>
    </row>
    <row r="61">
      <c r="A61" s="19" t="inlineStr">
        <is>
          <t>Terminus</t>
        </is>
      </c>
      <c r="B61" s="20" t="n">
        <v>1463169</v>
      </c>
      <c r="C61" s="20" t="n">
        <v>1463169</v>
      </c>
      <c r="D61" s="20" t="inlineStr">
        <is>
          <t>0.000570</t>
        </is>
      </c>
      <c r="E61" s="20" t="inlineStr">
        <is>
          <t>0.200 SOL</t>
        </is>
      </c>
      <c r="F61" s="20" t="inlineStr">
        <is>
          <t>0.247 SOL</t>
        </is>
      </c>
      <c r="G61" s="22" t="inlineStr">
        <is>
          <t>0.046 SOL</t>
        </is>
      </c>
      <c r="H61" s="22" t="inlineStr">
        <is>
          <t>23.06%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27.10.2024 14:06:51</t>
        </is>
      </c>
      <c r="M61" s="20" t="inlineStr">
        <is>
          <t>12 days</t>
        </is>
      </c>
      <c r="N61" s="20" t="inlineStr">
        <is>
          <t xml:space="preserve">         25K            25K            32K</t>
        </is>
      </c>
      <c r="O61" s="20" t="inlineStr">
        <is>
          <t>3ueTseqHHrCPZECUHfFsbg3nDkfg8zCSdBk6gy7Qpump</t>
        </is>
      </c>
      <c r="P61" s="20">
        <f>HYPERLINK("https://dexscreener.com/solana/3ueTseqHHrCPZECUHfFsbg3nDkfg8zCSdBk6gy7Qpump", "View")</f>
        <v/>
      </c>
    </row>
    <row r="62">
      <c r="A62" s="15" t="inlineStr">
        <is>
          <t>CENTS</t>
        </is>
      </c>
      <c r="B62" s="16" t="n">
        <v>1887197</v>
      </c>
      <c r="C62" s="16" t="n">
        <v>1887197</v>
      </c>
      <c r="D62" s="16" t="inlineStr">
        <is>
          <t>0.002590</t>
        </is>
      </c>
      <c r="E62" s="16" t="inlineStr">
        <is>
          <t>0.200 SOL</t>
        </is>
      </c>
      <c r="F62" s="16" t="inlineStr">
        <is>
          <t>3.777 SOL</t>
        </is>
      </c>
      <c r="G62" s="23" t="inlineStr">
        <is>
          <t>3.575 SOL</t>
        </is>
      </c>
      <c r="H62" s="23" t="inlineStr">
        <is>
          <t>1764.50%</t>
        </is>
      </c>
      <c r="I62" s="16" t="inlineStr">
        <is>
          <t>N/A</t>
        </is>
      </c>
      <c r="J62" s="16" t="n">
        <v>1</v>
      </c>
      <c r="K62" s="16" t="n">
        <v>5</v>
      </c>
      <c r="L62" s="16" t="inlineStr">
        <is>
          <t>27.10.2024 10:34:30</t>
        </is>
      </c>
      <c r="M62" s="16" t="inlineStr">
        <is>
          <t>5 days</t>
        </is>
      </c>
      <c r="N62" s="16" t="inlineStr">
        <is>
          <t xml:space="preserve">         19K            19K            42K</t>
        </is>
      </c>
      <c r="O62" s="16" t="inlineStr">
        <is>
          <t>C9FVTtx4WxgHmz55FEvQgykq8rqiLS8xRBVgqQVtpump</t>
        </is>
      </c>
      <c r="P62" s="16">
        <f>HYPERLINK("https://dexscreener.com/solana/C9FVTtx4WxgHmz55FEvQgykq8rqiLS8xRBVgqQVtpump", "View")</f>
        <v/>
      </c>
    </row>
    <row r="63">
      <c r="A63" s="19" t="inlineStr">
        <is>
          <t>$FUTURE</t>
        </is>
      </c>
      <c r="B63" s="20" t="n">
        <v>17988</v>
      </c>
      <c r="C63" s="20" t="n">
        <v>17988</v>
      </c>
      <c r="D63" s="20" t="inlineStr">
        <is>
          <t>0.000120</t>
        </is>
      </c>
      <c r="E63" s="20" t="inlineStr">
        <is>
          <t>0.200 SOL</t>
        </is>
      </c>
      <c r="F63" s="20" t="inlineStr">
        <is>
          <t>0.703 SOL</t>
        </is>
      </c>
      <c r="G63" s="23" t="inlineStr">
        <is>
          <t>0.503 SOL</t>
        </is>
      </c>
      <c r="H63" s="23" t="inlineStr">
        <is>
          <t>251.38%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27.10.2024 10:33:55</t>
        </is>
      </c>
      <c r="M63" s="20" t="inlineStr">
        <is>
          <t>7 hours</t>
        </is>
      </c>
      <c r="N63" s="20" t="inlineStr">
        <is>
          <t xml:space="preserve">          2M             2M             3M</t>
        </is>
      </c>
      <c r="O63" s="20" t="inlineStr">
        <is>
          <t>2E3qS1oSVbeLxQEhdSrVDMn5ruhCg5JQCqPXKpwWpump</t>
        </is>
      </c>
      <c r="P63" s="20">
        <f>HYPERLINK("https://dexscreener.com/solana/2E3qS1oSVbeLxQEhdSrVDMn5ruhCg5JQCqPXKpwWpump", "View")</f>
        <v/>
      </c>
    </row>
    <row r="64">
      <c r="A64" s="15" t="inlineStr">
        <is>
          <t>S.A.N AI</t>
        </is>
      </c>
      <c r="B64" s="16" t="n">
        <v>1690068</v>
      </c>
      <c r="C64" s="16" t="n">
        <v>1690068</v>
      </c>
      <c r="D64" s="16" t="inlineStr">
        <is>
          <t>0.000570</t>
        </is>
      </c>
      <c r="E64" s="16" t="inlineStr">
        <is>
          <t>0.200 SOL</t>
        </is>
      </c>
      <c r="F64" s="16" t="inlineStr">
        <is>
          <t>0.266 SOL</t>
        </is>
      </c>
      <c r="G64" s="22" t="inlineStr">
        <is>
          <t>0.066 SOL</t>
        </is>
      </c>
      <c r="H64" s="22" t="inlineStr">
        <is>
          <t>32.77%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27.10.2024 10:33:14</t>
        </is>
      </c>
      <c r="M64" s="16" t="inlineStr">
        <is>
          <t>12 days</t>
        </is>
      </c>
      <c r="N64" s="16" t="inlineStr">
        <is>
          <t xml:space="preserve">         21K            21K            12K</t>
        </is>
      </c>
      <c r="O64" s="16" t="inlineStr">
        <is>
          <t>GSctUvdB9Ws7LMZP767zRuLakcuXDLn6e9xyTMtspump</t>
        </is>
      </c>
      <c r="P64" s="16">
        <f>HYPERLINK("https://dexscreener.com/solana/GSctUvdB9Ws7LMZP767zRuLakcuXDLn6e9xyTMtspump", "View")</f>
        <v/>
      </c>
    </row>
    <row r="65">
      <c r="A65" s="19" t="inlineStr">
        <is>
          <t>STRAWBERRY</t>
        </is>
      </c>
      <c r="B65" s="20" t="n">
        <v>260861</v>
      </c>
      <c r="C65" s="20" t="n">
        <v>260861</v>
      </c>
      <c r="D65" s="20" t="inlineStr">
        <is>
          <t>0.000120</t>
        </is>
      </c>
      <c r="E65" s="20" t="inlineStr">
        <is>
          <t>0.200 SOL</t>
        </is>
      </c>
      <c r="F65" s="20" t="inlineStr">
        <is>
          <t>0.279 SOL</t>
        </is>
      </c>
      <c r="G65" s="22" t="inlineStr">
        <is>
          <t>0.079 SOL</t>
        </is>
      </c>
      <c r="H65" s="22" t="inlineStr">
        <is>
          <t>39.26%</t>
        </is>
      </c>
      <c r="I65" s="20" t="inlineStr">
        <is>
          <t>N/A</t>
        </is>
      </c>
      <c r="J65" s="20" t="n">
        <v>1</v>
      </c>
      <c r="K65" s="20" t="n">
        <v>1</v>
      </c>
      <c r="L65" s="20" t="inlineStr">
        <is>
          <t>27.10.2024 10:32:12</t>
        </is>
      </c>
      <c r="M65" s="20" t="inlineStr">
        <is>
          <t>2 days</t>
        </is>
      </c>
      <c r="N65" s="20" t="inlineStr">
        <is>
          <t xml:space="preserve">        135K           135K            52K</t>
        </is>
      </c>
      <c r="O65" s="20" t="inlineStr">
        <is>
          <t>CFzhqSNqYZRsUszCGwZ3SJ9iPHLvSumffaS6gWuupump</t>
        </is>
      </c>
      <c r="P65" s="20">
        <f>HYPERLINK("https://dexscreener.com/solana/CFzhqSNqYZRsUszCGwZ3SJ9iPHLvSumffaS6gWuupump", "View")</f>
        <v/>
      </c>
    </row>
    <row r="66">
      <c r="A66" s="15" t="inlineStr">
        <is>
          <t>OUUU</t>
        </is>
      </c>
      <c r="B66" s="16" t="n">
        <v>977187</v>
      </c>
      <c r="C66" s="16" t="n">
        <v>977187</v>
      </c>
      <c r="D66" s="16" t="inlineStr">
        <is>
          <t>0.002080</t>
        </is>
      </c>
      <c r="E66" s="16" t="inlineStr">
        <is>
          <t>0.700 SOL</t>
        </is>
      </c>
      <c r="F66" s="16" t="inlineStr">
        <is>
          <t>1.149 SOL</t>
        </is>
      </c>
      <c r="G66" s="23" t="inlineStr">
        <is>
          <t>0.447 SOL</t>
        </is>
      </c>
      <c r="H66" s="23" t="inlineStr">
        <is>
          <t>63.70%</t>
        </is>
      </c>
      <c r="I66" s="16" t="inlineStr">
        <is>
          <t>N/A</t>
        </is>
      </c>
      <c r="J66" s="16" t="n">
        <v>3</v>
      </c>
      <c r="K66" s="16" t="n">
        <v>2</v>
      </c>
      <c r="L66" s="16" t="inlineStr">
        <is>
          <t>27.10.2024 10:31:49</t>
        </is>
      </c>
      <c r="M66" s="16" t="inlineStr">
        <is>
          <t>11 days</t>
        </is>
      </c>
      <c r="N66" s="16" t="inlineStr">
        <is>
          <t xml:space="preserve">        104K           184K            92K</t>
        </is>
      </c>
      <c r="O66" s="16" t="inlineStr">
        <is>
          <t>4GULMPKBJLruChBZWksZzukAg1AjSCmCTMn9ny2Xpump</t>
        </is>
      </c>
      <c r="P66" s="16">
        <f>HYPERLINK("https://dexscreener.com/solana/4GULMPKBJLruChBZWksZzukAg1AjSCmCTMn9ny2Xpump", "View")</f>
        <v/>
      </c>
    </row>
    <row r="67">
      <c r="A67" s="19" t="inlineStr">
        <is>
          <t>Bape</t>
        </is>
      </c>
      <c r="B67" s="20" t="n">
        <v>741966</v>
      </c>
      <c r="C67" s="20" t="n">
        <v>0</v>
      </c>
      <c r="D67" s="20" t="inlineStr">
        <is>
          <t>0.000060</t>
        </is>
      </c>
      <c r="E67" s="20" t="inlineStr">
        <is>
          <t>0.207 SOL</t>
        </is>
      </c>
      <c r="F67" s="20" t="inlineStr">
        <is>
          <t>0.000 SOL</t>
        </is>
      </c>
      <c r="G67" s="17" t="inlineStr">
        <is>
          <t>-0.207 SOL</t>
        </is>
      </c>
      <c r="H67" s="17" t="inlineStr">
        <is>
          <t>0.00%</t>
        </is>
      </c>
      <c r="I67" s="20" t="inlineStr">
        <is>
          <t>741,966</t>
        </is>
      </c>
      <c r="J67" s="20" t="n">
        <v>1</v>
      </c>
      <c r="K67" s="20" t="n">
        <v>0</v>
      </c>
      <c r="L67" s="20" t="inlineStr">
        <is>
          <t>27.10.2024 10:01:00</t>
        </is>
      </c>
      <c r="M67" s="18" t="inlineStr">
        <is>
          <t>0 sec</t>
        </is>
      </c>
      <c r="N67" s="20" t="inlineStr">
        <is>
          <t xml:space="preserve">         49K            49K             5K</t>
        </is>
      </c>
      <c r="O67" s="20" t="inlineStr">
        <is>
          <t>EjSxabq88RrGhRCiTdhEQZvJpuNorriqorpv5gNipump</t>
        </is>
      </c>
      <c r="P67" s="20">
        <f>HYPERLINK("https://photon-sol.tinyastro.io/en/lp/EjSxabq88RrGhRCiTdhEQZvJpuNorriqorpv5gNipump?handle=676050794bc1b1657a56b", "View")</f>
        <v/>
      </c>
    </row>
    <row r="68">
      <c r="A68" s="15" t="inlineStr">
        <is>
          <t>Comedian</t>
        </is>
      </c>
      <c r="B68" s="16" t="n">
        <v>268440</v>
      </c>
      <c r="C68" s="16" t="n">
        <v>0</v>
      </c>
      <c r="D68" s="16" t="inlineStr">
        <is>
          <t>0.000060</t>
        </is>
      </c>
      <c r="E68" s="16" t="inlineStr">
        <is>
          <t>0.200 SOL</t>
        </is>
      </c>
      <c r="F68" s="16" t="inlineStr">
        <is>
          <t>0.000 SOL</t>
        </is>
      </c>
      <c r="G68" s="17" t="inlineStr">
        <is>
          <t>-0.200 SOL</t>
        </is>
      </c>
      <c r="H68" s="17" t="inlineStr">
        <is>
          <t>0.00%</t>
        </is>
      </c>
      <c r="I68" s="16" t="inlineStr">
        <is>
          <t>268,440</t>
        </is>
      </c>
      <c r="J68" s="16" t="n">
        <v>1</v>
      </c>
      <c r="K68" s="16" t="n">
        <v>0</v>
      </c>
      <c r="L68" s="16" t="inlineStr">
        <is>
          <t>27.10.2024 05:34:45</t>
        </is>
      </c>
      <c r="M68" s="18" t="inlineStr">
        <is>
          <t>0 sec</t>
        </is>
      </c>
      <c r="N68" s="16" t="inlineStr">
        <is>
          <t xml:space="preserve">        132K           132K            15K</t>
        </is>
      </c>
      <c r="O68" s="16" t="inlineStr">
        <is>
          <t>BpqXJMguKsS8azKaVy4tZ4Ysm2e2f2zygZKHx8VKGKBA</t>
        </is>
      </c>
      <c r="P68" s="16">
        <f>HYPERLINK("https://dexscreener.com/solana/BpqXJMguKsS8azKaVy4tZ4Ysm2e2f2zygZKHx8VKGKBA", "View")</f>
        <v/>
      </c>
    </row>
    <row r="69">
      <c r="A69" s="19" t="inlineStr">
        <is>
          <t>Ban</t>
        </is>
      </c>
      <c r="B69" s="20" t="n">
        <v>2785</v>
      </c>
      <c r="C69" s="20" t="n">
        <v>2785</v>
      </c>
      <c r="D69" s="20" t="inlineStr">
        <is>
          <t>0.000120</t>
        </is>
      </c>
      <c r="E69" s="20" t="inlineStr">
        <is>
          <t>0.200 SOL</t>
        </is>
      </c>
      <c r="F69" s="20" t="inlineStr">
        <is>
          <t>0.585 SOL</t>
        </is>
      </c>
      <c r="G69" s="23" t="inlineStr">
        <is>
          <t>0.385 SOL</t>
        </is>
      </c>
      <c r="H69" s="23" t="inlineStr">
        <is>
          <t>192.38%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27.10.2024 04:36:32</t>
        </is>
      </c>
      <c r="M69" s="20" t="inlineStr">
        <is>
          <t>14 hours</t>
        </is>
      </c>
      <c r="N69" s="20" t="inlineStr">
        <is>
          <t xml:space="preserve">         13M            13M            25M</t>
        </is>
      </c>
      <c r="O69" s="20" t="inlineStr">
        <is>
          <t>9PR7nCP9DpcUotnDPVLUBUZKu5WAYkwrCUx9wDnSpump</t>
        </is>
      </c>
      <c r="P69" s="20">
        <f>HYPERLINK("https://dexscreener.com/solana/9PR7nCP9DpcUotnDPVLUBUZKu5WAYkwrCUx9wDnSpump", "View")</f>
        <v/>
      </c>
    </row>
    <row r="70">
      <c r="A70" s="15" t="inlineStr">
        <is>
          <t>PLINY</t>
        </is>
      </c>
      <c r="B70" s="16" t="n">
        <v>1671115</v>
      </c>
      <c r="C70" s="16" t="n">
        <v>1031914</v>
      </c>
      <c r="D70" s="16" t="inlineStr">
        <is>
          <t>0.001580</t>
        </is>
      </c>
      <c r="E70" s="16" t="inlineStr">
        <is>
          <t>0.207 SOL</t>
        </is>
      </c>
      <c r="F70" s="16" t="inlineStr">
        <is>
          <t>1.309 SOL</t>
        </is>
      </c>
      <c r="G70" s="23" t="inlineStr">
        <is>
          <t>1.100 SOL</t>
        </is>
      </c>
      <c r="H70" s="23" t="inlineStr">
        <is>
          <t>527.42%</t>
        </is>
      </c>
      <c r="I70" s="16" t="inlineStr">
        <is>
          <t>N/A</t>
        </is>
      </c>
      <c r="J70" s="16" t="n">
        <v>1</v>
      </c>
      <c r="K70" s="16" t="n">
        <v>3</v>
      </c>
      <c r="L70" s="16" t="inlineStr">
        <is>
          <t>27.10.2024 04:35:30</t>
        </is>
      </c>
      <c r="M70" s="16" t="inlineStr">
        <is>
          <t>10 days</t>
        </is>
      </c>
      <c r="N70" s="16" t="inlineStr">
        <is>
          <t xml:space="preserve">         21K            21K            60K</t>
        </is>
      </c>
      <c r="O70" s="16" t="inlineStr">
        <is>
          <t>6MYhpb3FocZSdJS3V5krpbfMp45JxD5jXdtPfkwUpump</t>
        </is>
      </c>
      <c r="P70" s="16">
        <f>HYPERLINK("https://photon-sol.tinyastro.io/en/lp/6MYhpb3FocZSdJS3V5krpbfMp45JxD5jXdtPfkwUpump?handle=676050794bc1b1657a56b", "View")</f>
        <v/>
      </c>
    </row>
    <row r="71">
      <c r="A71" s="19" t="inlineStr">
        <is>
          <t>PMAIRCA</t>
        </is>
      </c>
      <c r="B71" s="20" t="n">
        <v>13930</v>
      </c>
      <c r="C71" s="20" t="n">
        <v>0</v>
      </c>
      <c r="D71" s="20" t="inlineStr">
        <is>
          <t>0.000060</t>
        </is>
      </c>
      <c r="E71" s="20" t="inlineStr">
        <is>
          <t>0.200 SOL</t>
        </is>
      </c>
      <c r="F71" s="20" t="inlineStr">
        <is>
          <t>0.000 SOL</t>
        </is>
      </c>
      <c r="G71" s="17" t="inlineStr">
        <is>
          <t>-0.200 SOL</t>
        </is>
      </c>
      <c r="H71" s="17" t="inlineStr">
        <is>
          <t>0.00%</t>
        </is>
      </c>
      <c r="I71" s="20" t="inlineStr">
        <is>
          <t>13,930</t>
        </is>
      </c>
      <c r="J71" s="20" t="n">
        <v>1</v>
      </c>
      <c r="K71" s="20" t="n">
        <v>0</v>
      </c>
      <c r="L71" s="20" t="inlineStr">
        <is>
          <t>27.10.2024 04:00:47</t>
        </is>
      </c>
      <c r="M71" s="18" t="inlineStr">
        <is>
          <t>0 sec</t>
        </is>
      </c>
      <c r="N71" s="20" t="inlineStr">
        <is>
          <t xml:space="preserve">          3M             3M           103K</t>
        </is>
      </c>
      <c r="O71" s="20" t="inlineStr">
        <is>
          <t>7rRfJ5tdUjFPCWZRyYM7UNnfrpK1dqwzfpMYDknspump</t>
        </is>
      </c>
      <c r="P71" s="20">
        <f>HYPERLINK("https://dexscreener.com/solana/7rRfJ5tdUjFPCWZRyYM7UNnfrpK1dqwzfpMYDknspump", "View")</f>
        <v/>
      </c>
    </row>
    <row r="72">
      <c r="A72" s="15" t="inlineStr">
        <is>
          <t>degenai</t>
        </is>
      </c>
      <c r="B72" s="16" t="n">
        <v>1942</v>
      </c>
      <c r="C72" s="16" t="n">
        <v>0</v>
      </c>
      <c r="D72" s="16" t="inlineStr">
        <is>
          <t>0.000060</t>
        </is>
      </c>
      <c r="E72" s="16" t="inlineStr">
        <is>
          <t>0.200 SOL</t>
        </is>
      </c>
      <c r="F72" s="16" t="inlineStr">
        <is>
          <t>0.000 SOL</t>
        </is>
      </c>
      <c r="G72" s="17" t="inlineStr">
        <is>
          <t>-0.200 SOL</t>
        </is>
      </c>
      <c r="H72" s="17" t="inlineStr">
        <is>
          <t>0.00%</t>
        </is>
      </c>
      <c r="I72" s="16" t="inlineStr">
        <is>
          <t>1,942</t>
        </is>
      </c>
      <c r="J72" s="16" t="n">
        <v>1</v>
      </c>
      <c r="K72" s="16" t="n">
        <v>0</v>
      </c>
      <c r="L72" s="16" t="inlineStr">
        <is>
          <t>27.10.2024 03:55:05</t>
        </is>
      </c>
      <c r="M72" s="18" t="inlineStr">
        <is>
          <t>0 sec</t>
        </is>
      </c>
      <c r="N72" s="16" t="inlineStr">
        <is>
          <t xml:space="preserve">         18M            18M             7M</t>
        </is>
      </c>
      <c r="O72" s="16" t="inlineStr">
        <is>
          <t>Gu3LDkn7Vx3bmCzLafYNKcDxv2mH7YN44NJZFXnypump</t>
        </is>
      </c>
      <c r="P72" s="16">
        <f>HYPERLINK("https://dexscreener.com/solana/Gu3LDkn7Vx3bmCzLafYNKcDxv2mH7YN44NJZFXnypump", "View")</f>
        <v/>
      </c>
    </row>
    <row r="73">
      <c r="A73" s="19" t="inlineStr">
        <is>
          <t xml:space="preserve">pumpkin </t>
        </is>
      </c>
      <c r="B73" s="20" t="n">
        <v>1857908</v>
      </c>
      <c r="C73" s="20" t="n">
        <v>0</v>
      </c>
      <c r="D73" s="20" t="inlineStr">
        <is>
          <t>0.000060</t>
        </is>
      </c>
      <c r="E73" s="20" t="inlineStr">
        <is>
          <t>0.207 SOL</t>
        </is>
      </c>
      <c r="F73" s="20" t="inlineStr">
        <is>
          <t>0.000 SOL</t>
        </is>
      </c>
      <c r="G73" s="17" t="inlineStr">
        <is>
          <t>-0.207 SOL</t>
        </is>
      </c>
      <c r="H73" s="17" t="inlineStr">
        <is>
          <t>0.00%</t>
        </is>
      </c>
      <c r="I73" s="20" t="inlineStr">
        <is>
          <t>1,857,908</t>
        </is>
      </c>
      <c r="J73" s="20" t="n">
        <v>1</v>
      </c>
      <c r="K73" s="20" t="n">
        <v>0</v>
      </c>
      <c r="L73" s="20" t="inlineStr">
        <is>
          <t>26.10.2024 16:31:01</t>
        </is>
      </c>
      <c r="M73" s="18" t="inlineStr">
        <is>
          <t>0 sec</t>
        </is>
      </c>
      <c r="N73" s="20" t="inlineStr">
        <is>
          <t xml:space="preserve">         19K            19K             6K</t>
        </is>
      </c>
      <c r="O73" s="20" t="inlineStr">
        <is>
          <t>3LsLctNS8gVKcQybnHABGf9V5g5kjcs9K7czQd8Mpump</t>
        </is>
      </c>
      <c r="P73" s="20">
        <f>HYPERLINK("https://photon-sol.tinyastro.io/en/lp/3LsLctNS8gVKcQybnHABGf9V5g5kjcs9K7czQd8Mpump?handle=676050794bc1b1657a56b", "View")</f>
        <v/>
      </c>
    </row>
    <row r="74">
      <c r="A74" s="15" t="inlineStr">
        <is>
          <t>orion</t>
        </is>
      </c>
      <c r="B74" s="16" t="n">
        <v>379207</v>
      </c>
      <c r="C74" s="16" t="n">
        <v>0</v>
      </c>
      <c r="D74" s="16" t="inlineStr">
        <is>
          <t>0.000060</t>
        </is>
      </c>
      <c r="E74" s="16" t="inlineStr">
        <is>
          <t>0.100 SOL</t>
        </is>
      </c>
      <c r="F74" s="16" t="inlineStr">
        <is>
          <t>0.000 SOL</t>
        </is>
      </c>
      <c r="G74" s="17" t="inlineStr">
        <is>
          <t>-0.100 SOL</t>
        </is>
      </c>
      <c r="H74" s="17" t="inlineStr">
        <is>
          <t>0.00%</t>
        </is>
      </c>
      <c r="I74" s="16" t="inlineStr">
        <is>
          <t>379,207</t>
        </is>
      </c>
      <c r="J74" s="16" t="n">
        <v>1</v>
      </c>
      <c r="K74" s="16" t="n">
        <v>0</v>
      </c>
      <c r="L74" s="16" t="inlineStr">
        <is>
          <t>26.10.2024 08:26:18</t>
        </is>
      </c>
      <c r="M74" s="18" t="inlineStr">
        <is>
          <t>0 sec</t>
        </is>
      </c>
      <c r="N74" s="16" t="inlineStr">
        <is>
          <t xml:space="preserve">         46K            46K            40K</t>
        </is>
      </c>
      <c r="O74" s="16" t="inlineStr">
        <is>
          <t>6UaBXHo66aMBk82hR2xzB466sv4vNc9dnJdHtrBmpump</t>
        </is>
      </c>
      <c r="P74" s="16">
        <f>HYPERLINK("https://dexscreener.com/solana/6UaBXHo66aMBk82hR2xzB466sv4vNc9dnJdHtrBmpump", "View")</f>
        <v/>
      </c>
    </row>
    <row r="75">
      <c r="A75" s="19" t="inlineStr">
        <is>
          <t>[dog]</t>
        </is>
      </c>
      <c r="B75" s="20" t="n">
        <v>1514227</v>
      </c>
      <c r="C75" s="20" t="n">
        <v>1514227</v>
      </c>
      <c r="D75" s="20" t="inlineStr">
        <is>
          <t>0.000120</t>
        </is>
      </c>
      <c r="E75" s="20" t="inlineStr">
        <is>
          <t>0.213 SOL</t>
        </is>
      </c>
      <c r="F75" s="20" t="inlineStr">
        <is>
          <t>0.222 SOL</t>
        </is>
      </c>
      <c r="G75" s="22" t="inlineStr">
        <is>
          <t>0.009 SOL</t>
        </is>
      </c>
      <c r="H75" s="22" t="inlineStr">
        <is>
          <t>4.25%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26.10.2024 01:21:26</t>
        </is>
      </c>
      <c r="M75" s="20" t="inlineStr">
        <is>
          <t>43 min</t>
        </is>
      </c>
      <c r="N75" s="20" t="inlineStr">
        <is>
          <t xml:space="preserve">         25K            26K             3K</t>
        </is>
      </c>
      <c r="O75" s="20" t="inlineStr">
        <is>
          <t>76ip6uxYsGzi2JYAP3bPfWEiZ8Jdwjy9DVPKqD6Hpump</t>
        </is>
      </c>
      <c r="P75" s="20">
        <f>HYPERLINK("https://photon-sol.tinyastro.io/en/lp/76ip6uxYsGzi2JYAP3bPfWEiZ8Jdwjy9DVPKqD6Hpump?handle=676050794bc1b1657a56b", "View")</f>
        <v/>
      </c>
    </row>
    <row r="76">
      <c r="A76" s="15" t="inlineStr">
        <is>
          <t>FrrOG</t>
        </is>
      </c>
      <c r="B76" s="16" t="n">
        <v>1488180</v>
      </c>
      <c r="C76" s="16" t="n">
        <v>0</v>
      </c>
      <c r="D76" s="16" t="inlineStr">
        <is>
          <t>0.000060</t>
        </is>
      </c>
      <c r="E76" s="16" t="inlineStr">
        <is>
          <t>0.207 SOL</t>
        </is>
      </c>
      <c r="F76" s="16" t="inlineStr">
        <is>
          <t>0.000 SOL</t>
        </is>
      </c>
      <c r="G76" s="17" t="inlineStr">
        <is>
          <t>-0.207 SOL</t>
        </is>
      </c>
      <c r="H76" s="17" t="inlineStr">
        <is>
          <t>0.00%</t>
        </is>
      </c>
      <c r="I76" s="16" t="inlineStr">
        <is>
          <t>1,488,180</t>
        </is>
      </c>
      <c r="J76" s="16" t="n">
        <v>1</v>
      </c>
      <c r="K76" s="16" t="n">
        <v>0</v>
      </c>
      <c r="L76" s="16" t="inlineStr">
        <is>
          <t>26.10.2024 01:04:39</t>
        </is>
      </c>
      <c r="M76" s="18" t="inlineStr">
        <is>
          <t>0 sec</t>
        </is>
      </c>
      <c r="N76" s="16" t="inlineStr">
        <is>
          <t xml:space="preserve">         24K            24K             8K</t>
        </is>
      </c>
      <c r="O76" s="16" t="inlineStr">
        <is>
          <t>31pZHW7dJaRY1jCzytgnU4auTtYWtXDfFNMcWfW4pump</t>
        </is>
      </c>
      <c r="P76" s="16">
        <f>HYPERLINK("https://photon-sol.tinyastro.io/en/lp/31pZHW7dJaRY1jCzytgnU4auTtYWtXDfFNMcWfW4pump?handle=676050794bc1b1657a56b", "View")</f>
        <v/>
      </c>
    </row>
    <row r="77">
      <c r="A77" s="19" t="inlineStr">
        <is>
          <t>NALA</t>
        </is>
      </c>
      <c r="B77" s="20" t="n">
        <v>493773</v>
      </c>
      <c r="C77" s="20" t="n">
        <v>0</v>
      </c>
      <c r="D77" s="20" t="inlineStr">
        <is>
          <t>0.000060</t>
        </is>
      </c>
      <c r="E77" s="20" t="inlineStr">
        <is>
          <t>0.200 SOL</t>
        </is>
      </c>
      <c r="F77" s="20" t="inlineStr">
        <is>
          <t>0.000 SOL</t>
        </is>
      </c>
      <c r="G77" s="17" t="inlineStr">
        <is>
          <t>-0.200 SOL</t>
        </is>
      </c>
      <c r="H77" s="17" t="inlineStr">
        <is>
          <t>0.00%</t>
        </is>
      </c>
      <c r="I77" s="20" t="inlineStr">
        <is>
          <t>493,773</t>
        </is>
      </c>
      <c r="J77" s="20" t="n">
        <v>1</v>
      </c>
      <c r="K77" s="20" t="n">
        <v>0</v>
      </c>
      <c r="L77" s="20" t="inlineStr">
        <is>
          <t>25.10.2024 15:58:06</t>
        </is>
      </c>
      <c r="M77" s="18" t="inlineStr">
        <is>
          <t>0 sec</t>
        </is>
      </c>
      <c r="N77" s="20" t="inlineStr">
        <is>
          <t xml:space="preserve">         72K            72K             5K</t>
        </is>
      </c>
      <c r="O77" s="20" t="inlineStr">
        <is>
          <t>5Vove8DRNtbyV3bUXbdTRr5iTgG21YumdVEfFNUUpump</t>
        </is>
      </c>
      <c r="P77" s="20">
        <f>HYPERLINK("https://dexscreener.com/solana/5Vove8DRNtbyV3bUXbdTRr5iTgG21YumdVEfFNUUpump", "View")</f>
        <v/>
      </c>
    </row>
    <row r="78">
      <c r="A78" s="15" t="inlineStr">
        <is>
          <t>sunghoon</t>
        </is>
      </c>
      <c r="B78" s="16" t="n">
        <v>27500</v>
      </c>
      <c r="C78" s="16" t="n">
        <v>0</v>
      </c>
      <c r="D78" s="16" t="inlineStr">
        <is>
          <t>0.000060</t>
        </is>
      </c>
      <c r="E78" s="16" t="inlineStr">
        <is>
          <t>0.200 SOL</t>
        </is>
      </c>
      <c r="F78" s="16" t="inlineStr">
        <is>
          <t>0.000 SOL</t>
        </is>
      </c>
      <c r="G78" s="17" t="inlineStr">
        <is>
          <t>-0.200 SOL</t>
        </is>
      </c>
      <c r="H78" s="17" t="inlineStr">
        <is>
          <t>0.00%</t>
        </is>
      </c>
      <c r="I78" s="16" t="inlineStr">
        <is>
          <t>27,500</t>
        </is>
      </c>
      <c r="J78" s="16" t="n">
        <v>1</v>
      </c>
      <c r="K78" s="16" t="n">
        <v>0</v>
      </c>
      <c r="L78" s="16" t="inlineStr">
        <is>
          <t>25.10.2024 12:58:31</t>
        </is>
      </c>
      <c r="M78" s="18" t="inlineStr">
        <is>
          <t>0 sec</t>
        </is>
      </c>
      <c r="N78" s="16" t="inlineStr">
        <is>
          <t xml:space="preserve">          1M             1M            20K</t>
        </is>
      </c>
      <c r="O78" s="16" t="inlineStr">
        <is>
          <t>E7MzhPoCdDZuLUmwckqVkCtyWNpP1q3iEnn3vE3npump</t>
        </is>
      </c>
      <c r="P78" s="16">
        <f>HYPERLINK("https://dexscreener.com/solana/E7MzhPoCdDZuLUmwckqVkCtyWNpP1q3iEnn3vE3npump", "View")</f>
        <v/>
      </c>
    </row>
    <row r="79">
      <c r="A79" s="19" t="inlineStr">
        <is>
          <t>meds</t>
        </is>
      </c>
      <c r="B79" s="20" t="n">
        <v>1223296</v>
      </c>
      <c r="C79" s="20" t="n">
        <v>0</v>
      </c>
      <c r="D79" s="20" t="inlineStr">
        <is>
          <t>0.000060</t>
        </is>
      </c>
      <c r="E79" s="20" t="inlineStr">
        <is>
          <t>0.207 SOL</t>
        </is>
      </c>
      <c r="F79" s="20" t="inlineStr">
        <is>
          <t>0.000 SOL</t>
        </is>
      </c>
      <c r="G79" s="17" t="inlineStr">
        <is>
          <t>-0.207 SOL</t>
        </is>
      </c>
      <c r="H79" s="17" t="inlineStr">
        <is>
          <t>0.00%</t>
        </is>
      </c>
      <c r="I79" s="20" t="inlineStr">
        <is>
          <t>1,223,296</t>
        </is>
      </c>
      <c r="J79" s="20" t="n">
        <v>1</v>
      </c>
      <c r="K79" s="20" t="n">
        <v>0</v>
      </c>
      <c r="L79" s="20" t="inlineStr">
        <is>
          <t>25.10.2024 12:07:37</t>
        </is>
      </c>
      <c r="M79" s="18" t="inlineStr">
        <is>
          <t>0 sec</t>
        </is>
      </c>
      <c r="N79" s="20" t="inlineStr">
        <is>
          <t xml:space="preserve">         30K            30K             5K</t>
        </is>
      </c>
      <c r="O79" s="20" t="inlineStr">
        <is>
          <t>14QgiSaZEQuRedYRoXK8uRnQbZaac3w3dVCRaLw5pump</t>
        </is>
      </c>
      <c r="P79" s="20">
        <f>HYPERLINK("https://photon-sol.tinyastro.io/en/lp/14QgiSaZEQuRedYRoXK8uRnQbZaac3w3dVCRaLw5pump?handle=676050794bc1b1657a56b", "View")</f>
        <v/>
      </c>
    </row>
    <row r="80">
      <c r="A80" s="15" t="inlineStr">
        <is>
          <t>MEDS</t>
        </is>
      </c>
      <c r="B80" s="16" t="n">
        <v>3120380</v>
      </c>
      <c r="C80" s="16" t="n">
        <v>0</v>
      </c>
      <c r="D80" s="16" t="inlineStr">
        <is>
          <t>0.000060</t>
        </is>
      </c>
      <c r="E80" s="16" t="inlineStr">
        <is>
          <t>0.186 SOL</t>
        </is>
      </c>
      <c r="F80" s="16" t="inlineStr">
        <is>
          <t>0.000 SOL</t>
        </is>
      </c>
      <c r="G80" s="17" t="inlineStr">
        <is>
          <t>-0.187 SOL</t>
        </is>
      </c>
      <c r="H80" s="17" t="inlineStr">
        <is>
          <t>0.00%</t>
        </is>
      </c>
      <c r="I80" s="16" t="inlineStr">
        <is>
          <t>3,120,380</t>
        </is>
      </c>
      <c r="J80" s="16" t="n">
        <v>1</v>
      </c>
      <c r="K80" s="16" t="n">
        <v>0</v>
      </c>
      <c r="L80" s="16" t="inlineStr">
        <is>
          <t>25.10.2024 12:06:09</t>
        </is>
      </c>
      <c r="M80" s="18" t="inlineStr">
        <is>
          <t>0 sec</t>
        </is>
      </c>
      <c r="N80" s="16" t="inlineStr">
        <is>
          <t xml:space="preserve">         11K            11K             5K</t>
        </is>
      </c>
      <c r="O80" s="16" t="inlineStr">
        <is>
          <t>Gz7nQ3uUUxhMfkgScXAhhp6hmrGFnuz6hxM2sGC5pump</t>
        </is>
      </c>
      <c r="P80" s="16">
        <f>HYPERLINK("https://photon-sol.tinyastro.io/en/lp/Gz7nQ3uUUxhMfkgScXAhhp6hmrGFnuz6hxM2sGC5pump?handle=676050794bc1b1657a56b", "View")</f>
        <v/>
      </c>
    </row>
    <row r="81">
      <c r="A81" s="19" t="inlineStr">
        <is>
          <t>MEDS</t>
        </is>
      </c>
      <c r="B81" s="20" t="n">
        <v>2860266</v>
      </c>
      <c r="C81" s="20" t="n">
        <v>0</v>
      </c>
      <c r="D81" s="20" t="inlineStr">
        <is>
          <t>0.000060</t>
        </is>
      </c>
      <c r="E81" s="20" t="inlineStr">
        <is>
          <t>0.199 SOL</t>
        </is>
      </c>
      <c r="F81" s="20" t="inlineStr">
        <is>
          <t>0.000 SOL</t>
        </is>
      </c>
      <c r="G81" s="17" t="inlineStr">
        <is>
          <t>-0.199 SOL</t>
        </is>
      </c>
      <c r="H81" s="17" t="inlineStr">
        <is>
          <t>0.00%</t>
        </is>
      </c>
      <c r="I81" s="20" t="inlineStr">
        <is>
          <t>2,860,266</t>
        </is>
      </c>
      <c r="J81" s="20" t="n">
        <v>1</v>
      </c>
      <c r="K81" s="20" t="n">
        <v>0</v>
      </c>
      <c r="L81" s="20" t="inlineStr">
        <is>
          <t>25.10.2024 12:05:24</t>
        </is>
      </c>
      <c r="M81" s="18" t="inlineStr">
        <is>
          <t>0 sec</t>
        </is>
      </c>
      <c r="N81" s="20" t="inlineStr">
        <is>
          <t xml:space="preserve">         12K            12K             5K</t>
        </is>
      </c>
      <c r="O81" s="20" t="inlineStr">
        <is>
          <t>5uMAgA3FdTmEBgrmV2E3Fa8TqHpSYK4Ckkwx7kSbqUVu</t>
        </is>
      </c>
      <c r="P81" s="20">
        <f>HYPERLINK("https://photon-sol.tinyastro.io/en/lp/5uMAgA3FdTmEBgrmV2E3Fa8TqHpSYK4Ckkwx7kSbqUVu?handle=676050794bc1b1657a56b", "View")</f>
        <v/>
      </c>
    </row>
    <row r="82">
      <c r="A82" s="15" t="inlineStr">
        <is>
          <t>CUBBY</t>
        </is>
      </c>
      <c r="B82" s="16" t="n">
        <v>842723</v>
      </c>
      <c r="C82" s="16" t="n">
        <v>0</v>
      </c>
      <c r="D82" s="16" t="inlineStr">
        <is>
          <t>0.000060</t>
        </is>
      </c>
      <c r="E82" s="16" t="inlineStr">
        <is>
          <t>0.213 SOL</t>
        </is>
      </c>
      <c r="F82" s="16" t="inlineStr">
        <is>
          <t>0.000 SOL</t>
        </is>
      </c>
      <c r="G82" s="17" t="inlineStr">
        <is>
          <t>-0.213 SOL</t>
        </is>
      </c>
      <c r="H82" s="17" t="inlineStr">
        <is>
          <t>0.00%</t>
        </is>
      </c>
      <c r="I82" s="16" t="inlineStr">
        <is>
          <t>842,723</t>
        </is>
      </c>
      <c r="J82" s="16" t="n">
        <v>1</v>
      </c>
      <c r="K82" s="16" t="n">
        <v>0</v>
      </c>
      <c r="L82" s="16" t="inlineStr">
        <is>
          <t>25.10.2024 09:43:45</t>
        </is>
      </c>
      <c r="M82" s="18" t="inlineStr">
        <is>
          <t>0 sec</t>
        </is>
      </c>
      <c r="N82" s="16" t="inlineStr">
        <is>
          <t xml:space="preserve">         44K            44K             5K</t>
        </is>
      </c>
      <c r="O82" s="16" t="inlineStr">
        <is>
          <t>Hu5ZquXYqxNSFyAB1RbowegjjP37d7XqLdoJTLLopump</t>
        </is>
      </c>
      <c r="P82" s="16">
        <f>HYPERLINK("https://photon-sol.tinyastro.io/en/lp/Hu5ZquXYqxNSFyAB1RbowegjjP37d7XqLdoJTLLopump?handle=676050794bc1b1657a56b", "View")</f>
        <v/>
      </c>
    </row>
    <row r="83">
      <c r="A83" s="19" t="inlineStr">
        <is>
          <t>aifolio</t>
        </is>
      </c>
      <c r="B83" s="20" t="n">
        <v>1453673</v>
      </c>
      <c r="C83" s="20" t="n">
        <v>908546</v>
      </c>
      <c r="D83" s="20" t="inlineStr">
        <is>
          <t>0.000180</t>
        </is>
      </c>
      <c r="E83" s="20" t="inlineStr">
        <is>
          <t>0.203 SOL</t>
        </is>
      </c>
      <c r="F83" s="20" t="inlineStr">
        <is>
          <t>0.571 SOL</t>
        </is>
      </c>
      <c r="G83" s="23" t="inlineStr">
        <is>
          <t>0.367 SOL</t>
        </is>
      </c>
      <c r="H83" s="23" t="inlineStr">
        <is>
          <t>180.45%</t>
        </is>
      </c>
      <c r="I83" s="20" t="inlineStr">
        <is>
          <t>N/A</t>
        </is>
      </c>
      <c r="J83" s="20" t="n">
        <v>1</v>
      </c>
      <c r="K83" s="20" t="n">
        <v>2</v>
      </c>
      <c r="L83" s="20" t="inlineStr">
        <is>
          <t>25.10.2024 07:37:54</t>
        </is>
      </c>
      <c r="M83" s="20" t="inlineStr">
        <is>
          <t>29 min</t>
        </is>
      </c>
      <c r="N83" s="20" t="inlineStr">
        <is>
          <t xml:space="preserve">         25K           123K             6K</t>
        </is>
      </c>
      <c r="O83" s="20" t="inlineStr">
        <is>
          <t>2JXMiG6Z7TtdbeL4u6YkegdjkW29NaP6WRb7NotFpump</t>
        </is>
      </c>
      <c r="P83" s="20">
        <f>HYPERLINK("https://photon-sol.tinyastro.io/en/lp/2JXMiG6Z7TtdbeL4u6YkegdjkW29NaP6WRb7NotFpump?handle=676050794bc1b1657a56b", "View")</f>
        <v/>
      </c>
    </row>
    <row r="84">
      <c r="A84" s="15" t="inlineStr">
        <is>
          <t>CONSORTIUM</t>
        </is>
      </c>
      <c r="B84" s="16" t="n">
        <v>164122</v>
      </c>
      <c r="C84" s="16" t="n">
        <v>0</v>
      </c>
      <c r="D84" s="16" t="inlineStr">
        <is>
          <t>0.000060</t>
        </is>
      </c>
      <c r="E84" s="16" t="inlineStr">
        <is>
          <t>0.200 SOL</t>
        </is>
      </c>
      <c r="F84" s="16" t="inlineStr">
        <is>
          <t>0.000 SOL</t>
        </is>
      </c>
      <c r="G84" s="17" t="inlineStr">
        <is>
          <t>-0.200 SOL</t>
        </is>
      </c>
      <c r="H84" s="17" t="inlineStr">
        <is>
          <t>0.00%</t>
        </is>
      </c>
      <c r="I84" s="16" t="inlineStr">
        <is>
          <t>164,122</t>
        </is>
      </c>
      <c r="J84" s="16" t="n">
        <v>1</v>
      </c>
      <c r="K84" s="16" t="n">
        <v>0</v>
      </c>
      <c r="L84" s="16" t="inlineStr">
        <is>
          <t>25.10.2024 07:26:34</t>
        </is>
      </c>
      <c r="M84" s="18" t="inlineStr">
        <is>
          <t>0 sec</t>
        </is>
      </c>
      <c r="N84" s="16" t="inlineStr">
        <is>
          <t xml:space="preserve">        214K           214K            10K</t>
        </is>
      </c>
      <c r="O84" s="16" t="inlineStr">
        <is>
          <t>5Nvo3o9h3WQy1LnLUfPTMuNCSTssi1WaW6ZJ8kuapump</t>
        </is>
      </c>
      <c r="P84" s="16">
        <f>HYPERLINK("https://dexscreener.com/solana/5Nvo3o9h3WQy1LnLUfPTMuNCSTssi1WaW6ZJ8kuapump", "View")</f>
        <v/>
      </c>
    </row>
    <row r="85">
      <c r="A85" s="19" t="inlineStr">
        <is>
          <t>Tulpa</t>
        </is>
      </c>
      <c r="B85" s="20" t="n">
        <v>601587</v>
      </c>
      <c r="C85" s="20" t="n">
        <v>0</v>
      </c>
      <c r="D85" s="20" t="inlineStr">
        <is>
          <t>0.000060</t>
        </is>
      </c>
      <c r="E85" s="20" t="inlineStr">
        <is>
          <t>0.200 SOL</t>
        </is>
      </c>
      <c r="F85" s="20" t="inlineStr">
        <is>
          <t>0.000 SOL</t>
        </is>
      </c>
      <c r="G85" s="17" t="inlineStr">
        <is>
          <t>-0.200 SOL</t>
        </is>
      </c>
      <c r="H85" s="17" t="inlineStr">
        <is>
          <t>0.00%</t>
        </is>
      </c>
      <c r="I85" s="20" t="inlineStr">
        <is>
          <t>601,587</t>
        </is>
      </c>
      <c r="J85" s="20" t="n">
        <v>1</v>
      </c>
      <c r="K85" s="20" t="n">
        <v>0</v>
      </c>
      <c r="L85" s="20" t="inlineStr">
        <is>
          <t>25.10.2024 07:12:02</t>
        </is>
      </c>
      <c r="M85" s="18" t="inlineStr">
        <is>
          <t>0 sec</t>
        </is>
      </c>
      <c r="N85" s="20" t="inlineStr">
        <is>
          <t xml:space="preserve">         58K            58K            10K</t>
        </is>
      </c>
      <c r="O85" s="20" t="inlineStr">
        <is>
          <t>6BTJwR27dvEtvan1vJWiiyv6CocPeALGu31EMx6fpump</t>
        </is>
      </c>
      <c r="P85" s="20">
        <f>HYPERLINK("https://dexscreener.com/solana/6BTJwR27dvEtvan1vJWiiyv6CocPeALGu31EMx6fpump", "View")</f>
        <v/>
      </c>
    </row>
    <row r="86">
      <c r="A86" s="15" t="inlineStr">
        <is>
          <t>GPT5</t>
        </is>
      </c>
      <c r="B86" s="16" t="n">
        <v>489093</v>
      </c>
      <c r="C86" s="16" t="n">
        <v>0</v>
      </c>
      <c r="D86" s="16" t="inlineStr">
        <is>
          <t>0.000510</t>
        </is>
      </c>
      <c r="E86" s="16" t="inlineStr">
        <is>
          <t>0.200 SOL</t>
        </is>
      </c>
      <c r="F86" s="16" t="inlineStr">
        <is>
          <t>0.000 SOL</t>
        </is>
      </c>
      <c r="G86" s="17" t="inlineStr">
        <is>
          <t>-0.201 SOL</t>
        </is>
      </c>
      <c r="H86" s="17" t="inlineStr">
        <is>
          <t>0.00%</t>
        </is>
      </c>
      <c r="I86" s="16" t="inlineStr">
        <is>
          <t>489,093</t>
        </is>
      </c>
      <c r="J86" s="16" t="n">
        <v>1</v>
      </c>
      <c r="K86" s="16" t="n">
        <v>0</v>
      </c>
      <c r="L86" s="16" t="inlineStr">
        <is>
          <t>25.10.2024 00:22:31</t>
        </is>
      </c>
      <c r="M86" s="18" t="inlineStr">
        <is>
          <t>0 sec</t>
        </is>
      </c>
      <c r="N86" s="16" t="inlineStr">
        <is>
          <t xml:space="preserve">         72K            72K             4K</t>
        </is>
      </c>
      <c r="O86" s="16" t="inlineStr">
        <is>
          <t>GmP1TruYcMAE4Yh6m3KQpNvxdDUwUtKzj5CqFQbopump</t>
        </is>
      </c>
      <c r="P86" s="16">
        <f>HYPERLINK("https://dexscreener.com/solana/GmP1TruYcMAE4Yh6m3KQpNvxdDUwUtKzj5CqFQbopump", "View")</f>
        <v/>
      </c>
    </row>
    <row r="87">
      <c r="A87" s="19" t="inlineStr">
        <is>
          <t>OPEANAI</t>
        </is>
      </c>
      <c r="B87" s="20" t="n">
        <v>2393224</v>
      </c>
      <c r="C87" s="20" t="n">
        <v>598306</v>
      </c>
      <c r="D87" s="20" t="inlineStr">
        <is>
          <t>0.001520</t>
        </is>
      </c>
      <c r="E87" s="20" t="inlineStr">
        <is>
          <t>0.400 SOL</t>
        </is>
      </c>
      <c r="F87" s="20" t="inlineStr">
        <is>
          <t>0.436 SOL</t>
        </is>
      </c>
      <c r="G87" s="22" t="inlineStr">
        <is>
          <t>0.035 SOL</t>
        </is>
      </c>
      <c r="H87" s="22" t="inlineStr">
        <is>
          <t>8.65%</t>
        </is>
      </c>
      <c r="I87" s="20" t="inlineStr">
        <is>
          <t>N/A</t>
        </is>
      </c>
      <c r="J87" s="20" t="n">
        <v>2</v>
      </c>
      <c r="K87" s="20" t="n">
        <v>1</v>
      </c>
      <c r="L87" s="20" t="inlineStr">
        <is>
          <t>24.10.2024 22:37:02</t>
        </is>
      </c>
      <c r="M87" s="20" t="inlineStr">
        <is>
          <t>16 hours</t>
        </is>
      </c>
      <c r="N87" s="20" t="inlineStr">
        <is>
          <t xml:space="preserve">         61K            19K             6K</t>
        </is>
      </c>
      <c r="O87" s="20" t="inlineStr">
        <is>
          <t>B7aK2Jmnurdgf1wszm4GH5Eu8smukDcEwyAK5gk2pump</t>
        </is>
      </c>
      <c r="P87" s="20">
        <f>HYPERLINK("https://dexscreener.com/solana/B7aK2Jmnurdgf1wszm4GH5Eu8smukDcEwyAK5gk2pump", "View")</f>
        <v/>
      </c>
    </row>
    <row r="88">
      <c r="A88" s="15" t="inlineStr">
        <is>
          <t>IOLY</t>
        </is>
      </c>
      <c r="B88" s="16" t="n">
        <v>575220</v>
      </c>
      <c r="C88" s="16" t="n">
        <v>575220</v>
      </c>
      <c r="D88" s="16" t="inlineStr">
        <is>
          <t>0.001520</t>
        </is>
      </c>
      <c r="E88" s="16" t="inlineStr">
        <is>
          <t>0.200 SOL</t>
        </is>
      </c>
      <c r="F88" s="16" t="inlineStr">
        <is>
          <t>0.626 SOL</t>
        </is>
      </c>
      <c r="G88" s="23" t="inlineStr">
        <is>
          <t>0.425 SOL</t>
        </is>
      </c>
      <c r="H88" s="23" t="inlineStr">
        <is>
          <t>210.89%</t>
        </is>
      </c>
      <c r="I88" s="16" t="inlineStr">
        <is>
          <t>N/A</t>
        </is>
      </c>
      <c r="J88" s="16" t="n">
        <v>1</v>
      </c>
      <c r="K88" s="16" t="n">
        <v>2</v>
      </c>
      <c r="L88" s="16" t="inlineStr">
        <is>
          <t>24.10.2024 15:25:45</t>
        </is>
      </c>
      <c r="M88" s="16" t="inlineStr">
        <is>
          <t>1 days</t>
        </is>
      </c>
      <c r="N88" s="16" t="inlineStr">
        <is>
          <t xml:space="preserve">         61K            61K            52K</t>
        </is>
      </c>
      <c r="O88" s="16" t="inlineStr">
        <is>
          <t>DPEPsFbcwLhNQP9RWZDCaQUnDtdRjRCAom5gLWa5pump</t>
        </is>
      </c>
      <c r="P88" s="16">
        <f>HYPERLINK("https://dexscreener.com/solana/DPEPsFbcwLhNQP9RWZDCaQUnDtdRjRCAom5gLWa5pump", "View")</f>
        <v/>
      </c>
    </row>
    <row r="89">
      <c r="A89" s="19" t="inlineStr">
        <is>
          <t>GTerminal</t>
        </is>
      </c>
      <c r="B89" s="20" t="n">
        <v>1687357</v>
      </c>
      <c r="C89" s="20" t="n">
        <v>0</v>
      </c>
      <c r="D89" s="20" t="inlineStr">
        <is>
          <t>0.000510</t>
        </is>
      </c>
      <c r="E89" s="20" t="inlineStr">
        <is>
          <t>0.200 SOL</t>
        </is>
      </c>
      <c r="F89" s="20" t="inlineStr">
        <is>
          <t>0.000 SOL</t>
        </is>
      </c>
      <c r="G89" s="17" t="inlineStr">
        <is>
          <t>-0.201 SOL</t>
        </is>
      </c>
      <c r="H89" s="17" t="inlineStr">
        <is>
          <t>0.00%</t>
        </is>
      </c>
      <c r="I89" s="20" t="inlineStr">
        <is>
          <t>1,687,357</t>
        </is>
      </c>
      <c r="J89" s="20" t="n">
        <v>1</v>
      </c>
      <c r="K89" s="20" t="n">
        <v>0</v>
      </c>
      <c r="L89" s="20" t="inlineStr">
        <is>
          <t>24.10.2024 14:56:43</t>
        </is>
      </c>
      <c r="M89" s="18" t="inlineStr">
        <is>
          <t>0 sec</t>
        </is>
      </c>
      <c r="N89" s="20" t="inlineStr">
        <is>
          <t xml:space="preserve">         21K            21K            10K</t>
        </is>
      </c>
      <c r="O89" s="20" t="inlineStr">
        <is>
          <t>BP9uo1NFoh8dh7TeeDswyCwj2BUaNL57U8tPCCRFpump</t>
        </is>
      </c>
      <c r="P89" s="20">
        <f>HYPERLINK("https://dexscreener.com/solana/BP9uo1NFoh8dh7TeeDswyCwj2BUaNL57U8tPCCRFpump", "View")</f>
        <v/>
      </c>
    </row>
    <row r="90">
      <c r="A90" s="15" t="inlineStr">
        <is>
          <t>eimi</t>
        </is>
      </c>
      <c r="B90" s="16" t="n">
        <v>1964736</v>
      </c>
      <c r="C90" s="16" t="n">
        <v>0</v>
      </c>
      <c r="D90" s="16" t="inlineStr">
        <is>
          <t>0.000510</t>
        </is>
      </c>
      <c r="E90" s="16" t="inlineStr">
        <is>
          <t>0.200 SOL</t>
        </is>
      </c>
      <c r="F90" s="16" t="inlineStr">
        <is>
          <t>0.000 SOL</t>
        </is>
      </c>
      <c r="G90" s="17" t="inlineStr">
        <is>
          <t>-0.201 SOL</t>
        </is>
      </c>
      <c r="H90" s="17" t="inlineStr">
        <is>
          <t>0.00%</t>
        </is>
      </c>
      <c r="I90" s="16" t="inlineStr">
        <is>
          <t>1,964,736</t>
        </is>
      </c>
      <c r="J90" s="16" t="n">
        <v>1</v>
      </c>
      <c r="K90" s="16" t="n">
        <v>0</v>
      </c>
      <c r="L90" s="16" t="inlineStr">
        <is>
          <t>24.10.2024 10:06:29</t>
        </is>
      </c>
      <c r="M90" s="18" t="inlineStr">
        <is>
          <t>0 sec</t>
        </is>
      </c>
      <c r="N90" s="16" t="inlineStr">
        <is>
          <t xml:space="preserve">         18K            18K             3K</t>
        </is>
      </c>
      <c r="O90" s="16" t="inlineStr">
        <is>
          <t>4nMjWU1MYWQxSmBZ5GXJHxKQJu4zk7Q8TAAh9LDvpump</t>
        </is>
      </c>
      <c r="P90" s="16">
        <f>HYPERLINK("https://dexscreener.com/solana/4nMjWU1MYWQxSmBZ5GXJHxKQJu4zk7Q8TAAh9LDvpump", "View")</f>
        <v/>
      </c>
    </row>
    <row r="91">
      <c r="A91" s="19" t="inlineStr">
        <is>
          <t>claude</t>
        </is>
      </c>
      <c r="B91" s="20" t="n">
        <v>1293236</v>
      </c>
      <c r="C91" s="20" t="n">
        <v>1293236</v>
      </c>
      <c r="D91" s="20" t="inlineStr">
        <is>
          <t>0.001520</t>
        </is>
      </c>
      <c r="E91" s="20" t="inlineStr">
        <is>
          <t>0.200 SOL</t>
        </is>
      </c>
      <c r="F91" s="20" t="inlineStr">
        <is>
          <t>0.561 SOL</t>
        </is>
      </c>
      <c r="G91" s="23" t="inlineStr">
        <is>
          <t>0.360 SOL</t>
        </is>
      </c>
      <c r="H91" s="23" t="inlineStr">
        <is>
          <t>178.52%</t>
        </is>
      </c>
      <c r="I91" s="20" t="inlineStr">
        <is>
          <t>N/A</t>
        </is>
      </c>
      <c r="J91" s="20" t="n">
        <v>1</v>
      </c>
      <c r="K91" s="20" t="n">
        <v>2</v>
      </c>
      <c r="L91" s="20" t="inlineStr">
        <is>
          <t>24.10.2024 09:02:00</t>
        </is>
      </c>
      <c r="M91" s="20" t="inlineStr">
        <is>
          <t>1 days</t>
        </is>
      </c>
      <c r="N91" s="20" t="inlineStr">
        <is>
          <t xml:space="preserve">         26K            26K            20K</t>
        </is>
      </c>
      <c r="O91" s="20" t="inlineStr">
        <is>
          <t>ARygRrYJhXq7srvGyNV5ZKqH3VK3Yybce2Z6nreBpump</t>
        </is>
      </c>
      <c r="P91" s="20">
        <f>HYPERLINK("https://dexscreener.com/solana/ARygRrYJhXq7srvGyNV5ZKqH3VK3Yybce2Z6nreBpump", "View")</f>
        <v/>
      </c>
    </row>
    <row r="92">
      <c r="A92" s="15" t="inlineStr">
        <is>
          <t>DAO</t>
        </is>
      </c>
      <c r="B92" s="16" t="n">
        <v>415754</v>
      </c>
      <c r="C92" s="16" t="n">
        <v>0</v>
      </c>
      <c r="D92" s="16" t="inlineStr">
        <is>
          <t>0.000510</t>
        </is>
      </c>
      <c r="E92" s="16" t="inlineStr">
        <is>
          <t>0.200 SOL</t>
        </is>
      </c>
      <c r="F92" s="16" t="inlineStr">
        <is>
          <t>0.000 SOL</t>
        </is>
      </c>
      <c r="G92" s="17" t="inlineStr">
        <is>
          <t>-0.201 SOL</t>
        </is>
      </c>
      <c r="H92" s="17" t="inlineStr">
        <is>
          <t>0.00%</t>
        </is>
      </c>
      <c r="I92" s="16" t="inlineStr">
        <is>
          <t>415,754</t>
        </is>
      </c>
      <c r="J92" s="16" t="n">
        <v>1</v>
      </c>
      <c r="K92" s="16" t="n">
        <v>0</v>
      </c>
      <c r="L92" s="16" t="inlineStr">
        <is>
          <t>24.10.2024 07:00:28</t>
        </is>
      </c>
      <c r="M92" s="18" t="inlineStr">
        <is>
          <t>0 sec</t>
        </is>
      </c>
      <c r="N92" s="16" t="inlineStr">
        <is>
          <t xml:space="preserve">         84K            84K             6K</t>
        </is>
      </c>
      <c r="O92" s="16" t="inlineStr">
        <is>
          <t>2YNKHSiq4PmHCnPVgEK78GTBrFCc3DAEK9cZ9C6Vpump</t>
        </is>
      </c>
      <c r="P92" s="16">
        <f>HYPERLINK("https://dexscreener.com/solana/2YNKHSiq4PmHCnPVgEK78GTBrFCc3DAEK9cZ9C6Vpump", "View")</f>
        <v/>
      </c>
    </row>
    <row r="93">
      <c r="A93" s="19" t="inlineStr">
        <is>
          <t>CLAUDE</t>
        </is>
      </c>
      <c r="B93" s="20" t="n">
        <v>439173</v>
      </c>
      <c r="C93" s="20" t="n">
        <v>208607</v>
      </c>
      <c r="D93" s="20" t="inlineStr">
        <is>
          <t>0.001520</t>
        </is>
      </c>
      <c r="E93" s="20" t="inlineStr">
        <is>
          <t>0.200 SOL</t>
        </is>
      </c>
      <c r="F93" s="20" t="inlineStr">
        <is>
          <t>0.495 SOL</t>
        </is>
      </c>
      <c r="G93" s="23" t="inlineStr">
        <is>
          <t>0.294 SOL</t>
        </is>
      </c>
      <c r="H93" s="23" t="inlineStr">
        <is>
          <t>145.74%</t>
        </is>
      </c>
      <c r="I93" s="20" t="inlineStr">
        <is>
          <t>N/A</t>
        </is>
      </c>
      <c r="J93" s="20" t="n">
        <v>1</v>
      </c>
      <c r="K93" s="20" t="n">
        <v>2</v>
      </c>
      <c r="L93" s="20" t="inlineStr">
        <is>
          <t>24.10.2024 04:36:05</t>
        </is>
      </c>
      <c r="M93" s="20" t="inlineStr">
        <is>
          <t>23 min</t>
        </is>
      </c>
      <c r="N93" s="20" t="inlineStr">
        <is>
          <t xml:space="preserve">         81K           360K            10K</t>
        </is>
      </c>
      <c r="O93" s="20" t="inlineStr">
        <is>
          <t>6P39BjBVVAGtG8q1uwTrPz2ZmXWuXqeVT5itTFNgdiDc</t>
        </is>
      </c>
      <c r="P93" s="20">
        <f>HYPERLINK("https://dexscreener.com/solana/6P39BjBVVAGtG8q1uwTrPz2ZmXWuXqeVT5itTFNgdiDc", "View")</f>
        <v/>
      </c>
    </row>
    <row r="94">
      <c r="A94" s="15" t="inlineStr">
        <is>
          <t>Swaggy</t>
        </is>
      </c>
      <c r="B94" s="16" t="n">
        <v>781314</v>
      </c>
      <c r="C94" s="16" t="n">
        <v>781314</v>
      </c>
      <c r="D94" s="16" t="inlineStr">
        <is>
          <t>0.002020</t>
        </is>
      </c>
      <c r="E94" s="16" t="inlineStr">
        <is>
          <t>0.200 SOL</t>
        </is>
      </c>
      <c r="F94" s="16" t="inlineStr">
        <is>
          <t>0.754 SOL</t>
        </is>
      </c>
      <c r="G94" s="23" t="inlineStr">
        <is>
          <t>0.552 SOL</t>
        </is>
      </c>
      <c r="H94" s="23" t="inlineStr">
        <is>
          <t>273.23%</t>
        </is>
      </c>
      <c r="I94" s="16" t="inlineStr">
        <is>
          <t>N/A</t>
        </is>
      </c>
      <c r="J94" s="16" t="n">
        <v>1</v>
      </c>
      <c r="K94" s="16" t="n">
        <v>3</v>
      </c>
      <c r="L94" s="16" t="inlineStr">
        <is>
          <t>23.10.2024 17:54:54</t>
        </is>
      </c>
      <c r="M94" s="16" t="inlineStr">
        <is>
          <t>12 hours</t>
        </is>
      </c>
      <c r="N94" s="16" t="inlineStr">
        <is>
          <t xml:space="preserve">         46K            46K            12K</t>
        </is>
      </c>
      <c r="O94" s="16" t="inlineStr">
        <is>
          <t>PeSuezqPQbB5k8F4Ew2hWoSjZxf1qKdEbri35s1pump</t>
        </is>
      </c>
      <c r="P94" s="16">
        <f>HYPERLINK("https://dexscreener.com/solana/PeSuezqPQbB5k8F4Ew2hWoSjZxf1qKdEbri35s1pump", "View")</f>
        <v/>
      </c>
    </row>
    <row r="95">
      <c r="A95" s="19" t="inlineStr">
        <is>
          <t>AOE</t>
        </is>
      </c>
      <c r="B95" s="20" t="n">
        <v>248711</v>
      </c>
      <c r="C95" s="20" t="n">
        <v>0</v>
      </c>
      <c r="D95" s="20" t="inlineStr">
        <is>
          <t>0.000510</t>
        </is>
      </c>
      <c r="E95" s="20" t="inlineStr">
        <is>
          <t>0.200 SOL</t>
        </is>
      </c>
      <c r="F95" s="20" t="inlineStr">
        <is>
          <t>0.000 SOL</t>
        </is>
      </c>
      <c r="G95" s="17" t="inlineStr">
        <is>
          <t>-0.201 SOL</t>
        </is>
      </c>
      <c r="H95" s="17" t="inlineStr">
        <is>
          <t>0.00%</t>
        </is>
      </c>
      <c r="I95" s="20" t="inlineStr">
        <is>
          <t>248,711</t>
        </is>
      </c>
      <c r="J95" s="20" t="n">
        <v>1</v>
      </c>
      <c r="K95" s="20" t="n">
        <v>0</v>
      </c>
      <c r="L95" s="20" t="inlineStr">
        <is>
          <t>23.10.2024 16:41:17</t>
        </is>
      </c>
      <c r="M95" s="18" t="inlineStr">
        <is>
          <t>0 sec</t>
        </is>
      </c>
      <c r="N95" s="20" t="inlineStr">
        <is>
          <t xml:space="preserve">        140K           140K            21K</t>
        </is>
      </c>
      <c r="O95" s="20" t="inlineStr">
        <is>
          <t>DhqViYG2T1N3B4xziTx22aPW4rwGKkvpcF5shrD8pump</t>
        </is>
      </c>
      <c r="P95" s="20">
        <f>HYPERLINK("https://dexscreener.com/solana/DhqViYG2T1N3B4xziTx22aPW4rwGKkvpcF5shrD8pump", "View")</f>
        <v/>
      </c>
    </row>
    <row r="96">
      <c r="A96" s="15" t="inlineStr">
        <is>
          <t>Fest1a</t>
        </is>
      </c>
      <c r="B96" s="16" t="n">
        <v>1688224</v>
      </c>
      <c r="C96" s="16" t="n">
        <v>0</v>
      </c>
      <c r="D96" s="16" t="inlineStr">
        <is>
          <t>0.000510</t>
        </is>
      </c>
      <c r="E96" s="16" t="inlineStr">
        <is>
          <t>0.200 SOL</t>
        </is>
      </c>
      <c r="F96" s="16" t="inlineStr">
        <is>
          <t>0.000 SOL</t>
        </is>
      </c>
      <c r="G96" s="17" t="inlineStr">
        <is>
          <t>-0.201 SOL</t>
        </is>
      </c>
      <c r="H96" s="17" t="inlineStr">
        <is>
          <t>0.00%</t>
        </is>
      </c>
      <c r="I96" s="16" t="inlineStr">
        <is>
          <t>1,688,224</t>
        </is>
      </c>
      <c r="J96" s="16" t="n">
        <v>1</v>
      </c>
      <c r="K96" s="16" t="n">
        <v>0</v>
      </c>
      <c r="L96" s="16" t="inlineStr">
        <is>
          <t>23.10.2024 13:17:51</t>
        </is>
      </c>
      <c r="M96" s="18" t="inlineStr">
        <is>
          <t>0 sec</t>
        </is>
      </c>
      <c r="N96" s="16" t="inlineStr">
        <is>
          <t xml:space="preserve">         21K            21K             5K</t>
        </is>
      </c>
      <c r="O96" s="16" t="inlineStr">
        <is>
          <t>GNpa4UFCjF6R4BeEgexGHcMdGXmGPVSwVo9uYmNCpump</t>
        </is>
      </c>
      <c r="P96" s="16">
        <f>HYPERLINK("https://dexscreener.com/solana/GNpa4UFCjF6R4BeEgexGHcMdGXmGPVSwVo9uYmNCpump", "View")</f>
        <v/>
      </c>
    </row>
    <row r="97">
      <c r="A97" s="19" t="inlineStr">
        <is>
          <t>JENNIE</t>
        </is>
      </c>
      <c r="B97" s="20" t="n">
        <v>637562</v>
      </c>
      <c r="C97" s="20" t="n">
        <v>0</v>
      </c>
      <c r="D97" s="20" t="inlineStr">
        <is>
          <t>0.000510</t>
        </is>
      </c>
      <c r="E97" s="20" t="inlineStr">
        <is>
          <t>0.207 SOL</t>
        </is>
      </c>
      <c r="F97" s="20" t="inlineStr">
        <is>
          <t>0.000 SOL</t>
        </is>
      </c>
      <c r="G97" s="17" t="inlineStr">
        <is>
          <t>-0.208 SOL</t>
        </is>
      </c>
      <c r="H97" s="17" t="inlineStr">
        <is>
          <t>0.00%</t>
        </is>
      </c>
      <c r="I97" s="20" t="inlineStr">
        <is>
          <t>637,562</t>
        </is>
      </c>
      <c r="J97" s="20" t="n">
        <v>1</v>
      </c>
      <c r="K97" s="20" t="n">
        <v>0</v>
      </c>
      <c r="L97" s="20" t="inlineStr">
        <is>
          <t>23.10.2024 12:57:27</t>
        </is>
      </c>
      <c r="M97" s="18" t="inlineStr">
        <is>
          <t>0 sec</t>
        </is>
      </c>
      <c r="N97" s="20" t="inlineStr">
        <is>
          <t xml:space="preserve">         58K            58K             5K</t>
        </is>
      </c>
      <c r="O97" s="20" t="inlineStr">
        <is>
          <t>EBQRSgzrwtK4sGAYBXE5Tc7NfYQ5MJFECBagAzFbpump</t>
        </is>
      </c>
      <c r="P97" s="20">
        <f>HYPERLINK("https://photon-sol.tinyastro.io/en/lp/EBQRSgzrwtK4sGAYBXE5Tc7NfYQ5MJFECBagAzFbpump?handle=676050794bc1b1657a56b", "View")</f>
        <v/>
      </c>
    </row>
    <row r="98">
      <c r="A98" s="15" t="inlineStr">
        <is>
          <t>KIRK</t>
        </is>
      </c>
      <c r="B98" s="16" t="n">
        <v>730184</v>
      </c>
      <c r="C98" s="16" t="n">
        <v>730184</v>
      </c>
      <c r="D98" s="16" t="inlineStr">
        <is>
          <t>0.002020</t>
        </is>
      </c>
      <c r="E98" s="16" t="inlineStr">
        <is>
          <t>0.200 SOL</t>
        </is>
      </c>
      <c r="F98" s="16" t="inlineStr">
        <is>
          <t>0.620 SOL</t>
        </is>
      </c>
      <c r="G98" s="23" t="inlineStr">
        <is>
          <t>0.418 SOL</t>
        </is>
      </c>
      <c r="H98" s="23" t="inlineStr">
        <is>
          <t>206.82%</t>
        </is>
      </c>
      <c r="I98" s="16" t="inlineStr">
        <is>
          <t>N/A</t>
        </is>
      </c>
      <c r="J98" s="16" t="n">
        <v>1</v>
      </c>
      <c r="K98" s="16" t="n">
        <v>3</v>
      </c>
      <c r="L98" s="16" t="inlineStr">
        <is>
          <t>23.10.2024 12:11:27</t>
        </is>
      </c>
      <c r="M98" s="16" t="inlineStr">
        <is>
          <t>9 days</t>
        </is>
      </c>
      <c r="N98" s="16" t="inlineStr">
        <is>
          <t xml:space="preserve">         47K           140K            65K</t>
        </is>
      </c>
      <c r="O98" s="16" t="inlineStr">
        <is>
          <t>9CA4oDuvnP5oULiechySPf6FxnNS7JmG1VL19X5spump</t>
        </is>
      </c>
      <c r="P98" s="16">
        <f>HYPERLINK("https://dexscreener.com/solana/9CA4oDuvnP5oULiechySPf6FxnNS7JmG1VL19X5spump", "View")</f>
        <v/>
      </c>
    </row>
    <row r="99">
      <c r="A99" s="19" t="inlineStr">
        <is>
          <t>TRUTH</t>
        </is>
      </c>
      <c r="B99" s="20" t="n">
        <v>945868</v>
      </c>
      <c r="C99" s="20" t="n">
        <v>0</v>
      </c>
      <c r="D99" s="20" t="inlineStr">
        <is>
          <t>0.000510</t>
        </is>
      </c>
      <c r="E99" s="20" t="inlineStr">
        <is>
          <t>0.208 SOL</t>
        </is>
      </c>
      <c r="F99" s="20" t="inlineStr">
        <is>
          <t>0.000 SOL</t>
        </is>
      </c>
      <c r="G99" s="17" t="inlineStr">
        <is>
          <t>-0.208 SOL</t>
        </is>
      </c>
      <c r="H99" s="17" t="inlineStr">
        <is>
          <t>0.00%</t>
        </is>
      </c>
      <c r="I99" s="20" t="inlineStr">
        <is>
          <t>945,868</t>
        </is>
      </c>
      <c r="J99" s="20" t="n">
        <v>1</v>
      </c>
      <c r="K99" s="20" t="n">
        <v>0</v>
      </c>
      <c r="L99" s="20" t="inlineStr">
        <is>
          <t>23.10.2024 07:18:33</t>
        </is>
      </c>
      <c r="M99" s="18" t="inlineStr">
        <is>
          <t>0 sec</t>
        </is>
      </c>
      <c r="N99" s="20" t="inlineStr">
        <is>
          <t xml:space="preserve">         39K            39K             5K</t>
        </is>
      </c>
      <c r="O99" s="20" t="inlineStr">
        <is>
          <t>TRUyH4iHTfBkyU7aaE2H9Zo8rzTDfsoHRA5jDuTuemF</t>
        </is>
      </c>
      <c r="P99" s="20">
        <f>HYPERLINK("https://photon-sol.tinyastro.io/en/lp/TRUyH4iHTfBkyU7aaE2H9Zo8rzTDfsoHRA5jDuTuemF?handle=676050794bc1b1657a56b", "View")</f>
        <v/>
      </c>
    </row>
    <row r="100">
      <c r="A100" s="15" t="inlineStr">
        <is>
          <t>Omnira</t>
        </is>
      </c>
      <c r="B100" s="16" t="n">
        <v>684547</v>
      </c>
      <c r="C100" s="16" t="n">
        <v>0</v>
      </c>
      <c r="D100" s="16" t="inlineStr">
        <is>
          <t>0.000510</t>
        </is>
      </c>
      <c r="E100" s="16" t="inlineStr">
        <is>
          <t>0.200 SOL</t>
        </is>
      </c>
      <c r="F100" s="16" t="inlineStr">
        <is>
          <t>0.000 SOL</t>
        </is>
      </c>
      <c r="G100" s="17" t="inlineStr">
        <is>
          <t>-0.201 SOL</t>
        </is>
      </c>
      <c r="H100" s="17" t="inlineStr">
        <is>
          <t>0.00%</t>
        </is>
      </c>
      <c r="I100" s="16" t="inlineStr">
        <is>
          <t>684,547</t>
        </is>
      </c>
      <c r="J100" s="16" t="n">
        <v>1</v>
      </c>
      <c r="K100" s="16" t="n">
        <v>0</v>
      </c>
      <c r="L100" s="16" t="inlineStr">
        <is>
          <t>23.10.2024 07:04:07</t>
        </is>
      </c>
      <c r="M100" s="18" t="inlineStr">
        <is>
          <t>0 sec</t>
        </is>
      </c>
      <c r="N100" s="16" t="inlineStr">
        <is>
          <t xml:space="preserve">         43K            43K             5K</t>
        </is>
      </c>
      <c r="O100" s="16" t="inlineStr">
        <is>
          <t>DDdFK7UTz8ZFR5AZhgfmCAUPo9ATZk4HdMxnGyjVpump</t>
        </is>
      </c>
      <c r="P100" s="16">
        <f>HYPERLINK("https://dexscreener.com/solana/DDdFK7UTz8ZFR5AZhgfmCAUPo9ATZk4HdMxnGyjVpump", "View")</f>
        <v/>
      </c>
    </row>
    <row r="101">
      <c r="A101" s="19" t="inlineStr">
        <is>
          <t>69</t>
        </is>
      </c>
      <c r="B101" s="20" t="n">
        <v>1093341</v>
      </c>
      <c r="C101" s="20" t="n">
        <v>1093341</v>
      </c>
      <c r="D101" s="20" t="inlineStr">
        <is>
          <t>0.001010</t>
        </is>
      </c>
      <c r="E101" s="20" t="inlineStr">
        <is>
          <t>0.206 SOL</t>
        </is>
      </c>
      <c r="F101" s="20" t="inlineStr">
        <is>
          <t>0.316 SOL</t>
        </is>
      </c>
      <c r="G101" s="23" t="inlineStr">
        <is>
          <t>0.109 SOL</t>
        </is>
      </c>
      <c r="H101" s="23" t="inlineStr">
        <is>
          <t>52.42%</t>
        </is>
      </c>
      <c r="I101" s="20" t="inlineStr">
        <is>
          <t>N/A</t>
        </is>
      </c>
      <c r="J101" s="20" t="n">
        <v>1</v>
      </c>
      <c r="K101" s="20" t="n">
        <v>1</v>
      </c>
      <c r="L101" s="20" t="inlineStr">
        <is>
          <t>23.10.2024 05:12:19</t>
        </is>
      </c>
      <c r="M101" s="20" t="inlineStr">
        <is>
          <t>2 min</t>
        </is>
      </c>
      <c r="N101" s="20" t="inlineStr">
        <is>
          <t xml:space="preserve">         33K            51K             5K</t>
        </is>
      </c>
      <c r="O101" s="20" t="inlineStr">
        <is>
          <t>6TCxTjuGkiJQ8b4Qy9AMLfFFc3HeR3Cr7a3UZbeBpump</t>
        </is>
      </c>
      <c r="P101" s="20">
        <f>HYPERLINK("https://photon-sol.tinyastro.io/en/lp/6TCxTjuGkiJQ8b4Qy9AMLfFFc3HeR3Cr7a3UZbeBpump?handle=676050794bc1b1657a56b", "View")</f>
        <v/>
      </c>
    </row>
    <row r="102">
      <c r="A102" s="15" t="inlineStr">
        <is>
          <t>Kronos-5</t>
        </is>
      </c>
      <c r="B102" s="16" t="n">
        <v>1570556</v>
      </c>
      <c r="C102" s="16" t="n">
        <v>0</v>
      </c>
      <c r="D102" s="16" t="inlineStr">
        <is>
          <t>0.000510</t>
        </is>
      </c>
      <c r="E102" s="16" t="inlineStr">
        <is>
          <t>0.175 SOL</t>
        </is>
      </c>
      <c r="F102" s="16" t="inlineStr">
        <is>
          <t>0.000 SOL</t>
        </is>
      </c>
      <c r="G102" s="17" t="inlineStr">
        <is>
          <t>-0.175 SOL</t>
        </is>
      </c>
      <c r="H102" s="17" t="inlineStr">
        <is>
          <t>0.00%</t>
        </is>
      </c>
      <c r="I102" s="16" t="inlineStr">
        <is>
          <t>1,570,556</t>
        </is>
      </c>
      <c r="J102" s="16" t="n">
        <v>1</v>
      </c>
      <c r="K102" s="16" t="n">
        <v>0</v>
      </c>
      <c r="L102" s="16" t="inlineStr">
        <is>
          <t>23.10.2024 05:07:59</t>
        </is>
      </c>
      <c r="M102" s="18" t="inlineStr">
        <is>
          <t>0 sec</t>
        </is>
      </c>
      <c r="N102" s="16" t="inlineStr">
        <is>
          <t xml:space="preserve">         19K            19K             5K</t>
        </is>
      </c>
      <c r="O102" s="16" t="inlineStr">
        <is>
          <t>5uEcxmkubzQYDcjbwZbdMT4fqyfMzmqrgMYkgdsqpump</t>
        </is>
      </c>
      <c r="P102" s="16">
        <f>HYPERLINK("https://photon-sol.tinyastro.io/en/lp/5uEcxmkubzQYDcjbwZbdMT4fqyfMzmqrgMYkgdsqpump?handle=676050794bc1b1657a56b", "View")</f>
        <v/>
      </c>
    </row>
    <row r="103">
      <c r="A103" s="19" t="inlineStr">
        <is>
          <t>mary</t>
        </is>
      </c>
      <c r="B103" s="20" t="n">
        <v>861187</v>
      </c>
      <c r="C103" s="20" t="n">
        <v>215297</v>
      </c>
      <c r="D103" s="20" t="inlineStr">
        <is>
          <t>0.001010</t>
        </is>
      </c>
      <c r="E103" s="20" t="inlineStr">
        <is>
          <t>0.216 SOL</t>
        </is>
      </c>
      <c r="F103" s="20" t="inlineStr">
        <is>
          <t>0.296 SOL</t>
        </is>
      </c>
      <c r="G103" s="22" t="inlineStr">
        <is>
          <t>0.079 SOL</t>
        </is>
      </c>
      <c r="H103" s="22" t="inlineStr">
        <is>
          <t>36.16%</t>
        </is>
      </c>
      <c r="I103" s="20" t="inlineStr">
        <is>
          <t>N/A</t>
        </is>
      </c>
      <c r="J103" s="20" t="n">
        <v>1</v>
      </c>
      <c r="K103" s="20" t="n">
        <v>1</v>
      </c>
      <c r="L103" s="20" t="inlineStr">
        <is>
          <t>23.10.2024 03:48:18</t>
        </is>
      </c>
      <c r="M103" s="20" t="inlineStr">
        <is>
          <t>25 min</t>
        </is>
      </c>
      <c r="N103" s="20" t="inlineStr">
        <is>
          <t xml:space="preserve">         44K           242K             5K</t>
        </is>
      </c>
      <c r="O103" s="20" t="inlineStr">
        <is>
          <t>Geda1HwqedeN8iKNsB9xZuFjrSAXuMYNuUKgXYsz1EGj</t>
        </is>
      </c>
      <c r="P103" s="20">
        <f>HYPERLINK("https://photon-sol.tinyastro.io/en/lp/Geda1HwqedeN8iKNsB9xZuFjrSAXuMYNuUKgXYsz1EGj?handle=676050794bc1b1657a56b", "View")</f>
        <v/>
      </c>
    </row>
    <row r="104">
      <c r="A104" s="15" t="inlineStr">
        <is>
          <t>Anthropic</t>
        </is>
      </c>
      <c r="B104" s="16" t="n">
        <v>5655892</v>
      </c>
      <c r="C104" s="16" t="n">
        <v>0</v>
      </c>
      <c r="D104" s="16" t="inlineStr">
        <is>
          <t>0.001010</t>
        </is>
      </c>
      <c r="E104" s="16" t="inlineStr">
        <is>
          <t>0.500 SOL</t>
        </is>
      </c>
      <c r="F104" s="16" t="inlineStr">
        <is>
          <t>0.000 SOL</t>
        </is>
      </c>
      <c r="G104" s="17" t="inlineStr">
        <is>
          <t>-0.501 SOL</t>
        </is>
      </c>
      <c r="H104" s="17" t="inlineStr">
        <is>
          <t>0.00%</t>
        </is>
      </c>
      <c r="I104" s="16" t="inlineStr">
        <is>
          <t>5,655,892</t>
        </is>
      </c>
      <c r="J104" s="16" t="n">
        <v>2</v>
      </c>
      <c r="K104" s="16" t="n">
        <v>0</v>
      </c>
      <c r="L104" s="16" t="inlineStr">
        <is>
          <t>23.10.2024 03:29:12</t>
        </is>
      </c>
      <c r="M104" s="16" t="inlineStr">
        <is>
          <t>4 min</t>
        </is>
      </c>
      <c r="N104" s="16" t="inlineStr">
        <is>
          <t xml:space="preserve">         11K            21K             5K</t>
        </is>
      </c>
      <c r="O104" s="16" t="inlineStr">
        <is>
          <t>CUWF9b6VPvWJoDd22koHr7AQYt2TgkjyTXQKscsZq3Gf</t>
        </is>
      </c>
      <c r="P104" s="16">
        <f>HYPERLINK("https://dexscreener.com/solana/CUWF9b6VPvWJoDd22koHr7AQYt2TgkjyTXQKscsZq3Gf", "View")</f>
        <v/>
      </c>
    </row>
    <row r="105">
      <c r="A105" s="19" t="inlineStr">
        <is>
          <t>ASTROLOGY</t>
        </is>
      </c>
      <c r="B105" s="20" t="n">
        <v>714886</v>
      </c>
      <c r="C105" s="20" t="n">
        <v>357443</v>
      </c>
      <c r="D105" s="20" t="inlineStr">
        <is>
          <t>0.001010</t>
        </is>
      </c>
      <c r="E105" s="20" t="inlineStr">
        <is>
          <t>0.200 SOL</t>
        </is>
      </c>
      <c r="F105" s="20" t="inlineStr">
        <is>
          <t>0.339 SOL</t>
        </is>
      </c>
      <c r="G105" s="23" t="inlineStr">
        <is>
          <t>0.138 SOL</t>
        </is>
      </c>
      <c r="H105" s="23" t="inlineStr">
        <is>
          <t>68.69%</t>
        </is>
      </c>
      <c r="I105" s="20" t="inlineStr">
        <is>
          <t>N/A</t>
        </is>
      </c>
      <c r="J105" s="20" t="n">
        <v>1</v>
      </c>
      <c r="K105" s="20" t="n">
        <v>1</v>
      </c>
      <c r="L105" s="20" t="inlineStr">
        <is>
          <t>23.10.2024 03:26:11</t>
        </is>
      </c>
      <c r="M105" s="20" t="inlineStr">
        <is>
          <t>21 min</t>
        </is>
      </c>
      <c r="N105" s="20" t="inlineStr">
        <is>
          <t xml:space="preserve">         49K           167K             4K</t>
        </is>
      </c>
      <c r="O105" s="20" t="inlineStr">
        <is>
          <t>29Jy4A9X8gS1JDroW21JdGgT4bM4Wv5Q7ydXPZJ9pump</t>
        </is>
      </c>
      <c r="P105" s="20">
        <f>HYPERLINK("https://dexscreener.com/solana/29Jy4A9X8gS1JDroW21JdGgT4bM4Wv5Q7ydXPZJ9pump", "View")</f>
        <v/>
      </c>
    </row>
    <row r="106">
      <c r="A106" s="15" t="inlineStr">
        <is>
          <t>Livia</t>
        </is>
      </c>
      <c r="B106" s="16" t="n">
        <v>177777</v>
      </c>
      <c r="C106" s="16" t="n">
        <v>0</v>
      </c>
      <c r="D106" s="16" t="inlineStr">
        <is>
          <t>0.000510</t>
        </is>
      </c>
      <c r="E106" s="16" t="inlineStr">
        <is>
          <t>0.200 SOL</t>
        </is>
      </c>
      <c r="F106" s="16" t="inlineStr">
        <is>
          <t>0.000 SOL</t>
        </is>
      </c>
      <c r="G106" s="17" t="inlineStr">
        <is>
          <t>-0.201 SOL</t>
        </is>
      </c>
      <c r="H106" s="17" t="inlineStr">
        <is>
          <t>0.00%</t>
        </is>
      </c>
      <c r="I106" s="16" t="inlineStr">
        <is>
          <t>177,777</t>
        </is>
      </c>
      <c r="J106" s="16" t="n">
        <v>1</v>
      </c>
      <c r="K106" s="16" t="n">
        <v>0</v>
      </c>
      <c r="L106" s="16" t="inlineStr">
        <is>
          <t>23.10.2024 02:41:03</t>
        </is>
      </c>
      <c r="M106" s="18" t="inlineStr">
        <is>
          <t>0 sec</t>
        </is>
      </c>
      <c r="N106" s="16" t="inlineStr">
        <is>
          <t xml:space="preserve">        198K           198K             4K</t>
        </is>
      </c>
      <c r="O106" s="16" t="inlineStr">
        <is>
          <t>6KzUWrE31FSZyzswENJ5yR4DXzAzkD15NKvwK7tdpump</t>
        </is>
      </c>
      <c r="P106" s="16">
        <f>HYPERLINK("https://dexscreener.com/solana/6KzUWrE31FSZyzswENJ5yR4DXzAzkD15NKvwK7tdpump", "View")</f>
        <v/>
      </c>
    </row>
    <row r="107">
      <c r="A107" s="19" t="inlineStr">
        <is>
          <t>traumaxx</t>
        </is>
      </c>
      <c r="B107" s="20" t="n">
        <v>893637</v>
      </c>
      <c r="C107" s="20" t="n">
        <v>0</v>
      </c>
      <c r="D107" s="20" t="inlineStr">
        <is>
          <t>0.000510</t>
        </is>
      </c>
      <c r="E107" s="20" t="inlineStr">
        <is>
          <t>0.200 SOL</t>
        </is>
      </c>
      <c r="F107" s="20" t="inlineStr">
        <is>
          <t>0.000 SOL</t>
        </is>
      </c>
      <c r="G107" s="17" t="inlineStr">
        <is>
          <t>-0.201 SOL</t>
        </is>
      </c>
      <c r="H107" s="17" t="inlineStr">
        <is>
          <t>0.00%</t>
        </is>
      </c>
      <c r="I107" s="20" t="inlineStr">
        <is>
          <t>893,637</t>
        </is>
      </c>
      <c r="J107" s="20" t="n">
        <v>1</v>
      </c>
      <c r="K107" s="20" t="n">
        <v>0</v>
      </c>
      <c r="L107" s="20" t="inlineStr">
        <is>
          <t>22.10.2024 14:58:12</t>
        </is>
      </c>
      <c r="M107" s="18" t="inlineStr">
        <is>
          <t>0 sec</t>
        </is>
      </c>
      <c r="N107" s="20" t="inlineStr">
        <is>
          <t xml:space="preserve">         35K            35K             5K</t>
        </is>
      </c>
      <c r="O107" s="20" t="inlineStr">
        <is>
          <t>A3V4ponVr5P4vESWpZGdHhcXcNuquw8ifz6rTbKfpump</t>
        </is>
      </c>
      <c r="P107" s="20">
        <f>HYPERLINK("https://dexscreener.com/solana/A3V4ponVr5P4vESWpZGdHhcXcNuquw8ifz6rTbKfpump", "View")</f>
        <v/>
      </c>
    </row>
    <row r="108">
      <c r="A108" s="15" t="inlineStr">
        <is>
          <t>MOLLY</t>
        </is>
      </c>
      <c r="B108" s="16" t="n">
        <v>1330953</v>
      </c>
      <c r="C108" s="16" t="n">
        <v>0</v>
      </c>
      <c r="D108" s="16" t="inlineStr">
        <is>
          <t>0.000510</t>
        </is>
      </c>
      <c r="E108" s="16" t="inlineStr">
        <is>
          <t>0.200 SOL</t>
        </is>
      </c>
      <c r="F108" s="16" t="inlineStr">
        <is>
          <t>0.000 SOL</t>
        </is>
      </c>
      <c r="G108" s="17" t="inlineStr">
        <is>
          <t>-0.201 SOL</t>
        </is>
      </c>
      <c r="H108" s="17" t="inlineStr">
        <is>
          <t>0.00%</t>
        </is>
      </c>
      <c r="I108" s="16" t="inlineStr">
        <is>
          <t>1,330,953</t>
        </is>
      </c>
      <c r="J108" s="16" t="n">
        <v>1</v>
      </c>
      <c r="K108" s="16" t="n">
        <v>0</v>
      </c>
      <c r="L108" s="16" t="inlineStr">
        <is>
          <t>22.10.2024 13:53:29</t>
        </is>
      </c>
      <c r="M108" s="18" t="inlineStr">
        <is>
          <t>0 sec</t>
        </is>
      </c>
      <c r="N108" s="16" t="inlineStr">
        <is>
          <t xml:space="preserve">         26K            26K             3K</t>
        </is>
      </c>
      <c r="O108" s="16" t="inlineStr">
        <is>
          <t>6DuyTqG4hzC4hbCYz1gvkcnMUynuiEDgvzrBoAoupump</t>
        </is>
      </c>
      <c r="P108" s="16">
        <f>HYPERLINK("https://dexscreener.com/solana/6DuyTqG4hzC4hbCYz1gvkcnMUynuiEDgvzrBoAoupump", "View")</f>
        <v/>
      </c>
    </row>
    <row r="109">
      <c r="A109" s="19" t="inlineStr">
        <is>
          <t>REMILIAI</t>
        </is>
      </c>
      <c r="B109" s="20" t="n">
        <v>314863</v>
      </c>
      <c r="C109" s="20" t="n">
        <v>0</v>
      </c>
      <c r="D109" s="20" t="inlineStr">
        <is>
          <t>0.000510</t>
        </is>
      </c>
      <c r="E109" s="20" t="inlineStr">
        <is>
          <t>0.200 SOL</t>
        </is>
      </c>
      <c r="F109" s="20" t="inlineStr">
        <is>
          <t>0.000 SOL</t>
        </is>
      </c>
      <c r="G109" s="17" t="inlineStr">
        <is>
          <t>-0.201 SOL</t>
        </is>
      </c>
      <c r="H109" s="17" t="inlineStr">
        <is>
          <t>0.00%</t>
        </is>
      </c>
      <c r="I109" s="20" t="inlineStr">
        <is>
          <t>314,863</t>
        </is>
      </c>
      <c r="J109" s="20" t="n">
        <v>1</v>
      </c>
      <c r="K109" s="20" t="n">
        <v>0</v>
      </c>
      <c r="L109" s="20" t="inlineStr">
        <is>
          <t>22.10.2024 08:23:13</t>
        </is>
      </c>
      <c r="M109" s="18" t="inlineStr">
        <is>
          <t>0 sec</t>
        </is>
      </c>
      <c r="N109" s="20" t="inlineStr">
        <is>
          <t xml:space="preserve">        112K           112K            13K</t>
        </is>
      </c>
      <c r="O109" s="20" t="inlineStr">
        <is>
          <t>55kg2An8ucQzEzXpvNVpYXq9579dETmgkbYVud1vpump</t>
        </is>
      </c>
      <c r="P109" s="20">
        <f>HYPERLINK("https://dexscreener.com/solana/55kg2An8ucQzEzXpvNVpYXq9579dETmgkbYVud1vpump", "View")</f>
        <v/>
      </c>
    </row>
    <row r="110">
      <c r="A110" s="15" t="inlineStr">
        <is>
          <t>NEOLUD</t>
        </is>
      </c>
      <c r="B110" s="16" t="n">
        <v>468304</v>
      </c>
      <c r="C110" s="16" t="n">
        <v>319032</v>
      </c>
      <c r="D110" s="16" t="inlineStr">
        <is>
          <t>0.002020</t>
        </is>
      </c>
      <c r="E110" s="16" t="inlineStr">
        <is>
          <t>0.200 SOL</t>
        </is>
      </c>
      <c r="F110" s="16" t="inlineStr">
        <is>
          <t>0.465 SOL</t>
        </is>
      </c>
      <c r="G110" s="23" t="inlineStr">
        <is>
          <t>0.263 SOL</t>
        </is>
      </c>
      <c r="H110" s="23" t="inlineStr">
        <is>
          <t>130.12%</t>
        </is>
      </c>
      <c r="I110" s="16" t="inlineStr">
        <is>
          <t>N/A</t>
        </is>
      </c>
      <c r="J110" s="16" t="n">
        <v>1</v>
      </c>
      <c r="K110" s="16" t="n">
        <v>3</v>
      </c>
      <c r="L110" s="16" t="inlineStr">
        <is>
          <t>21.10.2024 10:59:22</t>
        </is>
      </c>
      <c r="M110" s="16" t="inlineStr">
        <is>
          <t>3 hours</t>
        </is>
      </c>
      <c r="N110" s="16" t="inlineStr">
        <is>
          <t xml:space="preserve">         76K           364K            14K</t>
        </is>
      </c>
      <c r="O110" s="16" t="inlineStr">
        <is>
          <t>BEk5erCFDjoVEZYUJV2gJAVrp6CERSEgtY7CsWFYpump</t>
        </is>
      </c>
      <c r="P110" s="16">
        <f>HYPERLINK("https://dexscreener.com/solana/BEk5erCFDjoVEZYUJV2gJAVrp6CERSEgtY7CsWFYpump", "View")</f>
        <v/>
      </c>
    </row>
    <row r="111">
      <c r="A111" s="19" t="inlineStr">
        <is>
          <t>TABBY</t>
        </is>
      </c>
      <c r="B111" s="20" t="n">
        <v>25339</v>
      </c>
      <c r="C111" s="20" t="n">
        <v>12670</v>
      </c>
      <c r="D111" s="20" t="inlineStr">
        <is>
          <t>0.001010</t>
        </is>
      </c>
      <c r="E111" s="20" t="inlineStr">
        <is>
          <t>0.200 SOL</t>
        </is>
      </c>
      <c r="F111" s="20" t="inlineStr">
        <is>
          <t>0.185 SOL</t>
        </is>
      </c>
      <c r="G111" s="21" t="inlineStr">
        <is>
          <t>-0.016 SOL</t>
        </is>
      </c>
      <c r="H111" s="21" t="inlineStr">
        <is>
          <t>-7.82%</t>
        </is>
      </c>
      <c r="I111" s="20" t="inlineStr">
        <is>
          <t>N/A</t>
        </is>
      </c>
      <c r="J111" s="20" t="n">
        <v>1</v>
      </c>
      <c r="K111" s="20" t="n">
        <v>1</v>
      </c>
      <c r="L111" s="20" t="inlineStr">
        <is>
          <t>21.10.2024 08:47:00</t>
        </is>
      </c>
      <c r="M111" s="20" t="inlineStr">
        <is>
          <t>14 min</t>
        </is>
      </c>
      <c r="N111" s="20" t="inlineStr">
        <is>
          <t xml:space="preserve">          1M             2M            59K</t>
        </is>
      </c>
      <c r="O111" s="20" t="inlineStr">
        <is>
          <t>A6U6PxqQQrUGQA8L3qsnEHq4iMpYEYToFJfRebuzpump</t>
        </is>
      </c>
      <c r="P111" s="20">
        <f>HYPERLINK("https://dexscreener.com/solana/A6U6PxqQQrUGQA8L3qsnEHq4iMpYEYToFJfRebuzpump", "View")</f>
        <v/>
      </c>
    </row>
    <row r="112">
      <c r="A112" s="15" t="inlineStr">
        <is>
          <t>FGMB</t>
        </is>
      </c>
      <c r="B112" s="16" t="n">
        <v>2124248</v>
      </c>
      <c r="C112" s="16" t="n">
        <v>849699</v>
      </c>
      <c r="D112" s="16" t="inlineStr">
        <is>
          <t>0.001520</t>
        </is>
      </c>
      <c r="E112" s="16" t="inlineStr">
        <is>
          <t>0.200 SOL</t>
        </is>
      </c>
      <c r="F112" s="16" t="inlineStr">
        <is>
          <t>0.095 SOL</t>
        </is>
      </c>
      <c r="G112" s="24" t="inlineStr">
        <is>
          <t>-0.106 SOL</t>
        </is>
      </c>
      <c r="H112" s="24" t="inlineStr">
        <is>
          <t>-52.67%</t>
        </is>
      </c>
      <c r="I112" s="16" t="inlineStr">
        <is>
          <t>N/A</t>
        </is>
      </c>
      <c r="J112" s="16" t="n">
        <v>1</v>
      </c>
      <c r="K112" s="16" t="n">
        <v>2</v>
      </c>
      <c r="L112" s="16" t="inlineStr">
        <is>
          <t>21.10.2024 04:05:34</t>
        </is>
      </c>
      <c r="M112" s="16" t="inlineStr">
        <is>
          <t>1 hours</t>
        </is>
      </c>
      <c r="N112" s="16" t="inlineStr">
        <is>
          <t xml:space="preserve">         15K            18K             3K</t>
        </is>
      </c>
      <c r="O112" s="16" t="inlineStr">
        <is>
          <t>GkGV4jxdhyTJgoSYy1D2td1YdqSaTfB6ZyZFPYpcpump</t>
        </is>
      </c>
      <c r="P112" s="16">
        <f>HYPERLINK("https://dexscreener.com/solana/GkGV4jxdhyTJgoSYy1D2td1YdqSaTfB6ZyZFPYpcpump", "View")</f>
        <v/>
      </c>
    </row>
    <row r="113">
      <c r="A113" s="19" t="inlineStr">
        <is>
          <t>ME</t>
        </is>
      </c>
      <c r="B113" s="20" t="n">
        <v>542999</v>
      </c>
      <c r="C113" s="20" t="n">
        <v>0</v>
      </c>
      <c r="D113" s="20" t="inlineStr">
        <is>
          <t>0.000510</t>
        </is>
      </c>
      <c r="E113" s="20" t="inlineStr">
        <is>
          <t>0.200 SOL</t>
        </is>
      </c>
      <c r="F113" s="20" t="inlineStr">
        <is>
          <t>0.000 SOL</t>
        </is>
      </c>
      <c r="G113" s="17" t="inlineStr">
        <is>
          <t>-0.201 SOL</t>
        </is>
      </c>
      <c r="H113" s="17" t="inlineStr">
        <is>
          <t>0.00%</t>
        </is>
      </c>
      <c r="I113" s="20" t="inlineStr">
        <is>
          <t>542,999</t>
        </is>
      </c>
      <c r="J113" s="20" t="n">
        <v>1</v>
      </c>
      <c r="K113" s="20" t="n">
        <v>0</v>
      </c>
      <c r="L113" s="20" t="inlineStr">
        <is>
          <t>19.10.2024 03:01:09</t>
        </is>
      </c>
      <c r="M113" s="18" t="inlineStr">
        <is>
          <t>0 sec</t>
        </is>
      </c>
      <c r="N113" s="20" t="inlineStr">
        <is>
          <t xml:space="preserve">         61K            61K            17K</t>
        </is>
      </c>
      <c r="O113" s="20" t="inlineStr">
        <is>
          <t>F47eEc7tuC23sXQjtBeGtriYL1jHHVdopywVM3Popump</t>
        </is>
      </c>
      <c r="P113" s="20">
        <f>HYPERLINK("https://dexscreener.com/solana/F47eEc7tuC23sXQjtBeGtriYL1jHHVdopywVM3Popump", "View")</f>
        <v/>
      </c>
    </row>
    <row r="114">
      <c r="A114" s="15" t="inlineStr">
        <is>
          <t>Moka</t>
        </is>
      </c>
      <c r="B114" s="16" t="n">
        <v>1957736</v>
      </c>
      <c r="C114" s="16" t="n">
        <v>0</v>
      </c>
      <c r="D114" s="16" t="inlineStr">
        <is>
          <t>0.000510</t>
        </is>
      </c>
      <c r="E114" s="16" t="inlineStr">
        <is>
          <t>0.187 SOL</t>
        </is>
      </c>
      <c r="F114" s="16" t="inlineStr">
        <is>
          <t>0.000 SOL</t>
        </is>
      </c>
      <c r="G114" s="17" t="inlineStr">
        <is>
          <t>-0.187 SOL</t>
        </is>
      </c>
      <c r="H114" s="17" t="inlineStr">
        <is>
          <t>0.00%</t>
        </is>
      </c>
      <c r="I114" s="16" t="inlineStr">
        <is>
          <t>1,957,736</t>
        </is>
      </c>
      <c r="J114" s="16" t="n">
        <v>1</v>
      </c>
      <c r="K114" s="16" t="n">
        <v>0</v>
      </c>
      <c r="L114" s="16" t="inlineStr">
        <is>
          <t>18.10.2024 22:58:02</t>
        </is>
      </c>
      <c r="M114" s="18" t="inlineStr">
        <is>
          <t>0 sec</t>
        </is>
      </c>
      <c r="N114" s="16" t="inlineStr">
        <is>
          <t xml:space="preserve">         18K            18K             5K</t>
        </is>
      </c>
      <c r="O114" s="16" t="inlineStr">
        <is>
          <t>Dzk42TEAJRtUmqsgR5zaqtTSxYKRJjx2Y85B7ZYApump</t>
        </is>
      </c>
      <c r="P114" s="16">
        <f>HYPERLINK("https://photon-sol.tinyastro.io/en/lp/Dzk42TEAJRtUmqsgR5zaqtTSxYKRJjx2Y85B7ZYApump?handle=676050794bc1b1657a56b", "View")</f>
        <v/>
      </c>
    </row>
    <row r="115">
      <c r="A115" s="19" t="inlineStr">
        <is>
          <t>Seraphina</t>
        </is>
      </c>
      <c r="B115" s="20" t="n">
        <v>1368704</v>
      </c>
      <c r="C115" s="20" t="n">
        <v>0</v>
      </c>
      <c r="D115" s="20" t="inlineStr">
        <is>
          <t>0.000510</t>
        </is>
      </c>
      <c r="E115" s="20" t="inlineStr">
        <is>
          <t>0.214 SOL</t>
        </is>
      </c>
      <c r="F115" s="20" t="inlineStr">
        <is>
          <t>0.000 SOL</t>
        </is>
      </c>
      <c r="G115" s="17" t="inlineStr">
        <is>
          <t>-0.214 SOL</t>
        </is>
      </c>
      <c r="H115" s="17" t="inlineStr">
        <is>
          <t>0.00%</t>
        </is>
      </c>
      <c r="I115" s="20" t="inlineStr">
        <is>
          <t>1,368,704</t>
        </is>
      </c>
      <c r="J115" s="20" t="n">
        <v>1</v>
      </c>
      <c r="K115" s="20" t="n">
        <v>0</v>
      </c>
      <c r="L115" s="20" t="inlineStr">
        <is>
          <t>18.10.2024 22:34:52</t>
        </is>
      </c>
      <c r="M115" s="18" t="inlineStr">
        <is>
          <t>0 sec</t>
        </is>
      </c>
      <c r="N115" s="20" t="inlineStr">
        <is>
          <t xml:space="preserve">         28K            28K             5K</t>
        </is>
      </c>
      <c r="O115" s="20" t="inlineStr">
        <is>
          <t>4MAAEAbYnhE1HRN3T9yHARPAtuGi2aWPSiMWDrNtpump</t>
        </is>
      </c>
      <c r="P115" s="20">
        <f>HYPERLINK("https://photon-sol.tinyastro.io/en/lp/4MAAEAbYnhE1HRN3T9yHARPAtuGi2aWPSiMWDrNtpump?handle=676050794bc1b1657a56b", "View")</f>
        <v/>
      </c>
    </row>
    <row r="116">
      <c r="A116" s="15" t="inlineStr">
        <is>
          <t>BALLS</t>
        </is>
      </c>
      <c r="B116" s="16" t="n">
        <v>644659</v>
      </c>
      <c r="C116" s="16" t="n">
        <v>0</v>
      </c>
      <c r="D116" s="16" t="inlineStr">
        <is>
          <t>0.000510</t>
        </is>
      </c>
      <c r="E116" s="16" t="inlineStr">
        <is>
          <t>0.200 SOL</t>
        </is>
      </c>
      <c r="F116" s="16" t="inlineStr">
        <is>
          <t>0.000 SOL</t>
        </is>
      </c>
      <c r="G116" s="17" t="inlineStr">
        <is>
          <t>-0.201 SOL</t>
        </is>
      </c>
      <c r="H116" s="17" t="inlineStr">
        <is>
          <t>0.00%</t>
        </is>
      </c>
      <c r="I116" s="16" t="inlineStr">
        <is>
          <t>644,659</t>
        </is>
      </c>
      <c r="J116" s="16" t="n">
        <v>1</v>
      </c>
      <c r="K116" s="16" t="n">
        <v>0</v>
      </c>
      <c r="L116" s="16" t="inlineStr">
        <is>
          <t>18.10.2024 22:33:34</t>
        </is>
      </c>
      <c r="M116" s="18" t="inlineStr">
        <is>
          <t>0 sec</t>
        </is>
      </c>
      <c r="N116" s="16" t="inlineStr">
        <is>
          <t xml:space="preserve">         54K            54K             3K</t>
        </is>
      </c>
      <c r="O116" s="16" t="inlineStr">
        <is>
          <t>BJiXvdnaxRK4knoKtcrzuzAari5SfxCYwbY1CCrXpump</t>
        </is>
      </c>
      <c r="P116" s="16">
        <f>HYPERLINK("https://dexscreener.com/solana/BJiXvdnaxRK4knoKtcrzuzAari5SfxCYwbY1CCrXpump", "View")</f>
        <v/>
      </c>
    </row>
    <row r="117">
      <c r="A117" s="19" t="inlineStr">
        <is>
          <t>PUSSY</t>
        </is>
      </c>
      <c r="B117" s="20" t="n">
        <v>1627549</v>
      </c>
      <c r="C117" s="20" t="n">
        <v>0</v>
      </c>
      <c r="D117" s="20" t="inlineStr">
        <is>
          <t>0.000510</t>
        </is>
      </c>
      <c r="E117" s="20" t="inlineStr">
        <is>
          <t>0.241 SOL</t>
        </is>
      </c>
      <c r="F117" s="20" t="inlineStr">
        <is>
          <t>0.000 SOL</t>
        </is>
      </c>
      <c r="G117" s="17" t="inlineStr">
        <is>
          <t>-0.241 SOL</t>
        </is>
      </c>
      <c r="H117" s="17" t="inlineStr">
        <is>
          <t>0.00%</t>
        </is>
      </c>
      <c r="I117" s="20" t="inlineStr">
        <is>
          <t>1,627,549</t>
        </is>
      </c>
      <c r="J117" s="20" t="n">
        <v>1</v>
      </c>
      <c r="K117" s="20" t="n">
        <v>0</v>
      </c>
      <c r="L117" s="20" t="inlineStr">
        <is>
          <t>18.10.2024 21:47:59</t>
        </is>
      </c>
      <c r="M117" s="18" t="inlineStr">
        <is>
          <t>0 sec</t>
        </is>
      </c>
      <c r="N117" s="20" t="inlineStr">
        <is>
          <t xml:space="preserve">         26K            26K             5K</t>
        </is>
      </c>
      <c r="O117" s="20" t="inlineStr">
        <is>
          <t>8ELQ72FT3kU2jePWKqRtUKeiMHVc9GwU2aNJo41Ypump</t>
        </is>
      </c>
      <c r="P117" s="20">
        <f>HYPERLINK("https://photon-sol.tinyastro.io/en/lp/8ELQ72FT3kU2jePWKqRtUKeiMHVc9GwU2aNJo41Ypump?handle=676050794bc1b1657a56b", "View")</f>
        <v/>
      </c>
    </row>
    <row r="118">
      <c r="A118" s="15" t="inlineStr">
        <is>
          <t>MONGO</t>
        </is>
      </c>
      <c r="B118" s="16" t="n">
        <v>684895</v>
      </c>
      <c r="C118" s="16" t="n">
        <v>0</v>
      </c>
      <c r="D118" s="16" t="inlineStr">
        <is>
          <t>0.000510</t>
        </is>
      </c>
      <c r="E118" s="16" t="inlineStr">
        <is>
          <t>0.200 SOL</t>
        </is>
      </c>
      <c r="F118" s="16" t="inlineStr">
        <is>
          <t>0.000 SOL</t>
        </is>
      </c>
      <c r="G118" s="17" t="inlineStr">
        <is>
          <t>-0.201 SOL</t>
        </is>
      </c>
      <c r="H118" s="17" t="inlineStr">
        <is>
          <t>0.00%</t>
        </is>
      </c>
      <c r="I118" s="16" t="inlineStr">
        <is>
          <t>684,895</t>
        </is>
      </c>
      <c r="J118" s="16" t="n">
        <v>1</v>
      </c>
      <c r="K118" s="16" t="n">
        <v>0</v>
      </c>
      <c r="L118" s="16" t="inlineStr">
        <is>
          <t>18.10.2024 21:22:11</t>
        </is>
      </c>
      <c r="M118" s="18" t="inlineStr">
        <is>
          <t>0 sec</t>
        </is>
      </c>
      <c r="N118" s="16" t="inlineStr">
        <is>
          <t xml:space="preserve">         51K            51K             5K</t>
        </is>
      </c>
      <c r="O118" s="16" t="inlineStr">
        <is>
          <t>B9AFujzySVQ4Xz1cTA89f1k94utp9v3BYME2B3rpump</t>
        </is>
      </c>
      <c r="P118" s="16">
        <f>HYPERLINK("https://dexscreener.com/solana/B9AFujzySVQ4Xz1cTA89f1k94utp9v3BYME2B3rpump", "View")</f>
        <v/>
      </c>
    </row>
    <row r="119">
      <c r="A119" s="19" t="inlineStr">
        <is>
          <t>CSS</t>
        </is>
      </c>
      <c r="B119" s="20" t="n">
        <v>1108760</v>
      </c>
      <c r="C119" s="20" t="n">
        <v>0</v>
      </c>
      <c r="D119" s="20" t="inlineStr">
        <is>
          <t>0.000510</t>
        </is>
      </c>
      <c r="E119" s="20" t="inlineStr">
        <is>
          <t>0.200 SOL</t>
        </is>
      </c>
      <c r="F119" s="20" t="inlineStr">
        <is>
          <t>0.000 SOL</t>
        </is>
      </c>
      <c r="G119" s="17" t="inlineStr">
        <is>
          <t>-0.201 SOL</t>
        </is>
      </c>
      <c r="H119" s="17" t="inlineStr">
        <is>
          <t>0.00%</t>
        </is>
      </c>
      <c r="I119" s="20" t="inlineStr">
        <is>
          <t>1,108,760</t>
        </is>
      </c>
      <c r="J119" s="20" t="n">
        <v>1</v>
      </c>
      <c r="K119" s="20" t="n">
        <v>0</v>
      </c>
      <c r="L119" s="20" t="inlineStr">
        <is>
          <t>18.10.2024 21:21:38</t>
        </is>
      </c>
      <c r="M119" s="18" t="inlineStr">
        <is>
          <t>0 sec</t>
        </is>
      </c>
      <c r="N119" s="20" t="inlineStr">
        <is>
          <t xml:space="preserve">         32K            32K             3K</t>
        </is>
      </c>
      <c r="O119" s="20" t="inlineStr">
        <is>
          <t>Bdf69YEq9vzacRVY7xjwXieiAC5LAjM3JPcyfGnypump</t>
        </is>
      </c>
      <c r="P119" s="20">
        <f>HYPERLINK("https://dexscreener.com/solana/Bdf69YEq9vzacRVY7xjwXieiAC5LAjM3JPcyfGnypump", "View")</f>
        <v/>
      </c>
    </row>
    <row r="120">
      <c r="A120" s="15" t="inlineStr">
        <is>
          <t>EED</t>
        </is>
      </c>
      <c r="B120" s="16" t="n">
        <v>5087828</v>
      </c>
      <c r="C120" s="16" t="n">
        <v>0</v>
      </c>
      <c r="D120" s="16" t="inlineStr">
        <is>
          <t>0.000510</t>
        </is>
      </c>
      <c r="E120" s="16" t="inlineStr">
        <is>
          <t>0.201 SOL</t>
        </is>
      </c>
      <c r="F120" s="16" t="inlineStr">
        <is>
          <t>0.000 SOL</t>
        </is>
      </c>
      <c r="G120" s="17" t="inlineStr">
        <is>
          <t>-0.202 SOL</t>
        </is>
      </c>
      <c r="H120" s="17" t="inlineStr">
        <is>
          <t>0.00%</t>
        </is>
      </c>
      <c r="I120" s="16" t="inlineStr">
        <is>
          <t>5,087,828</t>
        </is>
      </c>
      <c r="J120" s="16" t="n">
        <v>1</v>
      </c>
      <c r="K120" s="16" t="n">
        <v>0</v>
      </c>
      <c r="L120" s="16" t="inlineStr">
        <is>
          <t>18.10.2024 18:31:50</t>
        </is>
      </c>
      <c r="M120" s="18" t="inlineStr">
        <is>
          <t>0 sec</t>
        </is>
      </c>
      <c r="N120" s="16" t="inlineStr">
        <is>
          <t xml:space="preserve">          7K             7K             5K</t>
        </is>
      </c>
      <c r="O120" s="16" t="inlineStr">
        <is>
          <t>BJdMVBYA9hX2hfVQZwn3sTUFskG3mj2HC77HLaJipump</t>
        </is>
      </c>
      <c r="P120" s="16">
        <f>HYPERLINK("https://photon-sol.tinyastro.io/en/lp/BJdMVBYA9hX2hfVQZwn3sTUFskG3mj2HC77HLaJipump?handle=676050794bc1b1657a56b", "View")</f>
        <v/>
      </c>
    </row>
    <row r="121">
      <c r="A121" s="19" t="inlineStr">
        <is>
          <t>EED</t>
        </is>
      </c>
      <c r="B121" s="20" t="n">
        <v>3523964</v>
      </c>
      <c r="C121" s="20" t="n">
        <v>0</v>
      </c>
      <c r="D121" s="20" t="inlineStr">
        <is>
          <t>0.000510</t>
        </is>
      </c>
      <c r="E121" s="20" t="inlineStr">
        <is>
          <t>0.167 SOL</t>
        </is>
      </c>
      <c r="F121" s="20" t="inlineStr">
        <is>
          <t>0.000 SOL</t>
        </is>
      </c>
      <c r="G121" s="17" t="inlineStr">
        <is>
          <t>-0.168 SOL</t>
        </is>
      </c>
      <c r="H121" s="17" t="inlineStr">
        <is>
          <t>0.00%</t>
        </is>
      </c>
      <c r="I121" s="20" t="inlineStr">
        <is>
          <t>3,523,964</t>
        </is>
      </c>
      <c r="J121" s="20" t="n">
        <v>1</v>
      </c>
      <c r="K121" s="20" t="n">
        <v>0</v>
      </c>
      <c r="L121" s="20" t="inlineStr">
        <is>
          <t>18.10.2024 18:31:12</t>
        </is>
      </c>
      <c r="M121" s="18" t="inlineStr">
        <is>
          <t>0 sec</t>
        </is>
      </c>
      <c r="N121" s="20" t="inlineStr">
        <is>
          <t xml:space="preserve">          9K             9K             5K</t>
        </is>
      </c>
      <c r="O121" s="20" t="inlineStr">
        <is>
          <t>W4M584gBTczvVa6PUtSdP45Ti9VwPtKwDtT4bF3pump</t>
        </is>
      </c>
      <c r="P121" s="20">
        <f>HYPERLINK("https://photon-sol.tinyastro.io/en/lp/W4M584gBTczvVa6PUtSdP45Ti9VwPtKwDtT4bF3pump?handle=676050794bc1b1657a56b", "View")</f>
        <v/>
      </c>
    </row>
    <row r="122">
      <c r="A122" s="15" t="inlineStr">
        <is>
          <t>PEEN</t>
        </is>
      </c>
      <c r="B122" s="16" t="n">
        <v>1580847</v>
      </c>
      <c r="C122" s="16" t="n">
        <v>0</v>
      </c>
      <c r="D122" s="16" t="inlineStr">
        <is>
          <t>0.000510</t>
        </is>
      </c>
      <c r="E122" s="16" t="inlineStr">
        <is>
          <t>0.221 SOL</t>
        </is>
      </c>
      <c r="F122" s="16" t="inlineStr">
        <is>
          <t>0.000 SOL</t>
        </is>
      </c>
      <c r="G122" s="17" t="inlineStr">
        <is>
          <t>-0.221 SOL</t>
        </is>
      </c>
      <c r="H122" s="17" t="inlineStr">
        <is>
          <t>0.00%</t>
        </is>
      </c>
      <c r="I122" s="16" t="inlineStr">
        <is>
          <t>1,580,847</t>
        </is>
      </c>
      <c r="J122" s="16" t="n">
        <v>1</v>
      </c>
      <c r="K122" s="16" t="n">
        <v>0</v>
      </c>
      <c r="L122" s="16" t="inlineStr">
        <is>
          <t>18.10.2024 18:19:53</t>
        </is>
      </c>
      <c r="M122" s="18" t="inlineStr">
        <is>
          <t>0 sec</t>
        </is>
      </c>
      <c r="N122" s="16" t="inlineStr">
        <is>
          <t xml:space="preserve">         25K            25K             5K</t>
        </is>
      </c>
      <c r="O122" s="16" t="inlineStr">
        <is>
          <t>mxuPhgciXwMuqidRjb1mwuDfbpNb7TQHCpDZRtqpump</t>
        </is>
      </c>
      <c r="P122" s="16">
        <f>HYPERLINK("https://photon-sol.tinyastro.io/en/lp/mxuPhgciXwMuqidRjb1mwuDfbpNb7TQHCpDZRtqpump?handle=676050794bc1b1657a56b", "View")</f>
        <v/>
      </c>
    </row>
    <row r="123">
      <c r="A123" s="19" t="inlineStr">
        <is>
          <t>CHIIKAWA</t>
        </is>
      </c>
      <c r="B123" s="20" t="n">
        <v>73045</v>
      </c>
      <c r="C123" s="20" t="n">
        <v>380920</v>
      </c>
      <c r="D123" s="20" t="inlineStr">
        <is>
          <t>0.001010</t>
        </is>
      </c>
      <c r="E123" s="20" t="inlineStr">
        <is>
          <t>0.500 SOL</t>
        </is>
      </c>
      <c r="F123" s="20" t="inlineStr">
        <is>
          <t>0.251 SOL</t>
        </is>
      </c>
      <c r="G123" s="21" t="inlineStr">
        <is>
          <t>-0.250 SOL</t>
        </is>
      </c>
      <c r="H123" s="21" t="inlineStr">
        <is>
          <t>-49.95%</t>
        </is>
      </c>
      <c r="I123" s="20" t="inlineStr">
        <is>
          <t>N/A</t>
        </is>
      </c>
      <c r="J123" s="20" t="n">
        <v>1</v>
      </c>
      <c r="K123" s="20" t="n">
        <v>1</v>
      </c>
      <c r="L123" s="20" t="inlineStr">
        <is>
          <t>18.10.2024 11:52:45</t>
        </is>
      </c>
      <c r="M123" s="20" t="inlineStr">
        <is>
          <t>6 days</t>
        </is>
      </c>
      <c r="N123" s="20" t="inlineStr">
        <is>
          <t xml:space="preserve">          1M           116K           290K</t>
        </is>
      </c>
      <c r="O123" s="20" t="inlineStr">
        <is>
          <t>DHoadXCbf6TcadkcMGJ8kFRdDa2sXPQ1KrgodUDRpump</t>
        </is>
      </c>
      <c r="P123" s="20">
        <f>HYPERLINK("https://dexscreener.com/solana/DHoadXCbf6TcadkcMGJ8kFRdDa2sXPQ1KrgodUDRpump", "View")</f>
        <v/>
      </c>
    </row>
    <row r="124">
      <c r="A124" s="15" t="inlineStr">
        <is>
          <t>CLANKER</t>
        </is>
      </c>
      <c r="B124" s="16" t="n">
        <v>91588</v>
      </c>
      <c r="C124" s="16" t="n">
        <v>91588</v>
      </c>
      <c r="D124" s="16" t="inlineStr">
        <is>
          <t>0.003030</t>
        </is>
      </c>
      <c r="E124" s="16" t="inlineStr">
        <is>
          <t>0.200 SOL</t>
        </is>
      </c>
      <c r="F124" s="16" t="inlineStr">
        <is>
          <t>1.445 SOL</t>
        </is>
      </c>
      <c r="G124" s="23" t="inlineStr">
        <is>
          <t>1.242 SOL</t>
        </is>
      </c>
      <c r="H124" s="23" t="inlineStr">
        <is>
          <t>611.93%</t>
        </is>
      </c>
      <c r="I124" s="16" t="inlineStr">
        <is>
          <t>N/A</t>
        </is>
      </c>
      <c r="J124" s="16" t="n">
        <v>1</v>
      </c>
      <c r="K124" s="16" t="n">
        <v>5</v>
      </c>
      <c r="L124" s="16" t="inlineStr">
        <is>
          <t>18.10.2024 07:00:10</t>
        </is>
      </c>
      <c r="M124" s="16" t="inlineStr">
        <is>
          <t>1 days</t>
        </is>
      </c>
      <c r="N124" s="16" t="inlineStr">
        <is>
          <t xml:space="preserve">        383K           383K             3M</t>
        </is>
      </c>
      <c r="O124" s="16" t="inlineStr">
        <is>
          <t>3qq54YqAKG3TcrwNHXFSpMCWoL8gmMuPceJ4FG9npump</t>
        </is>
      </c>
      <c r="P124" s="16">
        <f>HYPERLINK("https://dexscreener.com/solana/3qq54YqAKG3TcrwNHXFSpMCWoL8gmMuPceJ4FG9npump", "View")</f>
        <v/>
      </c>
    </row>
    <row r="125">
      <c r="A125" s="19" t="inlineStr">
        <is>
          <t>luna</t>
        </is>
      </c>
      <c r="B125" s="20" t="n">
        <v>1193119</v>
      </c>
      <c r="C125" s="20" t="n">
        <v>1193119</v>
      </c>
      <c r="D125" s="20" t="inlineStr">
        <is>
          <t>0.002530</t>
        </is>
      </c>
      <c r="E125" s="20" t="inlineStr">
        <is>
          <t>0.400 SOL</t>
        </is>
      </c>
      <c r="F125" s="20" t="inlineStr">
        <is>
          <t>1.374 SOL</t>
        </is>
      </c>
      <c r="G125" s="23" t="inlineStr">
        <is>
          <t>0.971 SOL</t>
        </is>
      </c>
      <c r="H125" s="23" t="inlineStr">
        <is>
          <t>241.26%</t>
        </is>
      </c>
      <c r="I125" s="20" t="inlineStr">
        <is>
          <t>N/A</t>
        </is>
      </c>
      <c r="J125" s="20" t="n">
        <v>2</v>
      </c>
      <c r="K125" s="20" t="n">
        <v>3</v>
      </c>
      <c r="L125" s="20" t="inlineStr">
        <is>
          <t>18.10.2024 06:59:52</t>
        </is>
      </c>
      <c r="M125" s="20" t="inlineStr">
        <is>
          <t>3 days</t>
        </is>
      </c>
      <c r="N125" s="20" t="inlineStr">
        <is>
          <t xml:space="preserve">         44K            86K            14K</t>
        </is>
      </c>
      <c r="O125" s="20" t="inlineStr">
        <is>
          <t>5cvA4oDAWVErN7cV2hen6We5pZ2hWEAzuLw9TSKbpump</t>
        </is>
      </c>
      <c r="P125" s="20">
        <f>HYPERLINK("https://dexscreener.com/solana/5cvA4oDAWVErN7cV2hen6We5pZ2hWEAzuLw9TSKbpump", "View")</f>
        <v/>
      </c>
    </row>
    <row r="126">
      <c r="A126" s="15" t="inlineStr">
        <is>
          <t>Amelia</t>
        </is>
      </c>
      <c r="B126" s="16" t="n">
        <v>801143</v>
      </c>
      <c r="C126" s="16" t="n">
        <v>801143</v>
      </c>
      <c r="D126" s="16" t="inlineStr">
        <is>
          <t>0.002530</t>
        </is>
      </c>
      <c r="E126" s="16" t="inlineStr">
        <is>
          <t>0.214 SOL</t>
        </is>
      </c>
      <c r="F126" s="16" t="inlineStr">
        <is>
          <t>1.001 SOL</t>
        </is>
      </c>
      <c r="G126" s="23" t="inlineStr">
        <is>
          <t>0.785 SOL</t>
        </is>
      </c>
      <c r="H126" s="23" t="inlineStr">
        <is>
          <t>362.56%</t>
        </is>
      </c>
      <c r="I126" s="16" t="inlineStr">
        <is>
          <t>N/A</t>
        </is>
      </c>
      <c r="J126" s="16" t="n">
        <v>1</v>
      </c>
      <c r="K126" s="16" t="n">
        <v>4</v>
      </c>
      <c r="L126" s="16" t="inlineStr">
        <is>
          <t>18.10.2024 06:59:25</t>
        </is>
      </c>
      <c r="M126" s="16" t="inlineStr">
        <is>
          <t>3 hours</t>
        </is>
      </c>
      <c r="N126" s="16" t="inlineStr">
        <is>
          <t xml:space="preserve">         47K           313K             6K</t>
        </is>
      </c>
      <c r="O126" s="16" t="inlineStr">
        <is>
          <t>BHneEj79vQxb2vF15883KH8UDSkoudxk7DS7QYE2pump</t>
        </is>
      </c>
      <c r="P126" s="16">
        <f>HYPERLINK("https://photon-sol.tinyastro.io/en/lp/BHneEj79vQxb2vF15883KH8UDSkoudxk7DS7QYE2pump?handle=676050794bc1b1657a56b", "View")</f>
        <v/>
      </c>
    </row>
    <row r="127">
      <c r="A127" s="19" t="inlineStr">
        <is>
          <t>OPTIMUS</t>
        </is>
      </c>
      <c r="B127" s="20" t="n">
        <v>396746</v>
      </c>
      <c r="C127" s="20" t="n">
        <v>0</v>
      </c>
      <c r="D127" s="20" t="inlineStr">
        <is>
          <t>0.001010</t>
        </is>
      </c>
      <c r="E127" s="20" t="inlineStr">
        <is>
          <t>0.500 SOL</t>
        </is>
      </c>
      <c r="F127" s="20" t="inlineStr">
        <is>
          <t>0.000 SOL</t>
        </is>
      </c>
      <c r="G127" s="17" t="inlineStr">
        <is>
          <t>-0.501 SOL</t>
        </is>
      </c>
      <c r="H127" s="17" t="inlineStr">
        <is>
          <t>0.00%</t>
        </is>
      </c>
      <c r="I127" s="20" t="inlineStr">
        <is>
          <t>396,746</t>
        </is>
      </c>
      <c r="J127" s="20" t="n">
        <v>2</v>
      </c>
      <c r="K127" s="20" t="n">
        <v>0</v>
      </c>
      <c r="L127" s="20" t="inlineStr">
        <is>
          <t>17.10.2024 20:17:31</t>
        </is>
      </c>
      <c r="M127" s="20" t="inlineStr">
        <is>
          <t>4 days</t>
        </is>
      </c>
      <c r="N127" s="20" t="inlineStr">
        <is>
          <t xml:space="preserve">        220K           223K            36K</t>
        </is>
      </c>
      <c r="O127" s="20" t="inlineStr">
        <is>
          <t>9fURVh8YkzXDch2KmiBK7YT1zPYGC9UcWfXATvcupump</t>
        </is>
      </c>
      <c r="P127" s="20">
        <f>HYPERLINK("https://dexscreener.com/solana/9fURVh8YkzXDch2KmiBK7YT1zPYGC9UcWfXATvcupump", "View")</f>
        <v/>
      </c>
    </row>
    <row r="128">
      <c r="A128" s="15" t="inlineStr">
        <is>
          <t>AURORA</t>
        </is>
      </c>
      <c r="B128" s="16" t="n">
        <v>462711</v>
      </c>
      <c r="C128" s="16" t="n">
        <v>462711</v>
      </c>
      <c r="D128" s="16" t="inlineStr">
        <is>
          <t>0.001520</t>
        </is>
      </c>
      <c r="E128" s="16" t="inlineStr">
        <is>
          <t>0.200 SOL</t>
        </is>
      </c>
      <c r="F128" s="16" t="inlineStr">
        <is>
          <t>0.600 SOL</t>
        </is>
      </c>
      <c r="G128" s="23" t="inlineStr">
        <is>
          <t>0.399 SOL</t>
        </is>
      </c>
      <c r="H128" s="23" t="inlineStr">
        <is>
          <t>197.79%</t>
        </is>
      </c>
      <c r="I128" s="16" t="inlineStr">
        <is>
          <t>N/A</t>
        </is>
      </c>
      <c r="J128" s="16" t="n">
        <v>1</v>
      </c>
      <c r="K128" s="16" t="n">
        <v>2</v>
      </c>
      <c r="L128" s="16" t="inlineStr">
        <is>
          <t>17.10.2024 15:12:11</t>
        </is>
      </c>
      <c r="M128" s="16" t="inlineStr">
        <is>
          <t>8 hours</t>
        </is>
      </c>
      <c r="N128" s="16" t="inlineStr">
        <is>
          <t xml:space="preserve">         76K            76K            25K</t>
        </is>
      </c>
      <c r="O128" s="16" t="inlineStr">
        <is>
          <t>9tF4vuYRQY3d5GPnE9pjUevukgo6vHiepe3E1w8Jpump</t>
        </is>
      </c>
      <c r="P128" s="16">
        <f>HYPERLINK("https://dexscreener.com/solana/9tF4vuYRQY3d5GPnE9pjUevukgo6vHiepe3E1w8Jpump", "View")</f>
        <v/>
      </c>
    </row>
    <row r="129">
      <c r="A129" s="19" t="inlineStr">
        <is>
          <t>CHAUVAI</t>
        </is>
      </c>
      <c r="B129" s="20" t="n">
        <v>313235</v>
      </c>
      <c r="C129" s="20" t="n">
        <v>0</v>
      </c>
      <c r="D129" s="20" t="inlineStr">
        <is>
          <t>0.000510</t>
        </is>
      </c>
      <c r="E129" s="20" t="inlineStr">
        <is>
          <t>0.200 SOL</t>
        </is>
      </c>
      <c r="F129" s="20" t="inlineStr">
        <is>
          <t>0.000 SOL</t>
        </is>
      </c>
      <c r="G129" s="17" t="inlineStr">
        <is>
          <t>-0.201 SOL</t>
        </is>
      </c>
      <c r="H129" s="17" t="inlineStr">
        <is>
          <t>0.00%</t>
        </is>
      </c>
      <c r="I129" s="20" t="inlineStr">
        <is>
          <t>313,235</t>
        </is>
      </c>
      <c r="J129" s="20" t="n">
        <v>1</v>
      </c>
      <c r="K129" s="20" t="n">
        <v>0</v>
      </c>
      <c r="L129" s="20" t="inlineStr">
        <is>
          <t>17.10.2024 09:21:10</t>
        </is>
      </c>
      <c r="M129" s="18" t="inlineStr">
        <is>
          <t>0 sec</t>
        </is>
      </c>
      <c r="N129" s="20" t="inlineStr">
        <is>
          <t xml:space="preserve">        112K           112K            26K</t>
        </is>
      </c>
      <c r="O129" s="20" t="inlineStr">
        <is>
          <t>DcB3hhPgDHps77VFWkLs71ySyA3ZY7goeu4XVB5xpump</t>
        </is>
      </c>
      <c r="P129" s="20">
        <f>HYPERLINK("https://dexscreener.com/solana/DcB3hhPgDHps77VFWkLs71ySyA3ZY7goeu4XVB5xpump", "View")</f>
        <v/>
      </c>
    </row>
    <row r="130">
      <c r="A130" s="15" t="inlineStr">
        <is>
          <t>🍖</t>
        </is>
      </c>
      <c r="B130" s="16" t="n">
        <v>35255</v>
      </c>
      <c r="C130" s="16" t="n">
        <v>0</v>
      </c>
      <c r="D130" s="16" t="inlineStr">
        <is>
          <t>0.000510</t>
        </is>
      </c>
      <c r="E130" s="16" t="inlineStr">
        <is>
          <t>0.300 SOL</t>
        </is>
      </c>
      <c r="F130" s="16" t="inlineStr">
        <is>
          <t>0.000 SOL</t>
        </is>
      </c>
      <c r="G130" s="17" t="inlineStr">
        <is>
          <t>-0.301 SOL</t>
        </is>
      </c>
      <c r="H130" s="17" t="inlineStr">
        <is>
          <t>0.00%</t>
        </is>
      </c>
      <c r="I130" s="16" t="inlineStr">
        <is>
          <t>35,255</t>
        </is>
      </c>
      <c r="J130" s="16" t="n">
        <v>1</v>
      </c>
      <c r="K130" s="16" t="n">
        <v>0</v>
      </c>
      <c r="L130" s="16" t="inlineStr">
        <is>
          <t>17.10.2024 06:35:27</t>
        </is>
      </c>
      <c r="M130" s="18" t="inlineStr">
        <is>
          <t>0 sec</t>
        </is>
      </c>
      <c r="N130" s="16" t="inlineStr">
        <is>
          <t xml:space="preserve">          1M             1M           120K</t>
        </is>
      </c>
      <c r="O130" s="16" t="inlineStr">
        <is>
          <t>AsmKCysufJvzLiMu5BXPn2ENsLx6DKsRSxstDk4Epump</t>
        </is>
      </c>
      <c r="P130" s="16">
        <f>HYPERLINK("https://dexscreener.com/solana/AsmKCysufJvzLiMu5BXPn2ENsLx6DKsRSxstDk4Epump", "View")</f>
        <v/>
      </c>
    </row>
    <row r="131">
      <c r="A131" s="19" t="inlineStr">
        <is>
          <t>PARKSAI</t>
        </is>
      </c>
      <c r="B131" s="20" t="n">
        <v>1023548</v>
      </c>
      <c r="C131" s="20" t="n">
        <v>0</v>
      </c>
      <c r="D131" s="20" t="inlineStr">
        <is>
          <t>0.001010</t>
        </is>
      </c>
      <c r="E131" s="20" t="inlineStr">
        <is>
          <t>0.400 SOL</t>
        </is>
      </c>
      <c r="F131" s="20" t="inlineStr">
        <is>
          <t>0.000 SOL</t>
        </is>
      </c>
      <c r="G131" s="17" t="inlineStr">
        <is>
          <t>-0.401 SOL</t>
        </is>
      </c>
      <c r="H131" s="17" t="inlineStr">
        <is>
          <t>0.00%</t>
        </is>
      </c>
      <c r="I131" s="20" t="inlineStr">
        <is>
          <t>1,023,548</t>
        </is>
      </c>
      <c r="J131" s="20" t="n">
        <v>2</v>
      </c>
      <c r="K131" s="20" t="n">
        <v>0</v>
      </c>
      <c r="L131" s="20" t="inlineStr">
        <is>
          <t>17.10.2024 06:31:48</t>
        </is>
      </c>
      <c r="M131" s="20" t="inlineStr">
        <is>
          <t>1 days</t>
        </is>
      </c>
      <c r="N131" s="20" t="inlineStr">
        <is>
          <t xml:space="preserve">         44K           151K            10K</t>
        </is>
      </c>
      <c r="O131" s="20" t="inlineStr">
        <is>
          <t>3P975i1iZF5oYrvzpbmdE41CpuHAEbdvGYe5DdTZpump</t>
        </is>
      </c>
      <c r="P131" s="20">
        <f>HYPERLINK("https://dexscreener.com/solana/3P975i1iZF5oYrvzpbmdE41CpuHAEbdvGYe5DdTZpump", "View")</f>
        <v/>
      </c>
    </row>
    <row r="132">
      <c r="A132" s="15" t="inlineStr">
        <is>
          <t>MERLOT</t>
        </is>
      </c>
      <c r="B132" s="16" t="n">
        <v>444557</v>
      </c>
      <c r="C132" s="16" t="n">
        <v>0</v>
      </c>
      <c r="D132" s="16" t="inlineStr">
        <is>
          <t>0.000510</t>
        </is>
      </c>
      <c r="E132" s="16" t="inlineStr">
        <is>
          <t>0.200 SOL</t>
        </is>
      </c>
      <c r="F132" s="16" t="inlineStr">
        <is>
          <t>0.000 SOL</t>
        </is>
      </c>
      <c r="G132" s="17" t="inlineStr">
        <is>
          <t>-0.201 SOL</t>
        </is>
      </c>
      <c r="H132" s="17" t="inlineStr">
        <is>
          <t>0.00%</t>
        </is>
      </c>
      <c r="I132" s="16" t="inlineStr">
        <is>
          <t>444,557</t>
        </is>
      </c>
      <c r="J132" s="16" t="n">
        <v>1</v>
      </c>
      <c r="K132" s="16" t="n">
        <v>0</v>
      </c>
      <c r="L132" s="16" t="inlineStr">
        <is>
          <t>17.10.2024 05:44:12</t>
        </is>
      </c>
      <c r="M132" s="18" t="inlineStr">
        <is>
          <t>0 sec</t>
        </is>
      </c>
      <c r="N132" s="16" t="inlineStr">
        <is>
          <t xml:space="preserve">         79K            79K             6K</t>
        </is>
      </c>
      <c r="O132" s="16" t="inlineStr">
        <is>
          <t>5hUHMjDmwNvqanamyJjsJmBMtBcGUzedYGTPqAS2pump</t>
        </is>
      </c>
      <c r="P132" s="16">
        <f>HYPERLINK("https://dexscreener.com/solana/5hUHMjDmwNvqanamyJjsJmBMtBcGUzedYGTPqAS2pump", "View")</f>
        <v/>
      </c>
    </row>
    <row r="133">
      <c r="A133" s="19" t="inlineStr">
        <is>
          <t>SYDNEY</t>
        </is>
      </c>
      <c r="B133" s="20" t="n">
        <v>164311</v>
      </c>
      <c r="C133" s="20" t="n">
        <v>102694</v>
      </c>
      <c r="D133" s="20" t="inlineStr">
        <is>
          <t>0.001520</t>
        </is>
      </c>
      <c r="E133" s="20" t="inlineStr">
        <is>
          <t>0.200 SOL</t>
        </is>
      </c>
      <c r="F133" s="20" t="inlineStr">
        <is>
          <t>0.431 SOL</t>
        </is>
      </c>
      <c r="G133" s="23" t="inlineStr">
        <is>
          <t>0.229 SOL</t>
        </is>
      </c>
      <c r="H133" s="23" t="inlineStr">
        <is>
          <t>113.64%</t>
        </is>
      </c>
      <c r="I133" s="20" t="inlineStr">
        <is>
          <t>N/A</t>
        </is>
      </c>
      <c r="J133" s="20" t="n">
        <v>1</v>
      </c>
      <c r="K133" s="20" t="n">
        <v>2</v>
      </c>
      <c r="L133" s="20" t="inlineStr">
        <is>
          <t>17.10.2024 04:51:54</t>
        </is>
      </c>
      <c r="M133" s="20" t="inlineStr">
        <is>
          <t>30 min</t>
        </is>
      </c>
      <c r="N133" s="20" t="inlineStr">
        <is>
          <t xml:space="preserve">        214K             1M             9K</t>
        </is>
      </c>
      <c r="O133" s="20" t="inlineStr">
        <is>
          <t>4seLXr2ngqsNDSGT4Ke9n23x64zdaNtMTV6fK8t1pump</t>
        </is>
      </c>
      <c r="P133" s="20">
        <f>HYPERLINK("https://dexscreener.com/solana/4seLXr2ngqsNDSGT4Ke9n23x64zdaNtMTV6fK8t1pump", "View")</f>
        <v/>
      </c>
    </row>
    <row r="134">
      <c r="A134" s="15" t="inlineStr">
        <is>
          <t>sis</t>
        </is>
      </c>
      <c r="B134" s="16" t="n">
        <v>1387894</v>
      </c>
      <c r="C134" s="16" t="n">
        <v>0</v>
      </c>
      <c r="D134" s="16" t="inlineStr">
        <is>
          <t>0.000510</t>
        </is>
      </c>
      <c r="E134" s="16" t="inlineStr">
        <is>
          <t>0.200 SOL</t>
        </is>
      </c>
      <c r="F134" s="16" t="inlineStr">
        <is>
          <t>0.000 SOL</t>
        </is>
      </c>
      <c r="G134" s="17" t="inlineStr">
        <is>
          <t>-0.201 SOL</t>
        </is>
      </c>
      <c r="H134" s="17" t="inlineStr">
        <is>
          <t>0.00%</t>
        </is>
      </c>
      <c r="I134" s="16" t="inlineStr">
        <is>
          <t>1,387,894</t>
        </is>
      </c>
      <c r="J134" s="16" t="n">
        <v>1</v>
      </c>
      <c r="K134" s="16" t="n">
        <v>0</v>
      </c>
      <c r="L134" s="16" t="inlineStr">
        <is>
          <t>16.10.2024 21:40:08</t>
        </is>
      </c>
      <c r="M134" s="18" t="inlineStr">
        <is>
          <t>0 sec</t>
        </is>
      </c>
      <c r="N134" s="16" t="inlineStr">
        <is>
          <t xml:space="preserve">         25K            25K            11K</t>
        </is>
      </c>
      <c r="O134" s="16" t="inlineStr">
        <is>
          <t>s88MQrEmdBgaFMskQW2jKvm1Spfoe1bVyYMKbc1pump</t>
        </is>
      </c>
      <c r="P134" s="16">
        <f>HYPERLINK("https://dexscreener.com/solana/s88MQrEmdBgaFMskQW2jKvm1Spfoe1bVyYMKbc1pump", "View")</f>
        <v/>
      </c>
    </row>
    <row r="135">
      <c r="A135" s="19" t="inlineStr">
        <is>
          <t>NIGGER</t>
        </is>
      </c>
      <c r="B135" s="20" t="n">
        <v>1597880</v>
      </c>
      <c r="C135" s="20" t="n">
        <v>0</v>
      </c>
      <c r="D135" s="20" t="inlineStr">
        <is>
          <t>0.000510</t>
        </is>
      </c>
      <c r="E135" s="20" t="inlineStr">
        <is>
          <t>0.172 SOL</t>
        </is>
      </c>
      <c r="F135" s="20" t="inlineStr">
        <is>
          <t>0.000 SOL</t>
        </is>
      </c>
      <c r="G135" s="17" t="inlineStr">
        <is>
          <t>-0.172 SOL</t>
        </is>
      </c>
      <c r="H135" s="17" t="inlineStr">
        <is>
          <t>0.00%</t>
        </is>
      </c>
      <c r="I135" s="20" t="inlineStr">
        <is>
          <t>1,597,880</t>
        </is>
      </c>
      <c r="J135" s="20" t="n">
        <v>1</v>
      </c>
      <c r="K135" s="20" t="n">
        <v>0</v>
      </c>
      <c r="L135" s="20" t="inlineStr">
        <is>
          <t>16.10.2024 20:29:48</t>
        </is>
      </c>
      <c r="M135" s="18" t="inlineStr">
        <is>
          <t>0 sec</t>
        </is>
      </c>
      <c r="N135" s="20" t="inlineStr">
        <is>
          <t xml:space="preserve">         19K            19K             5K</t>
        </is>
      </c>
      <c r="O135" s="20" t="inlineStr">
        <is>
          <t>B3khC68ihh6AmXmh8SZwSXUFuv5RxYxyCczvZMU4pump</t>
        </is>
      </c>
      <c r="P135" s="20">
        <f>HYPERLINK("https://photon-sol.tinyastro.io/en/lp/B3khC68ihh6AmXmh8SZwSXUFuv5RxYxyCczvZMU4pump?handle=676050794bc1b1657a56b", "View")</f>
        <v/>
      </c>
    </row>
    <row r="136">
      <c r="A136" s="15" t="inlineStr">
        <is>
          <t>Bakso</t>
        </is>
      </c>
      <c r="B136" s="16" t="n">
        <v>30094</v>
      </c>
      <c r="C136" s="16" t="n">
        <v>19862</v>
      </c>
      <c r="D136" s="16" t="inlineStr">
        <is>
          <t>0.001520</t>
        </is>
      </c>
      <c r="E136" s="16" t="inlineStr">
        <is>
          <t>0.200 SOL</t>
        </is>
      </c>
      <c r="F136" s="16" t="inlineStr">
        <is>
          <t>0.328 SOL</t>
        </is>
      </c>
      <c r="G136" s="23" t="inlineStr">
        <is>
          <t>0.126 SOL</t>
        </is>
      </c>
      <c r="H136" s="23" t="inlineStr">
        <is>
          <t>62.67%</t>
        </is>
      </c>
      <c r="I136" s="16" t="inlineStr">
        <is>
          <t>N/A</t>
        </is>
      </c>
      <c r="J136" s="16" t="n">
        <v>1</v>
      </c>
      <c r="K136" s="16" t="n">
        <v>2</v>
      </c>
      <c r="L136" s="16" t="inlineStr">
        <is>
          <t>16.10.2024 19:48:40</t>
        </is>
      </c>
      <c r="M136" s="16" t="inlineStr">
        <is>
          <t>3 hours</t>
        </is>
      </c>
      <c r="N136" s="16" t="inlineStr">
        <is>
          <t xml:space="preserve">          1M             2M           652K</t>
        </is>
      </c>
      <c r="O136" s="16" t="inlineStr">
        <is>
          <t>FqnqT1GKi8S4Gyk5wnSKvJjXW48HqGtKJt9WS4o2pump</t>
        </is>
      </c>
      <c r="P136" s="16">
        <f>HYPERLINK("https://dexscreener.com/solana/FqnqT1GKi8S4Gyk5wnSKvJjXW48HqGtKJt9WS4o2pump", "View")</f>
        <v/>
      </c>
    </row>
    <row r="137">
      <c r="A137" s="19" t="inlineStr">
        <is>
          <t>BOMBACLAT</t>
        </is>
      </c>
      <c r="B137" s="20" t="n">
        <v>241811</v>
      </c>
      <c r="C137" s="20" t="n">
        <v>241811</v>
      </c>
      <c r="D137" s="20" t="inlineStr">
        <is>
          <t>0.001520</t>
        </is>
      </c>
      <c r="E137" s="20" t="inlineStr">
        <is>
          <t>0.200 SOL</t>
        </is>
      </c>
      <c r="F137" s="20" t="inlineStr">
        <is>
          <t>0.386 SOL</t>
        </is>
      </c>
      <c r="G137" s="23" t="inlineStr">
        <is>
          <t>0.184 SOL</t>
        </is>
      </c>
      <c r="H137" s="23" t="inlineStr">
        <is>
          <t>91.42%</t>
        </is>
      </c>
      <c r="I137" s="20" t="inlineStr">
        <is>
          <t>N/A</t>
        </is>
      </c>
      <c r="J137" s="20" t="n">
        <v>1</v>
      </c>
      <c r="K137" s="20" t="n">
        <v>2</v>
      </c>
      <c r="L137" s="20" t="inlineStr">
        <is>
          <t>16.10.2024 18:03:52</t>
        </is>
      </c>
      <c r="M137" s="20" t="inlineStr">
        <is>
          <t>18 hours</t>
        </is>
      </c>
      <c r="N137" s="20" t="inlineStr">
        <is>
          <t xml:space="preserve">        146K           320K            11K</t>
        </is>
      </c>
      <c r="O137" s="20" t="inlineStr">
        <is>
          <t>C1Q4cxNApmkbjeTbjGNwwAVQnrLvHcHevePBE66Mpump</t>
        </is>
      </c>
      <c r="P137" s="20">
        <f>HYPERLINK("https://dexscreener.com/solana/C1Q4cxNApmkbjeTbjGNwwAVQnrLvHcHevePBE66Mpump", "View")</f>
        <v/>
      </c>
    </row>
    <row r="138">
      <c r="A138" s="15" t="inlineStr">
        <is>
          <t>BENTLEY</t>
        </is>
      </c>
      <c r="B138" s="16" t="n">
        <v>3366542</v>
      </c>
      <c r="C138" s="16" t="n">
        <v>0</v>
      </c>
      <c r="D138" s="16" t="inlineStr">
        <is>
          <t>0.000510</t>
        </is>
      </c>
      <c r="E138" s="16" t="inlineStr">
        <is>
          <t>0.200 SOL</t>
        </is>
      </c>
      <c r="F138" s="16" t="inlineStr">
        <is>
          <t>0.000 SOL</t>
        </is>
      </c>
      <c r="G138" s="17" t="inlineStr">
        <is>
          <t>-0.201 SOL</t>
        </is>
      </c>
      <c r="H138" s="17" t="inlineStr">
        <is>
          <t>0.00%</t>
        </is>
      </c>
      <c r="I138" s="16" t="inlineStr">
        <is>
          <t>3,366,542</t>
        </is>
      </c>
      <c r="J138" s="16" t="n">
        <v>1</v>
      </c>
      <c r="K138" s="16" t="n">
        <v>0</v>
      </c>
      <c r="L138" s="16" t="inlineStr">
        <is>
          <t>16.10.2024 17:46:21</t>
        </is>
      </c>
      <c r="M138" s="18" t="inlineStr">
        <is>
          <t>0 sec</t>
        </is>
      </c>
      <c r="N138" s="16" t="inlineStr">
        <is>
          <t xml:space="preserve">         10K            10K             4K</t>
        </is>
      </c>
      <c r="O138" s="16" t="inlineStr">
        <is>
          <t>8H9iCo578WWwpkwkTX1hBafF1bjMV4XPneohUEuSpump</t>
        </is>
      </c>
      <c r="P138" s="16">
        <f>HYPERLINK("https://dexscreener.com/solana/8H9iCo578WWwpkwkTX1hBafF1bjMV4XPneohUEuSpump", "View")</f>
        <v/>
      </c>
    </row>
    <row r="139">
      <c r="A139" s="19" t="inlineStr">
        <is>
          <t>BAKSO</t>
        </is>
      </c>
      <c r="B139" s="20" t="n">
        <v>123017</v>
      </c>
      <c r="C139" s="20" t="n">
        <v>123017</v>
      </c>
      <c r="D139" s="20" t="inlineStr">
        <is>
          <t>0.001010</t>
        </is>
      </c>
      <c r="E139" s="20" t="inlineStr">
        <is>
          <t>0.200 SOL</t>
        </is>
      </c>
      <c r="F139" s="20" t="inlineStr">
        <is>
          <t>0.325 SOL</t>
        </is>
      </c>
      <c r="G139" s="23" t="inlineStr">
        <is>
          <t>0.123 SOL</t>
        </is>
      </c>
      <c r="H139" s="23" t="inlineStr">
        <is>
          <t>61.44%</t>
        </is>
      </c>
      <c r="I139" s="20" t="inlineStr">
        <is>
          <t>N/A</t>
        </is>
      </c>
      <c r="J139" s="20" t="n">
        <v>1</v>
      </c>
      <c r="K139" s="20" t="n">
        <v>1</v>
      </c>
      <c r="L139" s="20" t="inlineStr">
        <is>
          <t>16.10.2024 16:08:13</t>
        </is>
      </c>
      <c r="M139" s="20" t="inlineStr">
        <is>
          <t>12 min</t>
        </is>
      </c>
      <c r="N139" s="20" t="inlineStr">
        <is>
          <t xml:space="preserve">        N/A           N/A           N/A</t>
        </is>
      </c>
      <c r="O139" s="20" t="inlineStr">
        <is>
          <t>D3sjstAjtDTWwovWnUXZvcjs5iuhQVDRE1vvsZLfpump</t>
        </is>
      </c>
      <c r="P139" s="20">
        <f>HYPERLINK("https://dexscreener.com/solana/D3sjstAjtDTWwovWnUXZvcjs5iuhQVDRE1vvsZLfpump", "View")</f>
        <v/>
      </c>
    </row>
    <row r="140">
      <c r="A140" s="15" t="inlineStr">
        <is>
          <t>berb</t>
        </is>
      </c>
      <c r="B140" s="16" t="n">
        <v>786014</v>
      </c>
      <c r="C140" s="16" t="n">
        <v>0</v>
      </c>
      <c r="D140" s="16" t="inlineStr">
        <is>
          <t>0.001010</t>
        </is>
      </c>
      <c r="E140" s="16" t="inlineStr">
        <is>
          <t>0.400 SOL</t>
        </is>
      </c>
      <c r="F140" s="16" t="inlineStr">
        <is>
          <t>0.000 SOL</t>
        </is>
      </c>
      <c r="G140" s="17" t="inlineStr">
        <is>
          <t>-0.401 SOL</t>
        </is>
      </c>
      <c r="H140" s="17" t="inlineStr">
        <is>
          <t>0.00%</t>
        </is>
      </c>
      <c r="I140" s="16" t="inlineStr">
        <is>
          <t>786,014</t>
        </is>
      </c>
      <c r="J140" s="16" t="n">
        <v>2</v>
      </c>
      <c r="K140" s="16" t="n">
        <v>0</v>
      </c>
      <c r="L140" s="16" t="inlineStr">
        <is>
          <t>16.10.2024 13:18:23</t>
        </is>
      </c>
      <c r="M140" s="16" t="inlineStr">
        <is>
          <t>1 min</t>
        </is>
      </c>
      <c r="N140" s="16" t="inlineStr">
        <is>
          <t xml:space="preserve">        146K            65K             4K</t>
        </is>
      </c>
      <c r="O140" s="16" t="inlineStr">
        <is>
          <t>FLTY8uu6rDG1maj7zwvakvfg9wNC4Q6o9w1faWTipump</t>
        </is>
      </c>
      <c r="P140" s="16">
        <f>HYPERLINK("https://dexscreener.com/solana/FLTY8uu6rDG1maj7zwvakvfg9wNC4Q6o9w1faWTipump", "View")</f>
        <v/>
      </c>
    </row>
    <row r="141">
      <c r="A141" s="19" t="inlineStr">
        <is>
          <t>fleshbag</t>
        </is>
      </c>
      <c r="B141" s="20" t="n">
        <v>125520</v>
      </c>
      <c r="C141" s="20" t="n">
        <v>0</v>
      </c>
      <c r="D141" s="20" t="inlineStr">
        <is>
          <t>0.000510</t>
        </is>
      </c>
      <c r="E141" s="20" t="inlineStr">
        <is>
          <t>0.200 SOL</t>
        </is>
      </c>
      <c r="F141" s="20" t="inlineStr">
        <is>
          <t>0.000 SOL</t>
        </is>
      </c>
      <c r="G141" s="17" t="inlineStr">
        <is>
          <t>-0.201 SOL</t>
        </is>
      </c>
      <c r="H141" s="17" t="inlineStr">
        <is>
          <t>0.00%</t>
        </is>
      </c>
      <c r="I141" s="20" t="inlineStr">
        <is>
          <t>125,520</t>
        </is>
      </c>
      <c r="J141" s="20" t="n">
        <v>1</v>
      </c>
      <c r="K141" s="20" t="n">
        <v>0</v>
      </c>
      <c r="L141" s="20" t="inlineStr">
        <is>
          <t>16.10.2024 11:59:00</t>
        </is>
      </c>
      <c r="M141" s="18" t="inlineStr">
        <is>
          <t>0 sec</t>
        </is>
      </c>
      <c r="N141" s="20" t="inlineStr">
        <is>
          <t xml:space="preserve">        279K           279K            10K</t>
        </is>
      </c>
      <c r="O141" s="20" t="inlineStr">
        <is>
          <t>8ypJK8k7mYR14sfmiQzuF68mvamu84KtMn1tvcrjpump</t>
        </is>
      </c>
      <c r="P141" s="20">
        <f>HYPERLINK("https://dexscreener.com/solana/8ypJK8k7mYR14sfmiQzuF68mvamu84KtMn1tvcrjpump", "View")</f>
        <v/>
      </c>
    </row>
    <row r="142">
      <c r="A142" s="15" t="inlineStr">
        <is>
          <t>Neuro-sama</t>
        </is>
      </c>
      <c r="B142" s="16" t="n">
        <v>2443741</v>
      </c>
      <c r="C142" s="16" t="n">
        <v>0</v>
      </c>
      <c r="D142" s="16" t="inlineStr">
        <is>
          <t>0.001010</t>
        </is>
      </c>
      <c r="E142" s="16" t="inlineStr">
        <is>
          <t>0.428 SOL</t>
        </is>
      </c>
      <c r="F142" s="16" t="inlineStr">
        <is>
          <t>0.000 SOL</t>
        </is>
      </c>
      <c r="G142" s="17" t="inlineStr">
        <is>
          <t>-0.429 SOL</t>
        </is>
      </c>
      <c r="H142" s="17" t="inlineStr">
        <is>
          <t>0.00%</t>
        </is>
      </c>
      <c r="I142" s="16" t="inlineStr">
        <is>
          <t>2,443,741</t>
        </is>
      </c>
      <c r="J142" s="16" t="n">
        <v>2</v>
      </c>
      <c r="K142" s="16" t="n">
        <v>0</v>
      </c>
      <c r="L142" s="16" t="inlineStr">
        <is>
          <t>16.10.2024 11:58:18</t>
        </is>
      </c>
      <c r="M142" s="16" t="inlineStr">
        <is>
          <t>1 hours</t>
        </is>
      </c>
      <c r="N142" s="16" t="inlineStr">
        <is>
          <t xml:space="preserve">        N/A           N/A           N/A</t>
        </is>
      </c>
      <c r="O142" s="16" t="inlineStr">
        <is>
          <t>5hAyBH9CeVywUd6ogvXczeJtSPyaMzfj5BAyvBfRpump</t>
        </is>
      </c>
      <c r="P142" s="16">
        <f>HYPERLINK("https://photon-sol.tinyastro.io/en/lp/5hAyBH9CeVywUd6ogvXczeJtSPyaMzfj5BAyvBfRpump?handle=676050794bc1b1657a56b", "View")</f>
        <v/>
      </c>
    </row>
    <row r="143">
      <c r="A143" s="19" t="inlineStr">
        <is>
          <t>GOATSE</t>
        </is>
      </c>
      <c r="B143" s="20" t="n">
        <v>1551726</v>
      </c>
      <c r="C143" s="20" t="n">
        <v>0</v>
      </c>
      <c r="D143" s="20" t="inlineStr">
        <is>
          <t>0.000510</t>
        </is>
      </c>
      <c r="E143" s="20" t="inlineStr">
        <is>
          <t>0.319 SOL</t>
        </is>
      </c>
      <c r="F143" s="20" t="inlineStr">
        <is>
          <t>0.000 SOL</t>
        </is>
      </c>
      <c r="G143" s="17" t="inlineStr">
        <is>
          <t>-0.320 SOL</t>
        </is>
      </c>
      <c r="H143" s="17" t="inlineStr">
        <is>
          <t>0.00%</t>
        </is>
      </c>
      <c r="I143" s="20" t="inlineStr">
        <is>
          <t>1,551,726</t>
        </is>
      </c>
      <c r="J143" s="20" t="n">
        <v>1</v>
      </c>
      <c r="K143" s="20" t="n">
        <v>0</v>
      </c>
      <c r="L143" s="20" t="inlineStr">
        <is>
          <t>16.10.2024 08:38:11</t>
        </is>
      </c>
      <c r="M143" s="18" t="inlineStr">
        <is>
          <t>0 sec</t>
        </is>
      </c>
      <c r="N143" s="20" t="inlineStr">
        <is>
          <t xml:space="preserve">         32K            32K             4K</t>
        </is>
      </c>
      <c r="O143" s="20" t="inlineStr">
        <is>
          <t>AxN2KgCDjiWJyACgAg2YyTfpaeszKhXdZ9XpSxTepump</t>
        </is>
      </c>
      <c r="P143" s="20">
        <f>HYPERLINK("https://photon-sol.tinyastro.io/en/lp/AxN2KgCDjiWJyACgAg2YyTfpaeszKhXdZ9XpSxTepump?handle=676050794bc1b1657a56b", "View")</f>
        <v/>
      </c>
    </row>
    <row r="144">
      <c r="A144" s="15" t="inlineStr">
        <is>
          <t>Skull</t>
        </is>
      </c>
      <c r="B144" s="16" t="n">
        <v>1454113</v>
      </c>
      <c r="C144" s="16" t="n">
        <v>527116</v>
      </c>
      <c r="D144" s="16" t="inlineStr">
        <is>
          <t>0.001520</t>
        </is>
      </c>
      <c r="E144" s="16" t="inlineStr">
        <is>
          <t>0.214 SOL</t>
        </is>
      </c>
      <c r="F144" s="16" t="inlineStr">
        <is>
          <t>0.490 SOL</t>
        </is>
      </c>
      <c r="G144" s="23" t="inlineStr">
        <is>
          <t>0.275 SOL</t>
        </is>
      </c>
      <c r="H144" s="23" t="inlineStr">
        <is>
          <t>127.76%</t>
        </is>
      </c>
      <c r="I144" s="16" t="inlineStr">
        <is>
          <t>N/A</t>
        </is>
      </c>
      <c r="J144" s="16" t="n">
        <v>1</v>
      </c>
      <c r="K144" s="16" t="n">
        <v>2</v>
      </c>
      <c r="L144" s="16" t="inlineStr">
        <is>
          <t>16.10.2024 08:21:42</t>
        </is>
      </c>
      <c r="M144" s="16" t="inlineStr">
        <is>
          <t>1 hours</t>
        </is>
      </c>
      <c r="N144" s="16" t="inlineStr">
        <is>
          <t xml:space="preserve">         26K           107K            15K</t>
        </is>
      </c>
      <c r="O144" s="16" t="inlineStr">
        <is>
          <t>4bnuQVbrEcYYUqSJeSjbddyLmCGKyVGzAMqvtPu3pump</t>
        </is>
      </c>
      <c r="P144" s="16">
        <f>HYPERLINK("https://photon-sol.tinyastro.io/en/lp/4bnuQVbrEcYYUqSJeSjbddyLmCGKyVGzAMqvtPu3pump?handle=676050794bc1b1657a56b", "View")</f>
        <v/>
      </c>
    </row>
    <row r="145">
      <c r="A145" s="19" t="inlineStr">
        <is>
          <t>CAPTCHA</t>
        </is>
      </c>
      <c r="B145" s="20" t="n">
        <v>230038</v>
      </c>
      <c r="C145" s="20" t="n">
        <v>0</v>
      </c>
      <c r="D145" s="20" t="inlineStr">
        <is>
          <t>0.000510</t>
        </is>
      </c>
      <c r="E145" s="20" t="inlineStr">
        <is>
          <t>0.200 SOL</t>
        </is>
      </c>
      <c r="F145" s="20" t="inlineStr">
        <is>
          <t>0.000 SOL</t>
        </is>
      </c>
      <c r="G145" s="17" t="inlineStr">
        <is>
          <t>-0.201 SOL</t>
        </is>
      </c>
      <c r="H145" s="17" t="inlineStr">
        <is>
          <t>0.00%</t>
        </is>
      </c>
      <c r="I145" s="20" t="inlineStr">
        <is>
          <t>230,038</t>
        </is>
      </c>
      <c r="J145" s="20" t="n">
        <v>1</v>
      </c>
      <c r="K145" s="20" t="n">
        <v>0</v>
      </c>
      <c r="L145" s="20" t="inlineStr">
        <is>
          <t>16.10.2024 06:48:42</t>
        </is>
      </c>
      <c r="M145" s="18" t="inlineStr">
        <is>
          <t>0 sec</t>
        </is>
      </c>
      <c r="N145" s="20" t="inlineStr">
        <is>
          <t xml:space="preserve">        153K           153K             9K</t>
        </is>
      </c>
      <c r="O145" s="20" t="inlineStr">
        <is>
          <t>BzRJGSG1MYq5rb1AnGzJ9hNpejkLv5SoGv3NrkMopump</t>
        </is>
      </c>
      <c r="P145" s="20">
        <f>HYPERLINK("https://dexscreener.com/solana/BzRJGSG1MYq5rb1AnGzJ9hNpejkLv5SoGv3NrkMopump", "View")</f>
        <v/>
      </c>
    </row>
    <row r="146">
      <c r="A146" s="15" t="inlineStr">
        <is>
          <t>LT</t>
        </is>
      </c>
      <c r="B146" s="16" t="n">
        <v>2904558</v>
      </c>
      <c r="C146" s="16" t="n">
        <v>0</v>
      </c>
      <c r="D146" s="16" t="inlineStr">
        <is>
          <t>0.000510</t>
        </is>
      </c>
      <c r="E146" s="16" t="inlineStr">
        <is>
          <t>0.208 SOL</t>
        </is>
      </c>
      <c r="F146" s="16" t="inlineStr">
        <is>
          <t>0.000 SOL</t>
        </is>
      </c>
      <c r="G146" s="17" t="inlineStr">
        <is>
          <t>-0.208 SOL</t>
        </is>
      </c>
      <c r="H146" s="17" t="inlineStr">
        <is>
          <t>0.00%</t>
        </is>
      </c>
      <c r="I146" s="16" t="inlineStr">
        <is>
          <t>2,904,558</t>
        </is>
      </c>
      <c r="J146" s="16" t="n">
        <v>1</v>
      </c>
      <c r="K146" s="16" t="n">
        <v>0</v>
      </c>
      <c r="L146" s="16" t="inlineStr">
        <is>
          <t>16.10.2024 06:42:15</t>
        </is>
      </c>
      <c r="M146" s="18" t="inlineStr">
        <is>
          <t>0 sec</t>
        </is>
      </c>
      <c r="N146" s="16" t="inlineStr">
        <is>
          <t xml:space="preserve">        N/A           N/A           N/A</t>
        </is>
      </c>
      <c r="O146" s="16" t="inlineStr">
        <is>
          <t>4y5iH8wcGL1Q3BrVXUTtZgm1iniyRVhfbuRxFN34pump</t>
        </is>
      </c>
      <c r="P146" s="16">
        <f>HYPERLINK("https://photon-sol.tinyastro.io/en/lp/4y5iH8wcGL1Q3BrVXUTtZgm1iniyRVhfbuRxFN34pump?handle=676050794bc1b1657a56b", "View")</f>
        <v/>
      </c>
    </row>
    <row r="147">
      <c r="A147" s="19" t="inlineStr">
        <is>
          <t>LIGMA</t>
        </is>
      </c>
      <c r="B147" s="20" t="n">
        <v>1534986</v>
      </c>
      <c r="C147" s="20" t="n">
        <v>1534986</v>
      </c>
      <c r="D147" s="20" t="inlineStr">
        <is>
          <t>0.003540</t>
        </is>
      </c>
      <c r="E147" s="20" t="inlineStr">
        <is>
          <t>0.500 SOL</t>
        </is>
      </c>
      <c r="F147" s="20" t="inlineStr">
        <is>
          <t>5.488 SOL</t>
        </is>
      </c>
      <c r="G147" s="23" t="inlineStr">
        <is>
          <t>4.984 SOL</t>
        </is>
      </c>
      <c r="H147" s="23" t="inlineStr">
        <is>
          <t>989.82%</t>
        </is>
      </c>
      <c r="I147" s="20" t="inlineStr">
        <is>
          <t>N/A</t>
        </is>
      </c>
      <c r="J147" s="20" t="n">
        <v>1</v>
      </c>
      <c r="K147" s="20" t="n">
        <v>6</v>
      </c>
      <c r="L147" s="20" t="inlineStr">
        <is>
          <t>15.10.2024 23:04:06</t>
        </is>
      </c>
      <c r="M147" s="20" t="inlineStr">
        <is>
          <t>6 days</t>
        </is>
      </c>
      <c r="N147" s="20" t="inlineStr">
        <is>
          <t xml:space="preserve">         58K           824K           198K</t>
        </is>
      </c>
      <c r="O147" s="20" t="inlineStr">
        <is>
          <t>AEXbqWmEHY4wXS1XeLfieBDh3ZEvVqkAdDzdaMAwpump</t>
        </is>
      </c>
      <c r="P147" s="20">
        <f>HYPERLINK("https://dexscreener.com/solana/AEXbqWmEHY4wXS1XeLfieBDh3ZEvVqkAdDzdaMAwpump", "View")</f>
        <v/>
      </c>
    </row>
    <row r="148">
      <c r="A148" s="15" t="inlineStr">
        <is>
          <t>PEGASUS</t>
        </is>
      </c>
      <c r="B148" s="16" t="n">
        <v>3138994</v>
      </c>
      <c r="C148" s="16" t="n">
        <v>0</v>
      </c>
      <c r="D148" s="16" t="inlineStr">
        <is>
          <t>0.001010</t>
        </is>
      </c>
      <c r="E148" s="16" t="inlineStr">
        <is>
          <t>0.400 SOL</t>
        </is>
      </c>
      <c r="F148" s="16" t="inlineStr">
        <is>
          <t>0.000 SOL</t>
        </is>
      </c>
      <c r="G148" s="17" t="inlineStr">
        <is>
          <t>-0.401 SOL</t>
        </is>
      </c>
      <c r="H148" s="17" t="inlineStr">
        <is>
          <t>0.00%</t>
        </is>
      </c>
      <c r="I148" s="16" t="inlineStr">
        <is>
          <t>3,138,994</t>
        </is>
      </c>
      <c r="J148" s="16" t="n">
        <v>2</v>
      </c>
      <c r="K148" s="16" t="n">
        <v>0</v>
      </c>
      <c r="L148" s="16" t="inlineStr">
        <is>
          <t>15.10.2024 17:12:05</t>
        </is>
      </c>
      <c r="M148" s="16" t="inlineStr">
        <is>
          <t>1 hours</t>
        </is>
      </c>
      <c r="N148" s="16" t="inlineStr">
        <is>
          <t xml:space="preserve">         32K            18K             4K</t>
        </is>
      </c>
      <c r="O148" s="16" t="inlineStr">
        <is>
          <t>4j75ULMW23od7dY98gwW6pYvaj94PePGCcPuKAUppump</t>
        </is>
      </c>
      <c r="P148" s="16">
        <f>HYPERLINK("https://dexscreener.com/solana/4j75ULMW23od7dY98gwW6pYvaj94PePGCcPuKAUppump", "View")</f>
        <v/>
      </c>
    </row>
    <row r="149">
      <c r="A149" s="19" t="inlineStr">
        <is>
          <t>ARCANE</t>
        </is>
      </c>
      <c r="B149" s="20" t="n">
        <v>35407</v>
      </c>
      <c r="C149" s="20" t="n">
        <v>0</v>
      </c>
      <c r="D149" s="20" t="inlineStr">
        <is>
          <t>0.000510</t>
        </is>
      </c>
      <c r="E149" s="20" t="inlineStr">
        <is>
          <t>0.200 SOL</t>
        </is>
      </c>
      <c r="F149" s="20" t="inlineStr">
        <is>
          <t>0.000 SOL</t>
        </is>
      </c>
      <c r="G149" s="17" t="inlineStr">
        <is>
          <t>-0.201 SOL</t>
        </is>
      </c>
      <c r="H149" s="17" t="inlineStr">
        <is>
          <t>0.00%</t>
        </is>
      </c>
      <c r="I149" s="20" t="inlineStr">
        <is>
          <t>35,407</t>
        </is>
      </c>
      <c r="J149" s="20" t="n">
        <v>1</v>
      </c>
      <c r="K149" s="20" t="n">
        <v>0</v>
      </c>
      <c r="L149" s="20" t="inlineStr">
        <is>
          <t>15.10.2024 17:02:18</t>
        </is>
      </c>
      <c r="M149" s="18" t="inlineStr">
        <is>
          <t>0 sec</t>
        </is>
      </c>
      <c r="N149" s="20" t="inlineStr">
        <is>
          <t xml:space="preserve">        992K           992K            31K</t>
        </is>
      </c>
      <c r="O149" s="20" t="inlineStr">
        <is>
          <t>CK8jBy1R7JKr6FMSmaHJGi8GS3XPryWFJ1ebX3Uvpump</t>
        </is>
      </c>
      <c r="P149" s="20">
        <f>HYPERLINK("https://dexscreener.com/solana/CK8jBy1R7JKr6FMSmaHJGi8GS3XPryWFJ1ebX3Uvpump", "View")</f>
        <v/>
      </c>
    </row>
    <row r="150">
      <c r="A150" s="15" t="inlineStr">
        <is>
          <t>Uman</t>
        </is>
      </c>
      <c r="B150" s="16" t="n">
        <v>33879</v>
      </c>
      <c r="C150" s="16" t="n">
        <v>0</v>
      </c>
      <c r="D150" s="16" t="inlineStr">
        <is>
          <t>0.000510</t>
        </is>
      </c>
      <c r="E150" s="16" t="inlineStr">
        <is>
          <t>0.200 SOL</t>
        </is>
      </c>
      <c r="F150" s="16" t="inlineStr">
        <is>
          <t>0.000 SOL</t>
        </is>
      </c>
      <c r="G150" s="17" t="inlineStr">
        <is>
          <t>-0.201 SOL</t>
        </is>
      </c>
      <c r="H150" s="17" t="inlineStr">
        <is>
          <t>0.00%</t>
        </is>
      </c>
      <c r="I150" s="16" t="inlineStr">
        <is>
          <t>33,879</t>
        </is>
      </c>
      <c r="J150" s="16" t="n">
        <v>1</v>
      </c>
      <c r="K150" s="16" t="n">
        <v>0</v>
      </c>
      <c r="L150" s="16" t="inlineStr">
        <is>
          <t>15.10.2024 16:19:09</t>
        </is>
      </c>
      <c r="M150" s="18" t="inlineStr">
        <is>
          <t>0 sec</t>
        </is>
      </c>
      <c r="N150" s="16" t="inlineStr">
        <is>
          <t xml:space="preserve">        932K           932K            18K</t>
        </is>
      </c>
      <c r="O150" s="16" t="inlineStr">
        <is>
          <t>6eN1RvN5xo8najYpou5tjJ7hcLweontu5EHPqSJBpump</t>
        </is>
      </c>
      <c r="P150" s="16">
        <f>HYPERLINK("https://dexscreener.com/solana/6eN1RvN5xo8najYpou5tjJ7hcLweontu5EHPqSJBpump", "View")</f>
        <v/>
      </c>
    </row>
    <row r="151">
      <c r="A151" s="19" t="inlineStr">
        <is>
          <t>ansemAI</t>
        </is>
      </c>
      <c r="B151" s="20" t="n">
        <v>2188680</v>
      </c>
      <c r="C151" s="20" t="n">
        <v>0</v>
      </c>
      <c r="D151" s="20" t="inlineStr">
        <is>
          <t>0.000510</t>
        </is>
      </c>
      <c r="E151" s="20" t="inlineStr">
        <is>
          <t>0.208 SOL</t>
        </is>
      </c>
      <c r="F151" s="20" t="inlineStr">
        <is>
          <t>0.000 SOL</t>
        </is>
      </c>
      <c r="G151" s="17" t="inlineStr">
        <is>
          <t>-0.208 SOL</t>
        </is>
      </c>
      <c r="H151" s="17" t="inlineStr">
        <is>
          <t>0.00%</t>
        </is>
      </c>
      <c r="I151" s="20" t="inlineStr">
        <is>
          <t>2,188,680</t>
        </is>
      </c>
      <c r="J151" s="20" t="n">
        <v>1</v>
      </c>
      <c r="K151" s="20" t="n">
        <v>0</v>
      </c>
      <c r="L151" s="20" t="inlineStr">
        <is>
          <t>15.10.2024 12:21:21</t>
        </is>
      </c>
      <c r="M151" s="18" t="inlineStr">
        <is>
          <t>0 sec</t>
        </is>
      </c>
      <c r="N151" s="20" t="inlineStr">
        <is>
          <t xml:space="preserve">        N/A           N/A           N/A</t>
        </is>
      </c>
      <c r="O151" s="20" t="inlineStr">
        <is>
          <t>8LqBfLdvZHbcmFXwnpwjyAyXFfRsbWkrUDnuXNbgpump</t>
        </is>
      </c>
      <c r="P151" s="20">
        <f>HYPERLINK("https://photon-sol.tinyastro.io/en/lp/8LqBfLdvZHbcmFXwnpwjyAyXFfRsbWkrUDnuXNbgpump?handle=676050794bc1b1657a56b", "View")</f>
        <v/>
      </c>
    </row>
    <row r="152">
      <c r="A152" s="15" t="inlineStr">
        <is>
          <t>TMW</t>
        </is>
      </c>
      <c r="B152" s="16" t="n">
        <v>2434690</v>
      </c>
      <c r="C152" s="16" t="n">
        <v>0</v>
      </c>
      <c r="D152" s="16" t="inlineStr">
        <is>
          <t>0.000510</t>
        </is>
      </c>
      <c r="E152" s="16" t="inlineStr">
        <is>
          <t>0.208 SOL</t>
        </is>
      </c>
      <c r="F152" s="16" t="inlineStr">
        <is>
          <t>0.000 SOL</t>
        </is>
      </c>
      <c r="G152" s="17" t="inlineStr">
        <is>
          <t>-0.208 SOL</t>
        </is>
      </c>
      <c r="H152" s="17" t="inlineStr">
        <is>
          <t>0.00%</t>
        </is>
      </c>
      <c r="I152" s="16" t="inlineStr">
        <is>
          <t>2,434,690</t>
        </is>
      </c>
      <c r="J152" s="16" t="n">
        <v>1</v>
      </c>
      <c r="K152" s="16" t="n">
        <v>0</v>
      </c>
      <c r="L152" s="16" t="inlineStr">
        <is>
          <t>15.10.2024 09:34:15</t>
        </is>
      </c>
      <c r="M152" s="18" t="inlineStr">
        <is>
          <t>0 sec</t>
        </is>
      </c>
      <c r="N152" s="16" t="inlineStr">
        <is>
          <t xml:space="preserve">        N/A           N/A           N/A</t>
        </is>
      </c>
      <c r="O152" s="16" t="inlineStr">
        <is>
          <t>2PfvSNZwvzpZiRTFDyrDdrXzz4Vhp3QfAgCyYhUcpump</t>
        </is>
      </c>
      <c r="P152" s="16">
        <f>HYPERLINK("https://photon-sol.tinyastro.io/en/lp/2PfvSNZwvzpZiRTFDyrDdrXzz4Vhp3QfAgCyYhUcpump?handle=676050794bc1b1657a56b", "View")</f>
        <v/>
      </c>
    </row>
    <row r="153">
      <c r="A153" s="19" t="inlineStr">
        <is>
          <t>SPROTO</t>
        </is>
      </c>
      <c r="B153" s="20" t="n">
        <v>4136532</v>
      </c>
      <c r="C153" s="20" t="n">
        <v>0</v>
      </c>
      <c r="D153" s="20" t="inlineStr">
        <is>
          <t>0.000510</t>
        </is>
      </c>
      <c r="E153" s="20" t="inlineStr">
        <is>
          <t>0.200 SOL</t>
        </is>
      </c>
      <c r="F153" s="20" t="inlineStr">
        <is>
          <t>0.000 SOL</t>
        </is>
      </c>
      <c r="G153" s="17" t="inlineStr">
        <is>
          <t>-0.201 SOL</t>
        </is>
      </c>
      <c r="H153" s="17" t="inlineStr">
        <is>
          <t>0.00%</t>
        </is>
      </c>
      <c r="I153" s="20" t="inlineStr">
        <is>
          <t>4,136,532</t>
        </is>
      </c>
      <c r="J153" s="20" t="n">
        <v>1</v>
      </c>
      <c r="K153" s="20" t="n">
        <v>0</v>
      </c>
      <c r="L153" s="20" t="inlineStr">
        <is>
          <t>14.10.2024 17:58:59</t>
        </is>
      </c>
      <c r="M153" s="18" t="inlineStr">
        <is>
          <t>0 sec</t>
        </is>
      </c>
      <c r="N153" s="20" t="inlineStr">
        <is>
          <t xml:space="preserve">          9K             9K             3K</t>
        </is>
      </c>
      <c r="O153" s="20" t="inlineStr">
        <is>
          <t>62Sz7hkGT7S3AJbhtfxtZax6iRSa8b3r5DweXDC7pump</t>
        </is>
      </c>
      <c r="P153" s="20">
        <f>HYPERLINK("https://dexscreener.com/solana/62Sz7hkGT7S3AJbhtfxtZax6iRSa8b3r5DweXDC7pump", "View")</f>
        <v/>
      </c>
    </row>
    <row r="154">
      <c r="A154" s="15" t="inlineStr">
        <is>
          <t>DRAGO</t>
        </is>
      </c>
      <c r="B154" s="16" t="n">
        <v>1217416</v>
      </c>
      <c r="C154" s="16" t="n">
        <v>0</v>
      </c>
      <c r="D154" s="16" t="inlineStr">
        <is>
          <t>0.000510</t>
        </is>
      </c>
      <c r="E154" s="16" t="inlineStr">
        <is>
          <t>0.200 SOL</t>
        </is>
      </c>
      <c r="F154" s="16" t="inlineStr">
        <is>
          <t>0.000 SOL</t>
        </is>
      </c>
      <c r="G154" s="17" t="inlineStr">
        <is>
          <t>-0.201 SOL</t>
        </is>
      </c>
      <c r="H154" s="17" t="inlineStr">
        <is>
          <t>0.00%</t>
        </is>
      </c>
      <c r="I154" s="16" t="inlineStr">
        <is>
          <t>1,217,416</t>
        </is>
      </c>
      <c r="J154" s="16" t="n">
        <v>1</v>
      </c>
      <c r="K154" s="16" t="n">
        <v>0</v>
      </c>
      <c r="L154" s="16" t="inlineStr">
        <is>
          <t>14.10.2024 15:33:23</t>
        </is>
      </c>
      <c r="M154" s="18" t="inlineStr">
        <is>
          <t>0 sec</t>
        </is>
      </c>
      <c r="N154" s="16" t="inlineStr">
        <is>
          <t xml:space="preserve">         27K            27K             4K</t>
        </is>
      </c>
      <c r="O154" s="16" t="inlineStr">
        <is>
          <t>GDLDsxnSq3nnzTQRSzpmdtkSMAQfAizX22s1nqbEpump</t>
        </is>
      </c>
      <c r="P154" s="16">
        <f>HYPERLINK("https://dexscreener.com/solana/GDLDsxnSq3nnzTQRSzpmdtkSMAQfAizX22s1nqbEpump", "View")</f>
        <v/>
      </c>
    </row>
    <row r="155">
      <c r="A155" s="19" t="inlineStr">
        <is>
          <t>Sophia</t>
        </is>
      </c>
      <c r="B155" s="20" t="n">
        <v>346979</v>
      </c>
      <c r="C155" s="20" t="n">
        <v>0</v>
      </c>
      <c r="D155" s="20" t="inlineStr">
        <is>
          <t>0.000510</t>
        </is>
      </c>
      <c r="E155" s="20" t="inlineStr">
        <is>
          <t>0.300 SOL</t>
        </is>
      </c>
      <c r="F155" s="20" t="inlineStr">
        <is>
          <t>0.000 SOL</t>
        </is>
      </c>
      <c r="G155" s="17" t="inlineStr">
        <is>
          <t>-0.301 SOL</t>
        </is>
      </c>
      <c r="H155" s="17" t="inlineStr">
        <is>
          <t>0.00%</t>
        </is>
      </c>
      <c r="I155" s="20" t="inlineStr">
        <is>
          <t>346,979</t>
        </is>
      </c>
      <c r="J155" s="20" t="n">
        <v>1</v>
      </c>
      <c r="K155" s="20" t="n">
        <v>0</v>
      </c>
      <c r="L155" s="20" t="inlineStr">
        <is>
          <t>14.10.2024 10:21:21</t>
        </is>
      </c>
      <c r="M155" s="18" t="inlineStr">
        <is>
          <t>0 sec</t>
        </is>
      </c>
      <c r="N155" s="20" t="inlineStr">
        <is>
          <t xml:space="preserve">        151K           151K             7K</t>
        </is>
      </c>
      <c r="O155" s="20" t="inlineStr">
        <is>
          <t>9VhXzgWS9kveRVi8JQdf129nZha3Ugr7sZGmm9Dypump</t>
        </is>
      </c>
      <c r="P155" s="20">
        <f>HYPERLINK("https://dexscreener.com/solana/9VhXzgWS9kveRVi8JQdf129nZha3Ugr7sZGmm9Dypump", "View")</f>
        <v/>
      </c>
    </row>
    <row r="156">
      <c r="A156" s="15" t="inlineStr">
        <is>
          <t>rich</t>
        </is>
      </c>
      <c r="B156" s="16" t="n">
        <v>2596858</v>
      </c>
      <c r="C156" s="16" t="n">
        <v>2596858</v>
      </c>
      <c r="D156" s="16" t="inlineStr">
        <is>
          <t>0.001520</t>
        </is>
      </c>
      <c r="E156" s="16" t="inlineStr">
        <is>
          <t>0.208 SOL</t>
        </is>
      </c>
      <c r="F156" s="16" t="inlineStr">
        <is>
          <t>1.371 SOL</t>
        </is>
      </c>
      <c r="G156" s="23" t="inlineStr">
        <is>
          <t>1.162 SOL</t>
        </is>
      </c>
      <c r="H156" s="23" t="inlineStr">
        <is>
          <t>554.89%</t>
        </is>
      </c>
      <c r="I156" s="16" t="inlineStr">
        <is>
          <t>N/A</t>
        </is>
      </c>
      <c r="J156" s="16" t="n">
        <v>1</v>
      </c>
      <c r="K156" s="16" t="n">
        <v>2</v>
      </c>
      <c r="L156" s="16" t="inlineStr">
        <is>
          <t>14.10.2024 00:04:59</t>
        </is>
      </c>
      <c r="M156" s="16" t="inlineStr">
        <is>
          <t>4 days</t>
        </is>
      </c>
      <c r="N156" s="16" t="inlineStr">
        <is>
          <t xml:space="preserve">         14K            79K             7K</t>
        </is>
      </c>
      <c r="O156" s="16" t="inlineStr">
        <is>
          <t>J9q4yhjE5iv73RL8rnDJH9p9krRh3CmghKn9qjtepump</t>
        </is>
      </c>
      <c r="P156" s="16">
        <f>HYPERLINK("https://photon-sol.tinyastro.io/en/lp/J9q4yhjE5iv73RL8rnDJH9p9krRh3CmghKn9qjtepump?handle=676050794bc1b1657a56b", "View")</f>
        <v/>
      </c>
    </row>
    <row r="157">
      <c r="A157" s="19" t="inlineStr">
        <is>
          <t>crocs</t>
        </is>
      </c>
      <c r="B157" s="20" t="n">
        <v>20598</v>
      </c>
      <c r="C157" s="20" t="n">
        <v>0</v>
      </c>
      <c r="D157" s="20" t="inlineStr">
        <is>
          <t>0.000510</t>
        </is>
      </c>
      <c r="E157" s="20" t="inlineStr">
        <is>
          <t>0.300 SOL</t>
        </is>
      </c>
      <c r="F157" s="20" t="inlineStr">
        <is>
          <t>0.000 SOL</t>
        </is>
      </c>
      <c r="G157" s="17" t="inlineStr">
        <is>
          <t>-0.301 SOL</t>
        </is>
      </c>
      <c r="H157" s="17" t="inlineStr">
        <is>
          <t>0.00%</t>
        </is>
      </c>
      <c r="I157" s="20" t="inlineStr">
        <is>
          <t>20,598</t>
        </is>
      </c>
      <c r="J157" s="20" t="n">
        <v>1</v>
      </c>
      <c r="K157" s="20" t="n">
        <v>0</v>
      </c>
      <c r="L157" s="20" t="inlineStr">
        <is>
          <t>13.10.2024 17:42:06</t>
        </is>
      </c>
      <c r="M157" s="18" t="inlineStr">
        <is>
          <t>0 sec</t>
        </is>
      </c>
      <c r="N157" s="20" t="inlineStr">
        <is>
          <t xml:space="preserve">          3M             3M            31K</t>
        </is>
      </c>
      <c r="O157" s="20" t="inlineStr">
        <is>
          <t>CKMYq8fN5NyqEhttWr8xj4Q2fyEJv686QANnT7dopump</t>
        </is>
      </c>
      <c r="P157" s="20">
        <f>HYPERLINK("https://dexscreener.com/solana/CKMYq8fN5NyqEhttWr8xj4Q2fyEJv686QANnT7dopump", "View")</f>
        <v/>
      </c>
    </row>
    <row r="158">
      <c r="A158" s="15" t="inlineStr">
        <is>
          <t>BELIEF</t>
        </is>
      </c>
      <c r="B158" s="16" t="n">
        <v>713900</v>
      </c>
      <c r="C158" s="16" t="n">
        <v>0</v>
      </c>
      <c r="D158" s="16" t="inlineStr">
        <is>
          <t>0.000510</t>
        </is>
      </c>
      <c r="E158" s="16" t="inlineStr">
        <is>
          <t>0.300 SOL</t>
        </is>
      </c>
      <c r="F158" s="16" t="inlineStr">
        <is>
          <t>0.000 SOL</t>
        </is>
      </c>
      <c r="G158" s="17" t="inlineStr">
        <is>
          <t>-0.301 SOL</t>
        </is>
      </c>
      <c r="H158" s="17" t="inlineStr">
        <is>
          <t>0.00%</t>
        </is>
      </c>
      <c r="I158" s="16" t="inlineStr">
        <is>
          <t>713,900</t>
        </is>
      </c>
      <c r="J158" s="16" t="n">
        <v>1</v>
      </c>
      <c r="K158" s="16" t="n">
        <v>0</v>
      </c>
      <c r="L158" s="16" t="inlineStr">
        <is>
          <t>13.10.2024 15:31:20</t>
        </is>
      </c>
      <c r="M158" s="18" t="inlineStr">
        <is>
          <t>0 sec</t>
        </is>
      </c>
      <c r="N158" s="16" t="inlineStr">
        <is>
          <t xml:space="preserve">         74K            74K             7K</t>
        </is>
      </c>
      <c r="O158" s="16" t="inlineStr">
        <is>
          <t>CnYg84LttGevujHp38f9V17hW8p7d8HF7R1DuyeFpump</t>
        </is>
      </c>
      <c r="P158" s="16">
        <f>HYPERLINK("https://dexscreener.com/solana/CnYg84LttGevujHp38f9V17hW8p7d8HF7R1DuyeFpump", "View")</f>
        <v/>
      </c>
    </row>
    <row r="159">
      <c r="A159" s="19" t="inlineStr">
        <is>
          <t>MEAT</t>
        </is>
      </c>
      <c r="B159" s="20" t="n">
        <v>2316125</v>
      </c>
      <c r="C159" s="20" t="n">
        <v>0</v>
      </c>
      <c r="D159" s="20" t="inlineStr">
        <is>
          <t>0.000510</t>
        </is>
      </c>
      <c r="E159" s="20" t="inlineStr">
        <is>
          <t>0.105 SOL</t>
        </is>
      </c>
      <c r="F159" s="20" t="inlineStr">
        <is>
          <t>0.000 SOL</t>
        </is>
      </c>
      <c r="G159" s="17" t="inlineStr">
        <is>
          <t>-0.106 SOL</t>
        </is>
      </c>
      <c r="H159" s="17" t="inlineStr">
        <is>
          <t>0.00%</t>
        </is>
      </c>
      <c r="I159" s="20" t="inlineStr">
        <is>
          <t>2,316,125</t>
        </is>
      </c>
      <c r="J159" s="20" t="n">
        <v>1</v>
      </c>
      <c r="K159" s="20" t="n">
        <v>0</v>
      </c>
      <c r="L159" s="20" t="inlineStr">
        <is>
          <t>12.10.2024 18:56:01</t>
        </is>
      </c>
      <c r="M159" s="18" t="inlineStr">
        <is>
          <t>0 sec</t>
        </is>
      </c>
      <c r="N159" s="20" t="inlineStr">
        <is>
          <t xml:space="preserve">        N/A           N/A           N/A</t>
        </is>
      </c>
      <c r="O159" s="20" t="inlineStr">
        <is>
          <t>Ae5KSdFDsDeBGB54iB2dV9ibA49z8Vomu57xQ1kNpump</t>
        </is>
      </c>
      <c r="P159" s="20">
        <f>HYPERLINK("https://photon-sol.tinyastro.io/en/lp/Ae5KSdFDsDeBGB54iB2dV9ibA49z8Vomu57xQ1kNpump?handle=676050794bc1b1657a56b", "View")</f>
        <v/>
      </c>
    </row>
    <row r="160">
      <c r="A160" s="15" t="inlineStr">
        <is>
          <t>early</t>
        </is>
      </c>
      <c r="B160" s="16" t="n">
        <v>534325</v>
      </c>
      <c r="C160" s="16" t="n">
        <v>0</v>
      </c>
      <c r="D160" s="16" t="inlineStr">
        <is>
          <t>0.000510</t>
        </is>
      </c>
      <c r="E160" s="16" t="inlineStr">
        <is>
          <t>0.200 SOL</t>
        </is>
      </c>
      <c r="F160" s="16" t="inlineStr">
        <is>
          <t>0.000 SOL</t>
        </is>
      </c>
      <c r="G160" s="17" t="inlineStr">
        <is>
          <t>-0.201 SOL</t>
        </is>
      </c>
      <c r="H160" s="17" t="inlineStr">
        <is>
          <t>0.00%</t>
        </is>
      </c>
      <c r="I160" s="16" t="inlineStr">
        <is>
          <t>534,325</t>
        </is>
      </c>
      <c r="J160" s="16" t="n">
        <v>1</v>
      </c>
      <c r="K160" s="16" t="n">
        <v>0</v>
      </c>
      <c r="L160" s="16" t="inlineStr">
        <is>
          <t>12.10.2024 11:37:51</t>
        </is>
      </c>
      <c r="M160" s="18" t="inlineStr">
        <is>
          <t>0 sec</t>
        </is>
      </c>
      <c r="N160" s="16" t="inlineStr">
        <is>
          <t xml:space="preserve">         65K            65K             7K</t>
        </is>
      </c>
      <c r="O160" s="16" t="inlineStr">
        <is>
          <t>FkYjJHpeNRbZfRSWZmwP4cY7pPGecf3aL4rXv68dpump</t>
        </is>
      </c>
      <c r="P160" s="16">
        <f>HYPERLINK("https://dexscreener.com/solana/FkYjJHpeNRbZfRSWZmwP4cY7pPGecf3aL4rXv68dpump", "View")</f>
        <v/>
      </c>
    </row>
    <row r="161">
      <c r="A161" s="19" t="inlineStr">
        <is>
          <t>MELODY</t>
        </is>
      </c>
      <c r="B161" s="20" t="n">
        <v>5843208</v>
      </c>
      <c r="C161" s="20" t="n">
        <v>0</v>
      </c>
      <c r="D161" s="20" t="inlineStr">
        <is>
          <t>0.000510</t>
        </is>
      </c>
      <c r="E161" s="20" t="inlineStr">
        <is>
          <t>0.208 SOL</t>
        </is>
      </c>
      <c r="F161" s="20" t="inlineStr">
        <is>
          <t>0.000 SOL</t>
        </is>
      </c>
      <c r="G161" s="17" t="inlineStr">
        <is>
          <t>-0.209 SOL</t>
        </is>
      </c>
      <c r="H161" s="17" t="inlineStr">
        <is>
          <t>0.00%</t>
        </is>
      </c>
      <c r="I161" s="20" t="inlineStr">
        <is>
          <t>5,843,208</t>
        </is>
      </c>
      <c r="J161" s="20" t="n">
        <v>1</v>
      </c>
      <c r="K161" s="20" t="n">
        <v>0</v>
      </c>
      <c r="L161" s="20" t="inlineStr">
        <is>
          <t>12.10.2024 08:19:29</t>
        </is>
      </c>
      <c r="M161" s="18" t="inlineStr">
        <is>
          <t>0 sec</t>
        </is>
      </c>
      <c r="N161" s="20" t="inlineStr">
        <is>
          <t xml:space="preserve">        N/A           N/A           N/A</t>
        </is>
      </c>
      <c r="O161" s="20" t="inlineStr">
        <is>
          <t>A8n4A8oJViUkgp3s8Uf6jYXZ4JN2Fhgg8tUCnLkmpump</t>
        </is>
      </c>
      <c r="P161" s="20">
        <f>HYPERLINK("https://photon-sol.tinyastro.io/en/lp/A8n4A8oJViUkgp3s8Uf6jYXZ4JN2Fhgg8tUCnLkmpump?handle=676050794bc1b1657a56b", "View")</f>
        <v/>
      </c>
    </row>
    <row r="162">
      <c r="A162" s="15" t="inlineStr">
        <is>
          <t>🔶</t>
        </is>
      </c>
      <c r="B162" s="16" t="n">
        <v>708398</v>
      </c>
      <c r="C162" s="16" t="n">
        <v>0</v>
      </c>
      <c r="D162" s="16" t="inlineStr">
        <is>
          <t>0.000510</t>
        </is>
      </c>
      <c r="E162" s="16" t="inlineStr">
        <is>
          <t>0.207 SOL</t>
        </is>
      </c>
      <c r="F162" s="16" t="inlineStr">
        <is>
          <t>0.000 SOL</t>
        </is>
      </c>
      <c r="G162" s="17" t="inlineStr">
        <is>
          <t>-0.208 SOL</t>
        </is>
      </c>
      <c r="H162" s="17" t="inlineStr">
        <is>
          <t>0.00%</t>
        </is>
      </c>
      <c r="I162" s="16" t="inlineStr">
        <is>
          <t>708,398</t>
        </is>
      </c>
      <c r="J162" s="16" t="n">
        <v>1</v>
      </c>
      <c r="K162" s="16" t="n">
        <v>0</v>
      </c>
      <c r="L162" s="16" t="inlineStr">
        <is>
          <t>12.10.2024 00:27:38</t>
        </is>
      </c>
      <c r="M162" s="18" t="inlineStr">
        <is>
          <t>0 sec</t>
        </is>
      </c>
      <c r="N162" s="16" t="inlineStr">
        <is>
          <t xml:space="preserve">         51K            51K             6K</t>
        </is>
      </c>
      <c r="O162" s="16" t="inlineStr">
        <is>
          <t>BMW73BViUBDKy3YwS9LMLcpf9o4tYBcvjk87GJYrpump</t>
        </is>
      </c>
      <c r="P162" s="16">
        <f>HYPERLINK("https://photon-sol.tinyastro.io/en/lp/BMW73BViUBDKy3YwS9LMLcpf9o4tYBcvjk87GJYrpump?handle=676050794bc1b1657a56b", "View")</f>
        <v/>
      </c>
    </row>
    <row r="163">
      <c r="A163" s="19" t="inlineStr">
        <is>
          <t>BOP</t>
        </is>
      </c>
      <c r="B163" s="20" t="n">
        <v>1219211</v>
      </c>
      <c r="C163" s="20" t="n">
        <v>1219211</v>
      </c>
      <c r="D163" s="20" t="inlineStr">
        <is>
          <t>0.001010</t>
        </is>
      </c>
      <c r="E163" s="20" t="inlineStr">
        <is>
          <t>0.193 SOL</t>
        </is>
      </c>
      <c r="F163" s="20" t="inlineStr">
        <is>
          <t>0.247 SOL</t>
        </is>
      </c>
      <c r="G163" s="22" t="inlineStr">
        <is>
          <t>0.053 SOL</t>
        </is>
      </c>
      <c r="H163" s="22" t="inlineStr">
        <is>
          <t>27.10%</t>
        </is>
      </c>
      <c r="I163" s="20" t="inlineStr">
        <is>
          <t>N/A</t>
        </is>
      </c>
      <c r="J163" s="20" t="n">
        <v>1</v>
      </c>
      <c r="K163" s="20" t="n">
        <v>1</v>
      </c>
      <c r="L163" s="20" t="inlineStr">
        <is>
          <t>11.10.2024 17:48:49</t>
        </is>
      </c>
      <c r="M163" s="20" t="inlineStr">
        <is>
          <t>13 min</t>
        </is>
      </c>
      <c r="N163" s="20" t="inlineStr">
        <is>
          <t xml:space="preserve">        N/A           N/A           N/A</t>
        </is>
      </c>
      <c r="O163" s="20" t="inlineStr">
        <is>
          <t>DorCpfqZaEd3FDDoYgtVEHHg5aQpD9TTUrcwXhEApump</t>
        </is>
      </c>
      <c r="P163" s="20">
        <f>HYPERLINK("https://photon-sol.tinyastro.io/en/lp/DorCpfqZaEd3FDDoYgtVEHHg5aQpD9TTUrcwXhEApump?handle=676050794bc1b1657a56b", "View")</f>
        <v/>
      </c>
    </row>
    <row r="164">
      <c r="A164" s="15" t="inlineStr">
        <is>
          <t>QUANT</t>
        </is>
      </c>
      <c r="B164" s="16" t="n">
        <v>94739</v>
      </c>
      <c r="C164" s="16" t="n">
        <v>94739</v>
      </c>
      <c r="D164" s="16" t="inlineStr">
        <is>
          <t>0.001010</t>
        </is>
      </c>
      <c r="E164" s="16" t="inlineStr">
        <is>
          <t>0.200 SOL</t>
        </is>
      </c>
      <c r="F164" s="16" t="inlineStr">
        <is>
          <t>0.320 SOL</t>
        </is>
      </c>
      <c r="G164" s="23" t="inlineStr">
        <is>
          <t>0.119 SOL</t>
        </is>
      </c>
      <c r="H164" s="23" t="inlineStr">
        <is>
          <t>59.32%</t>
        </is>
      </c>
      <c r="I164" s="16" t="inlineStr">
        <is>
          <t>N/A</t>
        </is>
      </c>
      <c r="J164" s="16" t="n">
        <v>1</v>
      </c>
      <c r="K164" s="16" t="n">
        <v>1</v>
      </c>
      <c r="L164" s="16" t="inlineStr">
        <is>
          <t>11.10.2024 17:46:25</t>
        </is>
      </c>
      <c r="M164" s="16" t="inlineStr">
        <is>
          <t>1 days</t>
        </is>
      </c>
      <c r="N164" s="16" t="inlineStr">
        <is>
          <t xml:space="preserve">        371K           594K            35K</t>
        </is>
      </c>
      <c r="O164" s="16" t="inlineStr">
        <is>
          <t>GVmFmB4KW8uXRfjiwbh9JcCRCBFtKy5SQ2BFvdoipump</t>
        </is>
      </c>
      <c r="P164" s="16">
        <f>HYPERLINK("https://dexscreener.com/solana/GVmFmB4KW8uXRfjiwbh9JcCRCBFtKy5SQ2BFvdoipump", "View")</f>
        <v/>
      </c>
    </row>
    <row r="165">
      <c r="A165" s="19" t="inlineStr">
        <is>
          <t>smurfette</t>
        </is>
      </c>
      <c r="B165" s="20" t="n">
        <v>187439</v>
      </c>
      <c r="C165" s="20" t="n">
        <v>187439</v>
      </c>
      <c r="D165" s="20" t="inlineStr">
        <is>
          <t>0.001010</t>
        </is>
      </c>
      <c r="E165" s="20" t="inlineStr">
        <is>
          <t>0.300 SOL</t>
        </is>
      </c>
      <c r="F165" s="20" t="inlineStr">
        <is>
          <t>0.321 SOL</t>
        </is>
      </c>
      <c r="G165" s="22" t="inlineStr">
        <is>
          <t>0.020 SOL</t>
        </is>
      </c>
      <c r="H165" s="22" t="inlineStr">
        <is>
          <t>6.64%</t>
        </is>
      </c>
      <c r="I165" s="20" t="inlineStr">
        <is>
          <t>N/A</t>
        </is>
      </c>
      <c r="J165" s="20" t="n">
        <v>1</v>
      </c>
      <c r="K165" s="20" t="n">
        <v>1</v>
      </c>
      <c r="L165" s="20" t="inlineStr">
        <is>
          <t>11.10.2024 17:46:04</t>
        </is>
      </c>
      <c r="M165" s="20" t="inlineStr">
        <is>
          <t>13 hours</t>
        </is>
      </c>
      <c r="N165" s="20" t="inlineStr">
        <is>
          <t xml:space="preserve">        281K           300K            88K</t>
        </is>
      </c>
      <c r="O165" s="20" t="inlineStr">
        <is>
          <t>6iezmEdeiUCzGGq4kjgyWvFDuajTPNWZqjzV3G2Qpump</t>
        </is>
      </c>
      <c r="P165" s="20">
        <f>HYPERLINK("https://dexscreener.com/solana/6iezmEdeiUCzGGq4kjgyWvFDuajTPNWZqjzV3G2Qpump", "View")</f>
        <v/>
      </c>
    </row>
    <row r="166">
      <c r="A166" s="15" t="inlineStr">
        <is>
          <t>PORK</t>
        </is>
      </c>
      <c r="B166" s="16" t="n">
        <v>793784</v>
      </c>
      <c r="C166" s="16" t="n">
        <v>793784</v>
      </c>
      <c r="D166" s="16" t="inlineStr">
        <is>
          <t>0.002020</t>
        </is>
      </c>
      <c r="E166" s="16" t="inlineStr">
        <is>
          <t>0.300 SOL</t>
        </is>
      </c>
      <c r="F166" s="16" t="inlineStr">
        <is>
          <t>0.983 SOL</t>
        </is>
      </c>
      <c r="G166" s="23" t="inlineStr">
        <is>
          <t>0.681 SOL</t>
        </is>
      </c>
      <c r="H166" s="23" t="inlineStr">
        <is>
          <t>225.51%</t>
        </is>
      </c>
      <c r="I166" s="16" t="inlineStr">
        <is>
          <t>N/A</t>
        </is>
      </c>
      <c r="J166" s="16" t="n">
        <v>1</v>
      </c>
      <c r="K166" s="16" t="n">
        <v>3</v>
      </c>
      <c r="L166" s="16" t="inlineStr">
        <is>
          <t>11.10.2024 17:36:43</t>
        </is>
      </c>
      <c r="M166" s="16" t="inlineStr">
        <is>
          <t>10 hours</t>
        </is>
      </c>
      <c r="N166" s="16" t="inlineStr">
        <is>
          <t xml:space="preserve">         67K           158K            12K</t>
        </is>
      </c>
      <c r="O166" s="16" t="inlineStr">
        <is>
          <t>53jNHSaRU9sTqrZ39Xnf2pSJCQv7o4SF62vCjNbpump</t>
        </is>
      </c>
      <c r="P166" s="16">
        <f>HYPERLINK("https://dexscreener.com/solana/53jNHSaRU9sTqrZ39Xnf2pSJCQv7o4SF62vCjNbpump", "View")</f>
        <v/>
      </c>
    </row>
    <row r="167">
      <c r="A167" s="19" t="inlineStr">
        <is>
          <t>SMURFETTE</t>
        </is>
      </c>
      <c r="B167" s="20" t="n">
        <v>3270284</v>
      </c>
      <c r="C167" s="20" t="n">
        <v>0</v>
      </c>
      <c r="D167" s="20" t="inlineStr">
        <is>
          <t>0.000510</t>
        </is>
      </c>
      <c r="E167" s="20" t="inlineStr">
        <is>
          <t>0.200 SOL</t>
        </is>
      </c>
      <c r="F167" s="20" t="inlineStr">
        <is>
          <t>0.000 SOL</t>
        </is>
      </c>
      <c r="G167" s="17" t="inlineStr">
        <is>
          <t>-0.201 SOL</t>
        </is>
      </c>
      <c r="H167" s="17" t="inlineStr">
        <is>
          <t>0.00%</t>
        </is>
      </c>
      <c r="I167" s="20" t="inlineStr">
        <is>
          <t>3,270,284</t>
        </is>
      </c>
      <c r="J167" s="20" t="n">
        <v>1</v>
      </c>
      <c r="K167" s="20" t="n">
        <v>0</v>
      </c>
      <c r="L167" s="20" t="inlineStr">
        <is>
          <t>11.10.2024 08:45:59</t>
        </is>
      </c>
      <c r="M167" s="18" t="inlineStr">
        <is>
          <t>0 sec</t>
        </is>
      </c>
      <c r="N167" s="20" t="inlineStr">
        <is>
          <t xml:space="preserve">        N/A           N/A           N/A</t>
        </is>
      </c>
      <c r="O167" s="20" t="inlineStr">
        <is>
          <t>7abctR6QzurGuxVk8DditiEA72uUn9wHHWtFHxyBsTEj</t>
        </is>
      </c>
      <c r="P167" s="20">
        <f>HYPERLINK("https://dexscreener.com/solana/7abctR6QzurGuxVk8DditiEA72uUn9wHHWtFHxyBsTEj", "View")</f>
        <v/>
      </c>
    </row>
    <row r="168">
      <c r="A168" s="15" t="inlineStr">
        <is>
          <t>Shaba</t>
        </is>
      </c>
      <c r="B168" s="16" t="n">
        <v>851494</v>
      </c>
      <c r="C168" s="16" t="n">
        <v>851494</v>
      </c>
      <c r="D168" s="16" t="inlineStr">
        <is>
          <t>0.001010</t>
        </is>
      </c>
      <c r="E168" s="16" t="inlineStr">
        <is>
          <t>0.200 SOL</t>
        </is>
      </c>
      <c r="F168" s="16" t="inlineStr">
        <is>
          <t>0.228 SOL</t>
        </is>
      </c>
      <c r="G168" s="22" t="inlineStr">
        <is>
          <t>0.027 SOL</t>
        </is>
      </c>
      <c r="H168" s="22" t="inlineStr">
        <is>
          <t>13.63%</t>
        </is>
      </c>
      <c r="I168" s="16" t="inlineStr">
        <is>
          <t>N/A</t>
        </is>
      </c>
      <c r="J168" s="16" t="n">
        <v>1</v>
      </c>
      <c r="K168" s="16" t="n">
        <v>1</v>
      </c>
      <c r="L168" s="16" t="inlineStr">
        <is>
          <t>11.10.2024 08:07:31</t>
        </is>
      </c>
      <c r="M168" s="16" t="inlineStr">
        <is>
          <t>1 hours</t>
        </is>
      </c>
      <c r="N168" s="16" t="inlineStr">
        <is>
          <t xml:space="preserve">         40K            47K             6K</t>
        </is>
      </c>
      <c r="O168" s="16" t="inlineStr">
        <is>
          <t>5jiZkSgsyj85cXxmWCBHdRx8Cxrft5Y2p7tNWpeNpump</t>
        </is>
      </c>
      <c r="P168" s="16">
        <f>HYPERLINK("https://dexscreener.com/solana/5jiZkSgsyj85cXxmWCBHdRx8Cxrft5Y2p7tNWpeNpump", "View")</f>
        <v/>
      </c>
    </row>
    <row r="169">
      <c r="A169" s="19" t="inlineStr">
        <is>
          <t>Nobuyo</t>
        </is>
      </c>
      <c r="B169" s="20" t="n">
        <v>1768901</v>
      </c>
      <c r="C169" s="20" t="n">
        <v>1768901</v>
      </c>
      <c r="D169" s="20" t="inlineStr">
        <is>
          <t>0.001010</t>
        </is>
      </c>
      <c r="E169" s="20" t="inlineStr">
        <is>
          <t>0.292 SOL</t>
        </is>
      </c>
      <c r="F169" s="20" t="inlineStr">
        <is>
          <t>0.463 SOL</t>
        </is>
      </c>
      <c r="G169" s="23" t="inlineStr">
        <is>
          <t>0.170 SOL</t>
        </is>
      </c>
      <c r="H169" s="23" t="inlineStr">
        <is>
          <t>58.09%</t>
        </is>
      </c>
      <c r="I169" s="20" t="inlineStr">
        <is>
          <t>N/A</t>
        </is>
      </c>
      <c r="J169" s="20" t="n">
        <v>1</v>
      </c>
      <c r="K169" s="20" t="n">
        <v>1</v>
      </c>
      <c r="L169" s="20" t="inlineStr">
        <is>
          <t>11.10.2024 07:51:58</t>
        </is>
      </c>
      <c r="M169" s="20" t="inlineStr">
        <is>
          <t>54 min</t>
        </is>
      </c>
      <c r="N169" s="20" t="inlineStr">
        <is>
          <t xml:space="preserve">         30K            46K             3K</t>
        </is>
      </c>
      <c r="O169" s="20" t="inlineStr">
        <is>
          <t>6HxX8oUwCjMjjaNzieXbMgXaagnat9KgTWKWqrEtpump</t>
        </is>
      </c>
      <c r="P169" s="20">
        <f>HYPERLINK("https://photon-sol.tinyastro.io/en/lp/6HxX8oUwCjMjjaNzieXbMgXaagnat9KgTWKWqrEtpump?handle=676050794bc1b1657a56b", "View")</f>
        <v/>
      </c>
    </row>
    <row r="170">
      <c r="A170" s="15" t="inlineStr">
        <is>
          <t>WHOPPER</t>
        </is>
      </c>
      <c r="B170" s="16" t="n">
        <v>3135864</v>
      </c>
      <c r="C170" s="16" t="n">
        <v>0</v>
      </c>
      <c r="D170" s="16" t="inlineStr">
        <is>
          <t>0.000510</t>
        </is>
      </c>
      <c r="E170" s="16" t="inlineStr">
        <is>
          <t>0.208 SOL</t>
        </is>
      </c>
      <c r="F170" s="16" t="inlineStr">
        <is>
          <t>0.000 SOL</t>
        </is>
      </c>
      <c r="G170" s="17" t="inlineStr">
        <is>
          <t>-0.208 SOL</t>
        </is>
      </c>
      <c r="H170" s="17" t="inlineStr">
        <is>
          <t>0.00%</t>
        </is>
      </c>
      <c r="I170" s="16" t="inlineStr">
        <is>
          <t>3,135,864</t>
        </is>
      </c>
      <c r="J170" s="16" t="n">
        <v>1</v>
      </c>
      <c r="K170" s="16" t="n">
        <v>0</v>
      </c>
      <c r="L170" s="16" t="inlineStr">
        <is>
          <t>11.10.2024 06:01:54</t>
        </is>
      </c>
      <c r="M170" s="18" t="inlineStr">
        <is>
          <t>0 sec</t>
        </is>
      </c>
      <c r="N170" s="16" t="inlineStr">
        <is>
          <t xml:space="preserve">        N/A           N/A           N/A</t>
        </is>
      </c>
      <c r="O170" s="16" t="inlineStr">
        <is>
          <t>HySoZufmgWF7vK4JNCcWzWJca3VYDzeNdwHTwmc9pump</t>
        </is>
      </c>
      <c r="P170" s="16">
        <f>HYPERLINK("https://photon-sol.tinyastro.io/en/lp/HySoZufmgWF7vK4JNCcWzWJca3VYDzeNdwHTwmc9pump?handle=676050794bc1b1657a56b", "View")</f>
        <v/>
      </c>
    </row>
    <row r="171">
      <c r="A171" s="19" t="inlineStr">
        <is>
          <t>WEROBOT</t>
        </is>
      </c>
      <c r="B171" s="20" t="n">
        <v>222547</v>
      </c>
      <c r="C171" s="20" t="n">
        <v>0</v>
      </c>
      <c r="D171" s="20" t="inlineStr">
        <is>
          <t>0.000510</t>
        </is>
      </c>
      <c r="E171" s="20" t="inlineStr">
        <is>
          <t>0.300 SOL</t>
        </is>
      </c>
      <c r="F171" s="20" t="inlineStr">
        <is>
          <t>0.000 SOL</t>
        </is>
      </c>
      <c r="G171" s="17" t="inlineStr">
        <is>
          <t>-0.300 SOL</t>
        </is>
      </c>
      <c r="H171" s="17" t="inlineStr">
        <is>
          <t>0.00%</t>
        </is>
      </c>
      <c r="I171" s="20" t="inlineStr">
        <is>
          <t>222,547</t>
        </is>
      </c>
      <c r="J171" s="20" t="n">
        <v>1</v>
      </c>
      <c r="K171" s="20" t="n">
        <v>0</v>
      </c>
      <c r="L171" s="20" t="inlineStr">
        <is>
          <t>11.10.2024 03:13:59</t>
        </is>
      </c>
      <c r="M171" s="18" t="inlineStr">
        <is>
          <t>0 sec</t>
        </is>
      </c>
      <c r="N171" s="20" t="inlineStr">
        <is>
          <t xml:space="preserve">        237K           237K            10K</t>
        </is>
      </c>
      <c r="O171" s="20" t="inlineStr">
        <is>
          <t>9HXGd6x6pBZr2BuGc7LREr5BG1mRgD6ujhQRf59Rpump</t>
        </is>
      </c>
      <c r="P171" s="20">
        <f>HYPERLINK("https://dexscreener.com/solana/9HXGd6x6pBZr2BuGc7LREr5BG1mRgD6ujhQRf59Rpump", "View")</f>
        <v/>
      </c>
    </row>
    <row r="172">
      <c r="A172" s="15" t="inlineStr">
        <is>
          <t>PATTY</t>
        </is>
      </c>
      <c r="B172" s="16" t="n">
        <v>3028741</v>
      </c>
      <c r="C172" s="16" t="n">
        <v>0</v>
      </c>
      <c r="D172" s="16" t="inlineStr">
        <is>
          <t>0.001010</t>
        </is>
      </c>
      <c r="E172" s="16" t="inlineStr">
        <is>
          <t>0.500 SOL</t>
        </is>
      </c>
      <c r="F172" s="16" t="inlineStr">
        <is>
          <t>0.000 SOL</t>
        </is>
      </c>
      <c r="G172" s="17" t="inlineStr">
        <is>
          <t>-0.501 SOL</t>
        </is>
      </c>
      <c r="H172" s="17" t="inlineStr">
        <is>
          <t>0.00%</t>
        </is>
      </c>
      <c r="I172" s="16" t="inlineStr">
        <is>
          <t>3,028,741</t>
        </is>
      </c>
      <c r="J172" s="16" t="n">
        <v>2</v>
      </c>
      <c r="K172" s="16" t="n">
        <v>0</v>
      </c>
      <c r="L172" s="16" t="inlineStr">
        <is>
          <t>11.10.2024 03:09:10</t>
        </is>
      </c>
      <c r="M172" s="16" t="inlineStr">
        <is>
          <t>6 min</t>
        </is>
      </c>
      <c r="N172" s="16" t="inlineStr">
        <is>
          <t xml:space="preserve">         39K            25K             4K</t>
        </is>
      </c>
      <c r="O172" s="16" t="inlineStr">
        <is>
          <t>BxvSGuc26xfJUuRSrnTM7DZk9A8zTPxdcGRvbd25pump</t>
        </is>
      </c>
      <c r="P172" s="16">
        <f>HYPERLINK("https://dexscreener.com/solana/BxvSGuc26xfJUuRSrnTM7DZk9A8zTPxdcGRvbd25pump", "View")</f>
        <v/>
      </c>
    </row>
    <row r="173">
      <c r="A173" s="19" t="inlineStr">
        <is>
          <t>SAHIL</t>
        </is>
      </c>
      <c r="B173" s="20" t="n">
        <v>1027575</v>
      </c>
      <c r="C173" s="20" t="n">
        <v>0</v>
      </c>
      <c r="D173" s="20" t="inlineStr">
        <is>
          <t>0.000510</t>
        </is>
      </c>
      <c r="E173" s="20" t="inlineStr">
        <is>
          <t>0.201 SOL</t>
        </is>
      </c>
      <c r="F173" s="20" t="inlineStr">
        <is>
          <t>0.000 SOL</t>
        </is>
      </c>
      <c r="G173" s="17" t="inlineStr">
        <is>
          <t>-0.202 SOL</t>
        </is>
      </c>
      <c r="H173" s="17" t="inlineStr">
        <is>
          <t>0.00%</t>
        </is>
      </c>
      <c r="I173" s="20" t="inlineStr">
        <is>
          <t>1,027,575</t>
        </is>
      </c>
      <c r="J173" s="20" t="n">
        <v>1</v>
      </c>
      <c r="K173" s="20" t="n">
        <v>0</v>
      </c>
      <c r="L173" s="20" t="inlineStr">
        <is>
          <t>10.10.2024 16:49:38</t>
        </is>
      </c>
      <c r="M173" s="18" t="inlineStr">
        <is>
          <t>0 sec</t>
        </is>
      </c>
      <c r="N173" s="20" t="inlineStr">
        <is>
          <t xml:space="preserve">         35K            35K             4K</t>
        </is>
      </c>
      <c r="O173" s="20" t="inlineStr">
        <is>
          <t>9LBKYFG3XyzGPfEXMQe99rXyRuF7DsJeLRKj3JKKpump</t>
        </is>
      </c>
      <c r="P173" s="20">
        <f>HYPERLINK("https://photon-sol.tinyastro.io/en/lp/9LBKYFG3XyzGPfEXMQe99rXyRuF7DsJeLRKj3JKKpump?handle=676050794bc1b1657a56b", "View")</f>
        <v/>
      </c>
    </row>
    <row r="174">
      <c r="A174" s="15" t="inlineStr">
        <is>
          <t>LINABELL</t>
        </is>
      </c>
      <c r="B174" s="16" t="n">
        <v>630733</v>
      </c>
      <c r="C174" s="16" t="n">
        <v>0</v>
      </c>
      <c r="D174" s="16" t="inlineStr">
        <is>
          <t>0.000510</t>
        </is>
      </c>
      <c r="E174" s="16" t="inlineStr">
        <is>
          <t>0.200 SOL</t>
        </is>
      </c>
      <c r="F174" s="16" t="inlineStr">
        <is>
          <t>0.000 SOL</t>
        </is>
      </c>
      <c r="G174" s="17" t="inlineStr">
        <is>
          <t>-0.201 SOL</t>
        </is>
      </c>
      <c r="H174" s="17" t="inlineStr">
        <is>
          <t>0.00%</t>
        </is>
      </c>
      <c r="I174" s="16" t="inlineStr">
        <is>
          <t>630,733</t>
        </is>
      </c>
      <c r="J174" s="16" t="n">
        <v>1</v>
      </c>
      <c r="K174" s="16" t="n">
        <v>0</v>
      </c>
      <c r="L174" s="16" t="inlineStr">
        <is>
          <t>10.10.2024 10:35:58</t>
        </is>
      </c>
      <c r="M174" s="18" t="inlineStr">
        <is>
          <t>0 sec</t>
        </is>
      </c>
      <c r="N174" s="16" t="inlineStr">
        <is>
          <t xml:space="preserve">         56K            56K             7K</t>
        </is>
      </c>
      <c r="O174" s="16" t="inlineStr">
        <is>
          <t>EN8YG7UW8r1gt2UXecStgVyjigm9neDAJnBBXoX5pump</t>
        </is>
      </c>
      <c r="P174" s="16">
        <f>HYPERLINK("https://dexscreener.com/solana/EN8YG7UW8r1gt2UXecStgVyjigm9neDAJnBBXoX5pump", "View")</f>
        <v/>
      </c>
    </row>
    <row r="175">
      <c r="A175" s="19" t="inlineStr">
        <is>
          <t>$MIHARU</t>
        </is>
      </c>
      <c r="B175" s="20" t="n">
        <v>1124457</v>
      </c>
      <c r="C175" s="20" t="n">
        <v>1124457</v>
      </c>
      <c r="D175" s="20" t="inlineStr">
        <is>
          <t>0.001520</t>
        </is>
      </c>
      <c r="E175" s="20" t="inlineStr">
        <is>
          <t>0.200 SOL</t>
        </is>
      </c>
      <c r="F175" s="20" t="inlineStr">
        <is>
          <t>0.553 SOL</t>
        </is>
      </c>
      <c r="G175" s="23" t="inlineStr">
        <is>
          <t>0.351 SOL</t>
        </is>
      </c>
      <c r="H175" s="23" t="inlineStr">
        <is>
          <t>174.30%</t>
        </is>
      </c>
      <c r="I175" s="20" t="inlineStr">
        <is>
          <t>N/A</t>
        </is>
      </c>
      <c r="J175" s="20" t="n">
        <v>1</v>
      </c>
      <c r="K175" s="20" t="n">
        <v>2</v>
      </c>
      <c r="L175" s="20" t="inlineStr">
        <is>
          <t>09.10.2024 17:13:16</t>
        </is>
      </c>
      <c r="M175" s="20" t="inlineStr">
        <is>
          <t>53 min</t>
        </is>
      </c>
      <c r="N175" s="20" t="inlineStr">
        <is>
          <t xml:space="preserve">         32K            77K           394K</t>
        </is>
      </c>
      <c r="O175" s="20" t="inlineStr">
        <is>
          <t>2eCVVZ4tomqn4eyuA9Gh5PSKrjNXGwgMhPALGtAkpump</t>
        </is>
      </c>
      <c r="P175" s="20">
        <f>HYPERLINK("https://dexscreener.com/solana/2eCVVZ4tomqn4eyuA9Gh5PSKrjNXGwgMhPALGtAkpump", "View")</f>
        <v/>
      </c>
    </row>
    <row r="176">
      <c r="A176" s="15" t="inlineStr">
        <is>
          <t>MB</t>
        </is>
      </c>
      <c r="B176" s="16" t="n">
        <v>1327465</v>
      </c>
      <c r="C176" s="16" t="n">
        <v>1327465</v>
      </c>
      <c r="D176" s="16" t="inlineStr">
        <is>
          <t>0.001010</t>
        </is>
      </c>
      <c r="E176" s="16" t="inlineStr">
        <is>
          <t>0.200 SOL</t>
        </is>
      </c>
      <c r="F176" s="16" t="inlineStr">
        <is>
          <t>0.333 SOL</t>
        </is>
      </c>
      <c r="G176" s="23" t="inlineStr">
        <is>
          <t>0.132 SOL</t>
        </is>
      </c>
      <c r="H176" s="23" t="inlineStr">
        <is>
          <t>65.53%</t>
        </is>
      </c>
      <c r="I176" s="16" t="inlineStr">
        <is>
          <t>N/A</t>
        </is>
      </c>
      <c r="J176" s="16" t="n">
        <v>1</v>
      </c>
      <c r="K176" s="16" t="n">
        <v>1</v>
      </c>
      <c r="L176" s="16" t="inlineStr">
        <is>
          <t>09.10.2024 10:55:31</t>
        </is>
      </c>
      <c r="M176" s="16" t="inlineStr">
        <is>
          <t>6 hours</t>
        </is>
      </c>
      <c r="N176" s="16" t="inlineStr">
        <is>
          <t xml:space="preserve">         26K            44K            11K</t>
        </is>
      </c>
      <c r="O176" s="16" t="inlineStr">
        <is>
          <t>5nQ7yjbQQacXUFg6vm4PkguizC4Rps55kzZsf6c3pump</t>
        </is>
      </c>
      <c r="P176" s="16">
        <f>HYPERLINK("https://dexscreener.com/solana/5nQ7yjbQQacXUFg6vm4PkguizC4Rps55kzZsf6c3pump", "View")</f>
        <v/>
      </c>
    </row>
    <row r="177">
      <c r="A177" s="19" t="inlineStr">
        <is>
          <t>TOOTSIE</t>
        </is>
      </c>
      <c r="B177" s="20" t="n">
        <v>559768</v>
      </c>
      <c r="C177" s="20" t="n">
        <v>0</v>
      </c>
      <c r="D177" s="20" t="inlineStr">
        <is>
          <t>0.000510</t>
        </is>
      </c>
      <c r="E177" s="20" t="inlineStr">
        <is>
          <t>0.300 SOL</t>
        </is>
      </c>
      <c r="F177" s="20" t="inlineStr">
        <is>
          <t>0.000 SOL</t>
        </is>
      </c>
      <c r="G177" s="17" t="inlineStr">
        <is>
          <t>-0.300 SOL</t>
        </is>
      </c>
      <c r="H177" s="17" t="inlineStr">
        <is>
          <t>0.00%</t>
        </is>
      </c>
      <c r="I177" s="20" t="inlineStr">
        <is>
          <t>559,768</t>
        </is>
      </c>
      <c r="J177" s="20" t="n">
        <v>1</v>
      </c>
      <c r="K177" s="20" t="n">
        <v>0</v>
      </c>
      <c r="L177" s="20" t="inlineStr">
        <is>
          <t>09.10.2024 09:56:21</t>
        </is>
      </c>
      <c r="M177" s="18" t="inlineStr">
        <is>
          <t>0 sec</t>
        </is>
      </c>
      <c r="N177" s="20" t="inlineStr">
        <is>
          <t xml:space="preserve">         95K            95K             4K</t>
        </is>
      </c>
      <c r="O177" s="20" t="inlineStr">
        <is>
          <t>J4Xqse53y3shAo4sm7HZV9jP5mNsHXnHmdoUnTr5pump</t>
        </is>
      </c>
      <c r="P177" s="20">
        <f>HYPERLINK("https://dexscreener.com/solana/J4Xqse53y3shAo4sm7HZV9jP5mNsHXnHmdoUnTr5pump", "View")</f>
        <v/>
      </c>
    </row>
    <row r="178">
      <c r="A178" s="15" t="inlineStr">
        <is>
          <t>TEKDENG</t>
        </is>
      </c>
      <c r="B178" s="16" t="n">
        <v>2545902</v>
      </c>
      <c r="C178" s="16" t="n">
        <v>0</v>
      </c>
      <c r="D178" s="16" t="inlineStr">
        <is>
          <t>0.000510</t>
        </is>
      </c>
      <c r="E178" s="16" t="inlineStr">
        <is>
          <t>0.209 SOL</t>
        </is>
      </c>
      <c r="F178" s="16" t="inlineStr">
        <is>
          <t>0.000 SOL</t>
        </is>
      </c>
      <c r="G178" s="17" t="inlineStr">
        <is>
          <t>-0.210 SOL</t>
        </is>
      </c>
      <c r="H178" s="17" t="inlineStr">
        <is>
          <t>0.00%</t>
        </is>
      </c>
      <c r="I178" s="16" t="inlineStr">
        <is>
          <t>2,545,902</t>
        </is>
      </c>
      <c r="J178" s="16" t="n">
        <v>1</v>
      </c>
      <c r="K178" s="16" t="n">
        <v>0</v>
      </c>
      <c r="L178" s="16" t="inlineStr">
        <is>
          <t>09.10.2024 07:07:32</t>
        </is>
      </c>
      <c r="M178" s="18" t="inlineStr">
        <is>
          <t>0 sec</t>
        </is>
      </c>
      <c r="N178" s="16" t="inlineStr">
        <is>
          <t xml:space="preserve">        N/A           N/A           N/A</t>
        </is>
      </c>
      <c r="O178" s="16" t="inlineStr">
        <is>
          <t>DYrAgNbJVGdWShViJTwG1qrAKdRJjM7w4UZy2tRApump</t>
        </is>
      </c>
      <c r="P178" s="16">
        <f>HYPERLINK("https://photon-sol.tinyastro.io/en/lp/DYrAgNbJVGdWShViJTwG1qrAKdRJjM7w4UZy2tRApump?handle=676050794bc1b1657a56b", "View")</f>
        <v/>
      </c>
    </row>
    <row r="179">
      <c r="A179" s="19" t="inlineStr">
        <is>
          <t>POPDENG</t>
        </is>
      </c>
      <c r="B179" s="20" t="n">
        <v>1499698</v>
      </c>
      <c r="C179" s="20" t="n">
        <v>0</v>
      </c>
      <c r="D179" s="20" t="inlineStr">
        <is>
          <t>0.000510</t>
        </is>
      </c>
      <c r="E179" s="20" t="inlineStr">
        <is>
          <t>0.318 SOL</t>
        </is>
      </c>
      <c r="F179" s="20" t="inlineStr">
        <is>
          <t>0.000 SOL</t>
        </is>
      </c>
      <c r="G179" s="17" t="inlineStr">
        <is>
          <t>-0.318 SOL</t>
        </is>
      </c>
      <c r="H179" s="17" t="inlineStr">
        <is>
          <t>0.00%</t>
        </is>
      </c>
      <c r="I179" s="20" t="inlineStr">
        <is>
          <t>1,499,698</t>
        </is>
      </c>
      <c r="J179" s="20" t="n">
        <v>1</v>
      </c>
      <c r="K179" s="20" t="n">
        <v>0</v>
      </c>
      <c r="L179" s="20" t="inlineStr">
        <is>
          <t>09.10.2024 06:30:56</t>
        </is>
      </c>
      <c r="M179" s="18" t="inlineStr">
        <is>
          <t>0 sec</t>
        </is>
      </c>
      <c r="N179" s="20" t="inlineStr">
        <is>
          <t xml:space="preserve">         37K            37K             3K</t>
        </is>
      </c>
      <c r="O179" s="20" t="inlineStr">
        <is>
          <t>6LQzsusmBYjaSoDsdX2mbax7Vtn63x7ZpDgzK4ZSMv9B</t>
        </is>
      </c>
      <c r="P179" s="20">
        <f>HYPERLINK("https://photon-sol.tinyastro.io/en/lp/6LQzsusmBYjaSoDsdX2mbax7Vtn63x7ZpDgzK4ZSMv9B?handle=676050794bc1b1657a56b", "View")</f>
        <v/>
      </c>
    </row>
    <row r="180">
      <c r="A180" s="15" t="inlineStr">
        <is>
          <t>$NFLX</t>
        </is>
      </c>
      <c r="B180" s="16" t="n">
        <v>1284935</v>
      </c>
      <c r="C180" s="16" t="n">
        <v>0</v>
      </c>
      <c r="D180" s="16" t="inlineStr">
        <is>
          <t>0.000510</t>
        </is>
      </c>
      <c r="E180" s="16" t="inlineStr">
        <is>
          <t>0.300 SOL</t>
        </is>
      </c>
      <c r="F180" s="16" t="inlineStr">
        <is>
          <t>0.000 SOL</t>
        </is>
      </c>
      <c r="G180" s="17" t="inlineStr">
        <is>
          <t>-0.300 SOL</t>
        </is>
      </c>
      <c r="H180" s="17" t="inlineStr">
        <is>
          <t>0.00%</t>
        </is>
      </c>
      <c r="I180" s="16" t="inlineStr">
        <is>
          <t>1,284,935</t>
        </is>
      </c>
      <c r="J180" s="16" t="n">
        <v>1</v>
      </c>
      <c r="K180" s="16" t="n">
        <v>0</v>
      </c>
      <c r="L180" s="16" t="inlineStr">
        <is>
          <t>09.10.2024 05:59:58</t>
        </is>
      </c>
      <c r="M180" s="18" t="inlineStr">
        <is>
          <t>0 sec</t>
        </is>
      </c>
      <c r="N180" s="16" t="inlineStr">
        <is>
          <t xml:space="preserve">        N/A           N/A           N/A</t>
        </is>
      </c>
      <c r="O180" s="16" t="inlineStr">
        <is>
          <t>F1t3SMJSNsncDhdL7KvTx2PqA5fx9EtTFMUF1fz91Jar</t>
        </is>
      </c>
      <c r="P180" s="16">
        <f>HYPERLINK("https://dexscreener.com/solana/F1t3SMJSNsncDhdL7KvTx2PqA5fx9EtTFMUF1fz91Jar", "View")</f>
        <v/>
      </c>
    </row>
    <row r="181">
      <c r="A181" s="19" t="inlineStr">
        <is>
          <t>APE</t>
        </is>
      </c>
      <c r="B181" s="20" t="n">
        <v>1777758</v>
      </c>
      <c r="C181" s="20" t="n">
        <v>0</v>
      </c>
      <c r="D181" s="20" t="inlineStr">
        <is>
          <t>0.000510</t>
        </is>
      </c>
      <c r="E181" s="20" t="inlineStr">
        <is>
          <t>0.208 SOL</t>
        </is>
      </c>
      <c r="F181" s="20" t="inlineStr">
        <is>
          <t>0.000 SOL</t>
        </is>
      </c>
      <c r="G181" s="17" t="inlineStr">
        <is>
          <t>-0.208 SOL</t>
        </is>
      </c>
      <c r="H181" s="17" t="inlineStr">
        <is>
          <t>0.00%</t>
        </is>
      </c>
      <c r="I181" s="20" t="inlineStr">
        <is>
          <t>1,777,758</t>
        </is>
      </c>
      <c r="J181" s="20" t="n">
        <v>1</v>
      </c>
      <c r="K181" s="20" t="n">
        <v>0</v>
      </c>
      <c r="L181" s="20" t="inlineStr">
        <is>
          <t>09.10.2024 04:24:30</t>
        </is>
      </c>
      <c r="M181" s="18" t="inlineStr">
        <is>
          <t>0 sec</t>
        </is>
      </c>
      <c r="N181" s="20" t="inlineStr">
        <is>
          <t xml:space="preserve">        N/A           N/A           N/A</t>
        </is>
      </c>
      <c r="O181" s="20" t="inlineStr">
        <is>
          <t>6RMvmvML7WA4xYpXguEu43btXryUzMB2dcrzaJU3pump</t>
        </is>
      </c>
      <c r="P181" s="20">
        <f>HYPERLINK("https://photon-sol.tinyastro.io/en/lp/6RMvmvML7WA4xYpXguEu43btXryUzMB2dcrzaJU3pump?handle=676050794bc1b1657a56b", "View")</f>
        <v/>
      </c>
    </row>
    <row r="182">
      <c r="A182" s="15" t="inlineStr">
        <is>
          <t>Mood</t>
        </is>
      </c>
      <c r="B182" s="16" t="n">
        <v>1504548</v>
      </c>
      <c r="C182" s="16" t="n">
        <v>0</v>
      </c>
      <c r="D182" s="16" t="inlineStr">
        <is>
          <t>0.000510</t>
        </is>
      </c>
      <c r="E182" s="16" t="inlineStr">
        <is>
          <t>0.100 SOL</t>
        </is>
      </c>
      <c r="F182" s="16" t="inlineStr">
        <is>
          <t>0.000 SOL</t>
        </is>
      </c>
      <c r="G182" s="17" t="inlineStr">
        <is>
          <t>-0.101 SOL</t>
        </is>
      </c>
      <c r="H182" s="17" t="inlineStr">
        <is>
          <t>0.00%</t>
        </is>
      </c>
      <c r="I182" s="16" t="inlineStr">
        <is>
          <t>1,504,548</t>
        </is>
      </c>
      <c r="J182" s="16" t="n">
        <v>1</v>
      </c>
      <c r="K182" s="16" t="n">
        <v>0</v>
      </c>
      <c r="L182" s="16" t="inlineStr">
        <is>
          <t>09.10.2024 04:20:11</t>
        </is>
      </c>
      <c r="M182" s="18" t="inlineStr">
        <is>
          <t>0 sec</t>
        </is>
      </c>
      <c r="N182" s="16" t="inlineStr">
        <is>
          <t xml:space="preserve">         12K            12K             5K</t>
        </is>
      </c>
      <c r="O182" s="16" t="inlineStr">
        <is>
          <t>2W8rXKgvjiEN6bg6QexEttYJZNHyV1Sb41hqjkUmpump</t>
        </is>
      </c>
      <c r="P182" s="16">
        <f>HYPERLINK("https://dexscreener.com/solana/2W8rXKgvjiEN6bg6QexEttYJZNHyV1Sb41hqjkUmpump", "View")</f>
        <v/>
      </c>
    </row>
    <row r="183">
      <c r="A183" s="19" t="inlineStr">
        <is>
          <t>DemCat</t>
        </is>
      </c>
      <c r="B183" s="20" t="n">
        <v>4156177</v>
      </c>
      <c r="C183" s="20" t="n">
        <v>0</v>
      </c>
      <c r="D183" s="20" t="inlineStr">
        <is>
          <t>0.000510</t>
        </is>
      </c>
      <c r="E183" s="20" t="inlineStr">
        <is>
          <t>0.100 SOL</t>
        </is>
      </c>
      <c r="F183" s="20" t="inlineStr">
        <is>
          <t>0.000 SOL</t>
        </is>
      </c>
      <c r="G183" s="17" t="inlineStr">
        <is>
          <t>-0.101 SOL</t>
        </is>
      </c>
      <c r="H183" s="17" t="inlineStr">
        <is>
          <t>0.00%</t>
        </is>
      </c>
      <c r="I183" s="20" t="inlineStr">
        <is>
          <t>4,156,177</t>
        </is>
      </c>
      <c r="J183" s="20" t="n">
        <v>1</v>
      </c>
      <c r="K183" s="20" t="n">
        <v>0</v>
      </c>
      <c r="L183" s="20" t="inlineStr">
        <is>
          <t>09.10.2024 04:18:01</t>
        </is>
      </c>
      <c r="M183" s="18" t="inlineStr">
        <is>
          <t>0 sec</t>
        </is>
      </c>
      <c r="N183" s="20" t="inlineStr">
        <is>
          <t xml:space="preserve">          4K             4K             4K</t>
        </is>
      </c>
      <c r="O183" s="20" t="inlineStr">
        <is>
          <t>sGCUoM2Wpb4edEB6d42SenygxLV99SB1d4aVZbFpump</t>
        </is>
      </c>
      <c r="P183" s="20">
        <f>HYPERLINK("https://dexscreener.com/solana/sGCUoM2Wpb4edEB6d42SenygxLV99SB1d4aVZbFpump", "View")</f>
        <v/>
      </c>
    </row>
    <row r="184">
      <c r="A184" s="15" t="inlineStr">
        <is>
          <t>PeterTodd</t>
        </is>
      </c>
      <c r="B184" s="16" t="n">
        <v>13465</v>
      </c>
      <c r="C184" s="16" t="n">
        <v>0</v>
      </c>
      <c r="D184" s="16" t="inlineStr">
        <is>
          <t>0.000510</t>
        </is>
      </c>
      <c r="E184" s="16" t="inlineStr">
        <is>
          <t>0.300 SOL</t>
        </is>
      </c>
      <c r="F184" s="16" t="inlineStr">
        <is>
          <t>0.000 SOL</t>
        </is>
      </c>
      <c r="G184" s="17" t="inlineStr">
        <is>
          <t>-0.301 SOL</t>
        </is>
      </c>
      <c r="H184" s="17" t="inlineStr">
        <is>
          <t>0.00%</t>
        </is>
      </c>
      <c r="I184" s="16" t="inlineStr">
        <is>
          <t>13,465</t>
        </is>
      </c>
      <c r="J184" s="16" t="n">
        <v>1</v>
      </c>
      <c r="K184" s="16" t="n">
        <v>0</v>
      </c>
      <c r="L184" s="16" t="inlineStr">
        <is>
          <t>09.10.2024 00:46:24</t>
        </is>
      </c>
      <c r="M184" s="18" t="inlineStr">
        <is>
          <t>0 sec</t>
        </is>
      </c>
      <c r="N184" s="16" t="inlineStr">
        <is>
          <t xml:space="preserve">          4M             4M            26K</t>
        </is>
      </c>
      <c r="O184" s="16" t="inlineStr">
        <is>
          <t>8oAiUkC1gpr4Tuz3ZA7YUntWE47sop1fYmGWo4Zrpump</t>
        </is>
      </c>
      <c r="P184" s="16">
        <f>HYPERLINK("https://dexscreener.com/solana/8oAiUkC1gpr4Tuz3ZA7YUntWE47sop1fYmGWo4Zrpump", "View")</f>
        <v/>
      </c>
    </row>
    <row r="185">
      <c r="A185" s="19" t="inlineStr">
        <is>
          <t>r/Bitcoin</t>
        </is>
      </c>
      <c r="B185" s="20" t="n">
        <v>79041</v>
      </c>
      <c r="C185" s="20" t="n">
        <v>0</v>
      </c>
      <c r="D185" s="20" t="inlineStr">
        <is>
          <t>0.000510</t>
        </is>
      </c>
      <c r="E185" s="20" t="inlineStr">
        <is>
          <t>0.300 SOL</t>
        </is>
      </c>
      <c r="F185" s="20" t="inlineStr">
        <is>
          <t>0.000 SOL</t>
        </is>
      </c>
      <c r="G185" s="17" t="inlineStr">
        <is>
          <t>-0.301 SOL</t>
        </is>
      </c>
      <c r="H185" s="17" t="inlineStr">
        <is>
          <t>0.00%</t>
        </is>
      </c>
      <c r="I185" s="20" t="inlineStr">
        <is>
          <t>79,041</t>
        </is>
      </c>
      <c r="J185" s="20" t="n">
        <v>1</v>
      </c>
      <c r="K185" s="20" t="n">
        <v>0</v>
      </c>
      <c r="L185" s="20" t="inlineStr">
        <is>
          <t>08.10.2024 06:11:30</t>
        </is>
      </c>
      <c r="M185" s="18" t="inlineStr">
        <is>
          <t>0 sec</t>
        </is>
      </c>
      <c r="N185" s="20" t="inlineStr">
        <is>
          <t xml:space="preserve">        667K           667K             3K</t>
        </is>
      </c>
      <c r="O185" s="20" t="inlineStr">
        <is>
          <t>E11Lz3BSTVVSatCfybhkmyfPmVyrJLyGw2qMH5Gepump</t>
        </is>
      </c>
      <c r="P185" s="20">
        <f>HYPERLINK("https://dexscreener.com/solana/E11Lz3BSTVVSatCfybhkmyfPmVyrJLyGw2qMH5Gepump", "View")</f>
        <v/>
      </c>
    </row>
    <row r="186">
      <c r="A186" s="15" t="inlineStr">
        <is>
          <t>Victory</t>
        </is>
      </c>
      <c r="B186" s="16" t="n">
        <v>787007</v>
      </c>
      <c r="C186" s="16" t="n">
        <v>0</v>
      </c>
      <c r="D186" s="16" t="inlineStr">
        <is>
          <t>0.000510</t>
        </is>
      </c>
      <c r="E186" s="16" t="inlineStr">
        <is>
          <t>0.300 SOL</t>
        </is>
      </c>
      <c r="F186" s="16" t="inlineStr">
        <is>
          <t>0.000 SOL</t>
        </is>
      </c>
      <c r="G186" s="17" t="inlineStr">
        <is>
          <t>-0.300 SOL</t>
        </is>
      </c>
      <c r="H186" s="17" t="inlineStr">
        <is>
          <t>0.00%</t>
        </is>
      </c>
      <c r="I186" s="16" t="inlineStr">
        <is>
          <t>787,007</t>
        </is>
      </c>
      <c r="J186" s="16" t="n">
        <v>1</v>
      </c>
      <c r="K186" s="16" t="n">
        <v>0</v>
      </c>
      <c r="L186" s="16" t="inlineStr">
        <is>
          <t>08.10.2024 05:47:47</t>
        </is>
      </c>
      <c r="M186" s="18" t="inlineStr">
        <is>
          <t>0 sec</t>
        </is>
      </c>
      <c r="N186" s="16" t="inlineStr">
        <is>
          <t xml:space="preserve">         67K            67K             4K</t>
        </is>
      </c>
      <c r="O186" s="16" t="inlineStr">
        <is>
          <t>EevAKqxeZT18xc79TdvoBBwLGcGSvNqorVRasaz8pump</t>
        </is>
      </c>
      <c r="P186" s="16">
        <f>HYPERLINK("https://dexscreener.com/solana/EevAKqxeZT18xc79TdvoBBwLGcGSvNqorVRasaz8pump", "View")</f>
        <v/>
      </c>
    </row>
    <row r="187">
      <c r="A187" s="19" t="inlineStr">
        <is>
          <t>HANHAN</t>
        </is>
      </c>
      <c r="B187" s="20" t="n">
        <v>1696400</v>
      </c>
      <c r="C187" s="20" t="n">
        <v>0</v>
      </c>
      <c r="D187" s="20" t="inlineStr">
        <is>
          <t>0.000510</t>
        </is>
      </c>
      <c r="E187" s="20" t="inlineStr">
        <is>
          <t>0.200 SOL</t>
        </is>
      </c>
      <c r="F187" s="20" t="inlineStr">
        <is>
          <t>0.000 SOL</t>
        </is>
      </c>
      <c r="G187" s="17" t="inlineStr">
        <is>
          <t>-0.201 SOL</t>
        </is>
      </c>
      <c r="H187" s="17" t="inlineStr">
        <is>
          <t>0.00%</t>
        </is>
      </c>
      <c r="I187" s="20" t="inlineStr">
        <is>
          <t>1,696,400</t>
        </is>
      </c>
      <c r="J187" s="20" t="n">
        <v>1</v>
      </c>
      <c r="K187" s="20" t="n">
        <v>0</v>
      </c>
      <c r="L187" s="20" t="inlineStr">
        <is>
          <t>07.10.2024 18:54:22</t>
        </is>
      </c>
      <c r="M187" s="18" t="inlineStr">
        <is>
          <t>0 sec</t>
        </is>
      </c>
      <c r="N187" s="20" t="inlineStr">
        <is>
          <t xml:space="preserve">         21K            21K             4K</t>
        </is>
      </c>
      <c r="O187" s="20" t="inlineStr">
        <is>
          <t>urWpDu9ngMDaDnhmRMs4DMAmki74wH8aVMtDNjSpump</t>
        </is>
      </c>
      <c r="P187" s="20">
        <f>HYPERLINK("https://dexscreener.com/solana/urWpDu9ngMDaDnhmRMs4DMAmki74wH8aVMtDNjSpump", "View")</f>
        <v/>
      </c>
    </row>
    <row r="188">
      <c r="A188" s="15" t="inlineStr">
        <is>
          <t>WAKU</t>
        </is>
      </c>
      <c r="B188" s="16" t="n">
        <v>3784996</v>
      </c>
      <c r="C188" s="16" t="n">
        <v>3784996</v>
      </c>
      <c r="D188" s="16" t="inlineStr">
        <is>
          <t>0.001010</t>
        </is>
      </c>
      <c r="E188" s="16" t="inlineStr">
        <is>
          <t>0.300 SOL</t>
        </is>
      </c>
      <c r="F188" s="16" t="inlineStr">
        <is>
          <t>0.197 SOL</t>
        </is>
      </c>
      <c r="G188" s="21" t="inlineStr">
        <is>
          <t>-0.104 SOL</t>
        </is>
      </c>
      <c r="H188" s="21" t="inlineStr">
        <is>
          <t>-34.48%</t>
        </is>
      </c>
      <c r="I188" s="16" t="inlineStr">
        <is>
          <t>N/A</t>
        </is>
      </c>
      <c r="J188" s="16" t="n">
        <v>1</v>
      </c>
      <c r="K188" s="16" t="n">
        <v>1</v>
      </c>
      <c r="L188" s="16" t="inlineStr">
        <is>
          <t>07.10.2024 14:18:29</t>
        </is>
      </c>
      <c r="M188" s="16" t="inlineStr">
        <is>
          <t>7 min</t>
        </is>
      </c>
      <c r="N188" s="16" t="inlineStr">
        <is>
          <t xml:space="preserve">         14K             9K             3K</t>
        </is>
      </c>
      <c r="O188" s="16" t="inlineStr">
        <is>
          <t>HwqHYJzBtMp8644tGYn3fZ7Ko7mPx8mRkpg4rcSApump</t>
        </is>
      </c>
      <c r="P188" s="16">
        <f>HYPERLINK("https://dexscreener.com/solana/HwqHYJzBtMp8644tGYn3fZ7Ko7mPx8mRkpg4rcSApump", "View")</f>
        <v/>
      </c>
    </row>
    <row r="189">
      <c r="A189" s="19" t="inlineStr">
        <is>
          <t>POMO</t>
        </is>
      </c>
      <c r="B189" s="20" t="n">
        <v>2077808</v>
      </c>
      <c r="C189" s="20" t="n">
        <v>968408</v>
      </c>
      <c r="D189" s="20" t="inlineStr">
        <is>
          <t>0.002530</t>
        </is>
      </c>
      <c r="E189" s="20" t="inlineStr">
        <is>
          <t>0.900 SOL</t>
        </is>
      </c>
      <c r="F189" s="20" t="inlineStr">
        <is>
          <t>0.971 SOL</t>
        </is>
      </c>
      <c r="G189" s="22" t="inlineStr">
        <is>
          <t>0.069 SOL</t>
        </is>
      </c>
      <c r="H189" s="22" t="inlineStr">
        <is>
          <t>7.61%</t>
        </is>
      </c>
      <c r="I189" s="20" t="inlineStr">
        <is>
          <t>N/A</t>
        </is>
      </c>
      <c r="J189" s="20" t="n">
        <v>3</v>
      </c>
      <c r="K189" s="20" t="n">
        <v>2</v>
      </c>
      <c r="L189" s="20" t="inlineStr">
        <is>
          <t>07.10.2024 10:06:04</t>
        </is>
      </c>
      <c r="M189" s="20" t="inlineStr">
        <is>
          <t>1 days</t>
        </is>
      </c>
      <c r="N189" s="20" t="inlineStr">
        <is>
          <t xml:space="preserve">        400K            47K             7K</t>
        </is>
      </c>
      <c r="O189" s="20" t="inlineStr">
        <is>
          <t>62jW3NU4EMYV4N8bxhdRFA6MUuwtZPDzbjBeDc2ypump</t>
        </is>
      </c>
      <c r="P189" s="20">
        <f>HYPERLINK("https://dexscreener.com/solana/62jW3NU4EMYV4N8bxhdRFA6MUuwtZPDzbjBeDc2ypump", "View")</f>
        <v/>
      </c>
    </row>
    <row r="190">
      <c r="A190" s="15" t="inlineStr">
        <is>
          <t>OLDWIF</t>
        </is>
      </c>
      <c r="B190" s="16" t="n">
        <v>173226</v>
      </c>
      <c r="C190" s="16" t="n">
        <v>173226</v>
      </c>
      <c r="D190" s="16" t="inlineStr">
        <is>
          <t>0.001010</t>
        </is>
      </c>
      <c r="E190" s="16" t="inlineStr">
        <is>
          <t>0.200 SOL</t>
        </is>
      </c>
      <c r="F190" s="16" t="inlineStr">
        <is>
          <t>0.219 SOL</t>
        </is>
      </c>
      <c r="G190" s="22" t="inlineStr">
        <is>
          <t>0.018 SOL</t>
        </is>
      </c>
      <c r="H190" s="22" t="inlineStr">
        <is>
          <t>9.06%</t>
        </is>
      </c>
      <c r="I190" s="16" t="inlineStr">
        <is>
          <t>N/A</t>
        </is>
      </c>
      <c r="J190" s="16" t="n">
        <v>1</v>
      </c>
      <c r="K190" s="16" t="n">
        <v>1</v>
      </c>
      <c r="L190" s="16" t="inlineStr">
        <is>
          <t>06.10.2024 12:45:21</t>
        </is>
      </c>
      <c r="M190" s="16" t="inlineStr">
        <is>
          <t>3 hours</t>
        </is>
      </c>
      <c r="N190" s="16" t="inlineStr">
        <is>
          <t xml:space="preserve">        202K           223K             4K</t>
        </is>
      </c>
      <c r="O190" s="16" t="inlineStr">
        <is>
          <t>J2fJnxvmM4TmFJUW16gQdg5sbPeiwAV3KAhbNnvkpump</t>
        </is>
      </c>
      <c r="P190" s="16">
        <f>HYPERLINK("https://dexscreener.com/solana/J2fJnxvmM4TmFJUW16gQdg5sbPeiwAV3KAhbNnvkpump", "View")</f>
        <v/>
      </c>
    </row>
    <row r="191">
      <c r="A191" s="19" t="inlineStr">
        <is>
          <t>Bill</t>
        </is>
      </c>
      <c r="B191" s="20" t="n">
        <v>208885</v>
      </c>
      <c r="C191" s="20" t="n">
        <v>208885</v>
      </c>
      <c r="D191" s="20" t="inlineStr">
        <is>
          <t>0.001010</t>
        </is>
      </c>
      <c r="E191" s="20" t="inlineStr">
        <is>
          <t>0.300 SOL</t>
        </is>
      </c>
      <c r="F191" s="20" t="inlineStr">
        <is>
          <t>0.112 SOL</t>
        </is>
      </c>
      <c r="G191" s="24" t="inlineStr">
        <is>
          <t>-0.189 SOL</t>
        </is>
      </c>
      <c r="H191" s="24" t="inlineStr">
        <is>
          <t>-62.92%</t>
        </is>
      </c>
      <c r="I191" s="20" t="inlineStr">
        <is>
          <t>N/A</t>
        </is>
      </c>
      <c r="J191" s="20" t="n">
        <v>1</v>
      </c>
      <c r="K191" s="20" t="n">
        <v>1</v>
      </c>
      <c r="L191" s="20" t="inlineStr">
        <is>
          <t>06.10.2024 11:32:49</t>
        </is>
      </c>
      <c r="M191" s="20" t="inlineStr">
        <is>
          <t>2 hours</t>
        </is>
      </c>
      <c r="N191" s="20" t="inlineStr">
        <is>
          <t xml:space="preserve">        253K            93K             6K</t>
        </is>
      </c>
      <c r="O191" s="20" t="inlineStr">
        <is>
          <t>5AAYBejKr337hK4BpqdVRdAatUvizfEfnetfDJFKpump</t>
        </is>
      </c>
      <c r="P191" s="20">
        <f>HYPERLINK("https://dexscreener.com/solana/5AAYBejKr337hK4BpqdVRdAatUvizfEfnetfDJFKpump", "View")</f>
        <v/>
      </c>
    </row>
    <row r="192">
      <c r="A192" s="15" t="inlineStr">
        <is>
          <t>buns</t>
        </is>
      </c>
      <c r="B192" s="16" t="n">
        <v>3116211</v>
      </c>
      <c r="C192" s="16" t="n">
        <v>3116211</v>
      </c>
      <c r="D192" s="16" t="inlineStr">
        <is>
          <t>0.001010</t>
        </is>
      </c>
      <c r="E192" s="16" t="inlineStr">
        <is>
          <t>0.500 SOL</t>
        </is>
      </c>
      <c r="F192" s="16" t="inlineStr">
        <is>
          <t>0.145 SOL</t>
        </is>
      </c>
      <c r="G192" s="24" t="inlineStr">
        <is>
          <t>-0.356 SOL</t>
        </is>
      </c>
      <c r="H192" s="24" t="inlineStr">
        <is>
          <t>-71.06%</t>
        </is>
      </c>
      <c r="I192" s="16" t="inlineStr">
        <is>
          <t>N/A</t>
        </is>
      </c>
      <c r="J192" s="16" t="n">
        <v>1</v>
      </c>
      <c r="K192" s="16" t="n">
        <v>1</v>
      </c>
      <c r="L192" s="16" t="inlineStr">
        <is>
          <t>06.10.2024 11:09:45</t>
        </is>
      </c>
      <c r="M192" s="16" t="inlineStr">
        <is>
          <t>17 min</t>
        </is>
      </c>
      <c r="N192" s="16" t="inlineStr">
        <is>
          <t xml:space="preserve">         28K             9K             3K</t>
        </is>
      </c>
      <c r="O192" s="16" t="inlineStr">
        <is>
          <t>oDYBMNKjEvMeSLEp11JcDsq2KzyUjpaSyozLrx5pump</t>
        </is>
      </c>
      <c r="P192" s="16">
        <f>HYPERLINK("https://dexscreener.com/solana/oDYBMNKjEvMeSLEp11JcDsq2KzyUjpaSyozLrx5pump", "View")</f>
        <v/>
      </c>
    </row>
    <row r="193">
      <c r="A193" s="19" t="inlineStr">
        <is>
          <t>Hada</t>
        </is>
      </c>
      <c r="B193" s="20" t="n">
        <v>443308</v>
      </c>
      <c r="C193" s="20" t="n">
        <v>221654</v>
      </c>
      <c r="D193" s="20" t="inlineStr">
        <is>
          <t>0.001010</t>
        </is>
      </c>
      <c r="E193" s="20" t="inlineStr">
        <is>
          <t>0.300 SOL</t>
        </is>
      </c>
      <c r="F193" s="20" t="inlineStr">
        <is>
          <t>0.306 SOL</t>
        </is>
      </c>
      <c r="G193" s="22" t="inlineStr">
        <is>
          <t>0.005 SOL</t>
        </is>
      </c>
      <c r="H193" s="22" t="inlineStr">
        <is>
          <t>1.53%</t>
        </is>
      </c>
      <c r="I193" s="20" t="inlineStr">
        <is>
          <t>N/A</t>
        </is>
      </c>
      <c r="J193" s="20" t="n">
        <v>1</v>
      </c>
      <c r="K193" s="20" t="n">
        <v>1</v>
      </c>
      <c r="L193" s="20" t="inlineStr">
        <is>
          <t>06.10.2024 11:05:46</t>
        </is>
      </c>
      <c r="M193" s="20" t="inlineStr">
        <is>
          <t>1 min</t>
        </is>
      </c>
      <c r="N193" s="20" t="inlineStr">
        <is>
          <t xml:space="preserve">        119K           242K             5K</t>
        </is>
      </c>
      <c r="O193" s="20" t="inlineStr">
        <is>
          <t>BSUxVMgp1YeTX4G3hzaJiAZgZpF4FGLPsYTK3SrApump</t>
        </is>
      </c>
      <c r="P193" s="20">
        <f>HYPERLINK("https://dexscreener.com/solana/BSUxVMgp1YeTX4G3hzaJiAZgZpF4FGLPsYTK3SrApump", "View")</f>
        <v/>
      </c>
    </row>
    <row r="194">
      <c r="A194" s="15" t="inlineStr">
        <is>
          <t>KFCDOG</t>
        </is>
      </c>
      <c r="B194" s="16" t="n">
        <v>1120285</v>
      </c>
      <c r="C194" s="16" t="n">
        <v>1120285</v>
      </c>
      <c r="D194" s="16" t="inlineStr">
        <is>
          <t>0.001010</t>
        </is>
      </c>
      <c r="E194" s="16" t="inlineStr">
        <is>
          <t>0.200 SOL</t>
        </is>
      </c>
      <c r="F194" s="16" t="inlineStr">
        <is>
          <t>0.027 SOL</t>
        </is>
      </c>
      <c r="G194" s="24" t="inlineStr">
        <is>
          <t>-0.174 SOL</t>
        </is>
      </c>
      <c r="H194" s="24" t="inlineStr">
        <is>
          <t>-86.78%</t>
        </is>
      </c>
      <c r="I194" s="16" t="inlineStr">
        <is>
          <t>N/A</t>
        </is>
      </c>
      <c r="J194" s="16" t="n">
        <v>1</v>
      </c>
      <c r="K194" s="16" t="n">
        <v>1</v>
      </c>
      <c r="L194" s="16" t="inlineStr">
        <is>
          <t>06.10.2024 10:32:27</t>
        </is>
      </c>
      <c r="M194" s="16" t="inlineStr">
        <is>
          <t>1 days</t>
        </is>
      </c>
      <c r="N194" s="16" t="inlineStr">
        <is>
          <t xml:space="preserve">         32K             4K             4K</t>
        </is>
      </c>
      <c r="O194" s="16" t="inlineStr">
        <is>
          <t>FRiohH98UEeYyokAatxLTMNqHbd3HRjSyFhPmpNRpump</t>
        </is>
      </c>
      <c r="P194" s="16">
        <f>HYPERLINK("https://dexscreener.com/solana/FRiohH98UEeYyokAatxLTMNqHbd3HRjSyFhPmpNRpump", "View")</f>
        <v/>
      </c>
    </row>
    <row r="195">
      <c r="A195" s="19" t="inlineStr">
        <is>
          <t>RABBI</t>
        </is>
      </c>
      <c r="B195" s="20" t="n">
        <v>3840121</v>
      </c>
      <c r="C195" s="20" t="n">
        <v>3840121</v>
      </c>
      <c r="D195" s="20" t="inlineStr">
        <is>
          <t>0.001010</t>
        </is>
      </c>
      <c r="E195" s="20" t="inlineStr">
        <is>
          <t>0.208 SOL</t>
        </is>
      </c>
      <c r="F195" s="20" t="inlineStr">
        <is>
          <t>0.130 SOL</t>
        </is>
      </c>
      <c r="G195" s="21" t="inlineStr">
        <is>
          <t>-0.079 SOL</t>
        </is>
      </c>
      <c r="H195" s="21" t="inlineStr">
        <is>
          <t>-37.73%</t>
        </is>
      </c>
      <c r="I195" s="20" t="inlineStr">
        <is>
          <t>N/A</t>
        </is>
      </c>
      <c r="J195" s="20" t="n">
        <v>1</v>
      </c>
      <c r="K195" s="20" t="n">
        <v>1</v>
      </c>
      <c r="L195" s="20" t="inlineStr">
        <is>
          <t>06.10.2024 10:29:39</t>
        </is>
      </c>
      <c r="M195" s="20" t="inlineStr">
        <is>
          <t>1 days</t>
        </is>
      </c>
      <c r="N195" s="20" t="inlineStr">
        <is>
          <t xml:space="preserve">        N/A           N/A           N/A</t>
        </is>
      </c>
      <c r="O195" s="20" t="inlineStr">
        <is>
          <t>8WL7WPDjeGgQaxAhXZ8FtoFePbanLdAN9Df68Zykpump</t>
        </is>
      </c>
      <c r="P195" s="20">
        <f>HYPERLINK("https://photon-sol.tinyastro.io/en/lp/8WL7WPDjeGgQaxAhXZ8FtoFePbanLdAN9Df68Zykpump?handle=676050794bc1b1657a56b", "View")</f>
        <v/>
      </c>
    </row>
    <row r="196">
      <c r="A196" s="15" t="inlineStr">
        <is>
          <t>rabbi</t>
        </is>
      </c>
      <c r="B196" s="16" t="n">
        <v>3536392</v>
      </c>
      <c r="C196" s="16" t="n">
        <v>3536392</v>
      </c>
      <c r="D196" s="16" t="inlineStr">
        <is>
          <t>0.001010</t>
        </is>
      </c>
      <c r="E196" s="16" t="inlineStr">
        <is>
          <t>0.208 SOL</t>
        </is>
      </c>
      <c r="F196" s="16" t="inlineStr">
        <is>
          <t>0.124 SOL</t>
        </is>
      </c>
      <c r="G196" s="21" t="inlineStr">
        <is>
          <t>-0.085 SOL</t>
        </is>
      </c>
      <c r="H196" s="21" t="inlineStr">
        <is>
          <t>-40.80%</t>
        </is>
      </c>
      <c r="I196" s="16" t="inlineStr">
        <is>
          <t>N/A</t>
        </is>
      </c>
      <c r="J196" s="16" t="n">
        <v>1</v>
      </c>
      <c r="K196" s="16" t="n">
        <v>1</v>
      </c>
      <c r="L196" s="16" t="inlineStr">
        <is>
          <t>06.10.2024 10:29:31</t>
        </is>
      </c>
      <c r="M196" s="16" t="inlineStr">
        <is>
          <t>1 days</t>
        </is>
      </c>
      <c r="N196" s="16" t="inlineStr">
        <is>
          <t xml:space="preserve">        N/A           N/A           N/A</t>
        </is>
      </c>
      <c r="O196" s="16" t="inlineStr">
        <is>
          <t>4H7U4q8RrpER8KgFdCEYepENLQHimHESvxiedcdvpump</t>
        </is>
      </c>
      <c r="P196" s="16">
        <f>HYPERLINK("https://photon-sol.tinyastro.io/en/lp/4H7U4q8RrpER8KgFdCEYepENLQHimHESvxiedcdvpump?handle=676050794bc1b1657a56b", "View")</f>
        <v/>
      </c>
    </row>
    <row r="197">
      <c r="A197" s="19" t="inlineStr">
        <is>
          <t>57043</t>
        </is>
      </c>
      <c r="B197" s="20" t="n">
        <v>579835</v>
      </c>
      <c r="C197" s="20" t="n">
        <v>579835</v>
      </c>
      <c r="D197" s="20" t="inlineStr">
        <is>
          <t>0.001520</t>
        </is>
      </c>
      <c r="E197" s="20" t="inlineStr">
        <is>
          <t>0.300 SOL</t>
        </is>
      </c>
      <c r="F197" s="20" t="inlineStr">
        <is>
          <t>0.554 SOL</t>
        </is>
      </c>
      <c r="G197" s="23" t="inlineStr">
        <is>
          <t>0.253 SOL</t>
        </is>
      </c>
      <c r="H197" s="23" t="inlineStr">
        <is>
          <t>83.79%</t>
        </is>
      </c>
      <c r="I197" s="20" t="inlineStr">
        <is>
          <t>N/A</t>
        </is>
      </c>
      <c r="J197" s="20" t="n">
        <v>1</v>
      </c>
      <c r="K197" s="20" t="n">
        <v>2</v>
      </c>
      <c r="L197" s="20" t="inlineStr">
        <is>
          <t>06.10.2024 10:28:53</t>
        </is>
      </c>
      <c r="M197" s="20" t="inlineStr">
        <is>
          <t>2 hours</t>
        </is>
      </c>
      <c r="N197" s="20" t="inlineStr">
        <is>
          <t xml:space="preserve">         91K           161K             5K</t>
        </is>
      </c>
      <c r="O197" s="20" t="inlineStr">
        <is>
          <t>AUGKjyErqFb8jLQaqw9DSSzqkAPmWdjMHUZ8umctpump</t>
        </is>
      </c>
      <c r="P197" s="20">
        <f>HYPERLINK("https://dexscreener.com/solana/AUGKjyErqFb8jLQaqw9DSSzqkAPmWdjMHUZ8umctpump", "View")</f>
        <v/>
      </c>
    </row>
    <row r="198">
      <c r="A198" s="15" t="inlineStr">
        <is>
          <t>$CHUK</t>
        </is>
      </c>
      <c r="B198" s="16" t="n">
        <v>3999604</v>
      </c>
      <c r="C198" s="16" t="n">
        <v>3999604</v>
      </c>
      <c r="D198" s="16" t="inlineStr">
        <is>
          <t>0.001010</t>
        </is>
      </c>
      <c r="E198" s="16" t="inlineStr">
        <is>
          <t>0.208 SOL</t>
        </is>
      </c>
      <c r="F198" s="16" t="inlineStr">
        <is>
          <t>0.178 SOL</t>
        </is>
      </c>
      <c r="G198" s="21" t="inlineStr">
        <is>
          <t>-0.031 SOL</t>
        </is>
      </c>
      <c r="H198" s="21" t="inlineStr">
        <is>
          <t>-14.92%</t>
        </is>
      </c>
      <c r="I198" s="16" t="inlineStr">
        <is>
          <t>N/A</t>
        </is>
      </c>
      <c r="J198" s="16" t="n">
        <v>1</v>
      </c>
      <c r="K198" s="16" t="n">
        <v>1</v>
      </c>
      <c r="L198" s="16" t="inlineStr">
        <is>
          <t>06.10.2024 06:02:46</t>
        </is>
      </c>
      <c r="M198" s="16" t="inlineStr">
        <is>
          <t>2 min</t>
        </is>
      </c>
      <c r="N198" s="16" t="inlineStr">
        <is>
          <t xml:space="preserve">        N/A           N/A           N/A</t>
        </is>
      </c>
      <c r="O198" s="16" t="inlineStr">
        <is>
          <t>8qV6KmL9YTWxqnComQZoiKUZSyB2UtyH7YwjhuNRpump</t>
        </is>
      </c>
      <c r="P198" s="16">
        <f>HYPERLINK("https://photon-sol.tinyastro.io/en/lp/8qV6KmL9YTWxqnComQZoiKUZSyB2UtyH7YwjhuNRpump?handle=676050794bc1b1657a56b", "View")</f>
        <v/>
      </c>
    </row>
    <row r="199">
      <c r="A199" s="19" t="inlineStr">
        <is>
          <t>#len</t>
        </is>
      </c>
      <c r="B199" s="20" t="n">
        <v>1784319</v>
      </c>
      <c r="C199" s="20" t="n">
        <v>1784319</v>
      </c>
      <c r="D199" s="20" t="inlineStr">
        <is>
          <t>0.001010</t>
        </is>
      </c>
      <c r="E199" s="20" t="inlineStr">
        <is>
          <t>0.208 SOL</t>
        </is>
      </c>
      <c r="F199" s="20" t="inlineStr">
        <is>
          <t>0.085 SOL</t>
        </is>
      </c>
      <c r="G199" s="24" t="inlineStr">
        <is>
          <t>-0.123 SOL</t>
        </is>
      </c>
      <c r="H199" s="24" t="inlineStr">
        <is>
          <t>-59.06%</t>
        </is>
      </c>
      <c r="I199" s="20" t="inlineStr">
        <is>
          <t>N/A</t>
        </is>
      </c>
      <c r="J199" s="20" t="n">
        <v>1</v>
      </c>
      <c r="K199" s="20" t="n">
        <v>1</v>
      </c>
      <c r="L199" s="20" t="inlineStr">
        <is>
          <t>06.10.2024 05:57:37</t>
        </is>
      </c>
      <c r="M199" s="20" t="inlineStr">
        <is>
          <t>15 min</t>
        </is>
      </c>
      <c r="N199" s="20" t="inlineStr">
        <is>
          <t xml:space="preserve">        N/A           N/A           N/A</t>
        </is>
      </c>
      <c r="O199" s="20" t="inlineStr">
        <is>
          <t>GR9APnCZkiWrFXgzLDVAi2VaiFHrD9NUHHv18JsGpump</t>
        </is>
      </c>
      <c r="P199" s="20">
        <f>HYPERLINK("https://photon-sol.tinyastro.io/en/lp/GR9APnCZkiWrFXgzLDVAi2VaiFHrD9NUHHv18JsGpump?handle=676050794bc1b1657a56b", "View")</f>
        <v/>
      </c>
    </row>
    <row r="200">
      <c r="A200" s="15" t="inlineStr">
        <is>
          <t>PAC</t>
        </is>
      </c>
      <c r="B200" s="16" t="n">
        <v>182345</v>
      </c>
      <c r="C200" s="16" t="n">
        <v>91172</v>
      </c>
      <c r="D200" s="16" t="inlineStr">
        <is>
          <t>0.001010</t>
        </is>
      </c>
      <c r="E200" s="16" t="inlineStr">
        <is>
          <t>0.300 SOL</t>
        </is>
      </c>
      <c r="F200" s="16" t="inlineStr">
        <is>
          <t>0.359 SOL</t>
        </is>
      </c>
      <c r="G200" s="22" t="inlineStr">
        <is>
          <t>0.058 SOL</t>
        </is>
      </c>
      <c r="H200" s="22" t="inlineStr">
        <is>
          <t>19.41%</t>
        </is>
      </c>
      <c r="I200" s="16" t="inlineStr">
        <is>
          <t>N/A</t>
        </is>
      </c>
      <c r="J200" s="16" t="n">
        <v>1</v>
      </c>
      <c r="K200" s="16" t="n">
        <v>1</v>
      </c>
      <c r="L200" s="16" t="inlineStr">
        <is>
          <t>05.10.2024 21:20:46</t>
        </is>
      </c>
      <c r="M200" s="16" t="inlineStr">
        <is>
          <t>1 hours</t>
        </is>
      </c>
      <c r="N200" s="16" t="inlineStr">
        <is>
          <t xml:space="preserve">        290K           692K            12K</t>
        </is>
      </c>
      <c r="O200" s="16" t="inlineStr">
        <is>
          <t>3NiacqbMpCbPr1NdUSZ6LDvqbTtCqEgnJn6dhdGzpump</t>
        </is>
      </c>
      <c r="P200" s="16">
        <f>HYPERLINK("https://dexscreener.com/solana/3NiacqbMpCbPr1NdUSZ6LDvqbTtCqEgnJn6dhdGzpump", "View")</f>
        <v/>
      </c>
    </row>
    <row r="201">
      <c r="A201" s="19" t="inlineStr">
        <is>
          <t>satoshi</t>
        </is>
      </c>
      <c r="B201" s="20" t="n">
        <v>925002</v>
      </c>
      <c r="C201" s="20" t="n">
        <v>0</v>
      </c>
      <c r="D201" s="20" t="inlineStr">
        <is>
          <t>0.000510</t>
        </is>
      </c>
      <c r="E201" s="20" t="inlineStr">
        <is>
          <t>0.300 SOL</t>
        </is>
      </c>
      <c r="F201" s="20" t="inlineStr">
        <is>
          <t>0.000 SOL</t>
        </is>
      </c>
      <c r="G201" s="17" t="inlineStr">
        <is>
          <t>-0.301 SOL</t>
        </is>
      </c>
      <c r="H201" s="17" t="inlineStr">
        <is>
          <t>0.00%</t>
        </is>
      </c>
      <c r="I201" s="20" t="inlineStr">
        <is>
          <t>925,002</t>
        </is>
      </c>
      <c r="J201" s="20" t="n">
        <v>1</v>
      </c>
      <c r="K201" s="20" t="n">
        <v>0</v>
      </c>
      <c r="L201" s="20" t="inlineStr">
        <is>
          <t>05.10.2024 17:32:02</t>
        </is>
      </c>
      <c r="M201" s="18" t="inlineStr">
        <is>
          <t>0 sec</t>
        </is>
      </c>
      <c r="N201" s="20" t="inlineStr">
        <is>
          <t xml:space="preserve">         56K            56K             4K</t>
        </is>
      </c>
      <c r="O201" s="20" t="inlineStr">
        <is>
          <t>66HqaaT7npQZH1p4sT2wPTnFvYEWXVMF7ieq91Ccpump</t>
        </is>
      </c>
      <c r="P201" s="20">
        <f>HYPERLINK("https://dexscreener.com/solana/66HqaaT7npQZH1p4sT2wPTnFvYEWXVMF7ieq91Ccpump", "View")</f>
        <v/>
      </c>
    </row>
    <row r="202">
      <c r="A202" s="15" t="inlineStr">
        <is>
          <t>@degen</t>
        </is>
      </c>
      <c r="B202" s="16" t="n">
        <v>872262</v>
      </c>
      <c r="C202" s="16" t="n">
        <v>0</v>
      </c>
      <c r="D202" s="16" t="inlineStr">
        <is>
          <t>0.000510</t>
        </is>
      </c>
      <c r="E202" s="16" t="inlineStr">
        <is>
          <t>0.208 SOL</t>
        </is>
      </c>
      <c r="F202" s="16" t="inlineStr">
        <is>
          <t>0.000 SOL</t>
        </is>
      </c>
      <c r="G202" s="17" t="inlineStr">
        <is>
          <t>-0.208 SOL</t>
        </is>
      </c>
      <c r="H202" s="17" t="inlineStr">
        <is>
          <t>0.00%</t>
        </is>
      </c>
      <c r="I202" s="16" t="inlineStr">
        <is>
          <t>872,262</t>
        </is>
      </c>
      <c r="J202" s="16" t="n">
        <v>1</v>
      </c>
      <c r="K202" s="16" t="n">
        <v>0</v>
      </c>
      <c r="L202" s="16" t="inlineStr">
        <is>
          <t>05.10.2024 16:35:42</t>
        </is>
      </c>
      <c r="M202" s="18" t="inlineStr">
        <is>
          <t>0 sec</t>
        </is>
      </c>
      <c r="N202" s="16" t="inlineStr">
        <is>
          <t xml:space="preserve">        N/A           N/A           N/A</t>
        </is>
      </c>
      <c r="O202" s="16" t="inlineStr">
        <is>
          <t>8nERYdmLSZcfCXFmcMbuwXu1Q2RiNsXnJkVDTyYGpump</t>
        </is>
      </c>
      <c r="P202" s="16">
        <f>HYPERLINK("https://photon-sol.tinyastro.io/en/lp/8nERYdmLSZcfCXFmcMbuwXu1Q2RiNsXnJkVDTyYGpump?handle=676050794bc1b1657a56b", "View")</f>
        <v/>
      </c>
    </row>
    <row r="203">
      <c r="A203" s="19" t="inlineStr">
        <is>
          <t>degen</t>
        </is>
      </c>
      <c r="B203" s="20" t="n">
        <v>2679320</v>
      </c>
      <c r="C203" s="20" t="n">
        <v>0</v>
      </c>
      <c r="D203" s="20" t="inlineStr">
        <is>
          <t>0.000510</t>
        </is>
      </c>
      <c r="E203" s="20" t="inlineStr">
        <is>
          <t>0.229 SOL</t>
        </is>
      </c>
      <c r="F203" s="20" t="inlineStr">
        <is>
          <t>0.000 SOL</t>
        </is>
      </c>
      <c r="G203" s="17" t="inlineStr">
        <is>
          <t>-0.229 SOL</t>
        </is>
      </c>
      <c r="H203" s="17" t="inlineStr">
        <is>
          <t>0.00%</t>
        </is>
      </c>
      <c r="I203" s="20" t="inlineStr">
        <is>
          <t>2,679,320</t>
        </is>
      </c>
      <c r="J203" s="20" t="n">
        <v>1</v>
      </c>
      <c r="K203" s="20" t="n">
        <v>0</v>
      </c>
      <c r="L203" s="20" t="inlineStr">
        <is>
          <t>05.10.2024 16:32:24</t>
        </is>
      </c>
      <c r="M203" s="18" t="inlineStr">
        <is>
          <t>0 sec</t>
        </is>
      </c>
      <c r="N203" s="20" t="inlineStr">
        <is>
          <t xml:space="preserve">        N/A           N/A           N/A</t>
        </is>
      </c>
      <c r="O203" s="20" t="inlineStr">
        <is>
          <t>8gaJ1UyT5fNGq5AFdrzQaegGwsP24Xd37xWpyisQpump</t>
        </is>
      </c>
      <c r="P203" s="20">
        <f>HYPERLINK("https://photon-sol.tinyastro.io/en/lp/8gaJ1UyT5fNGq5AFdrzQaegGwsP24Xd37xWpyisQpump?handle=676050794bc1b1657a56b", "View")</f>
        <v/>
      </c>
    </row>
    <row r="204">
      <c r="A204" s="15" t="inlineStr">
        <is>
          <t>FIGHT</t>
        </is>
      </c>
      <c r="B204" s="16" t="n">
        <v>81270</v>
      </c>
      <c r="C204" s="16" t="n">
        <v>0</v>
      </c>
      <c r="D204" s="16" t="inlineStr">
        <is>
          <t>0.000510</t>
        </is>
      </c>
      <c r="E204" s="16" t="inlineStr">
        <is>
          <t>0.300 SOL</t>
        </is>
      </c>
      <c r="F204" s="16" t="inlineStr">
        <is>
          <t>0.000 SOL</t>
        </is>
      </c>
      <c r="G204" s="17" t="inlineStr">
        <is>
          <t>-0.301 SOL</t>
        </is>
      </c>
      <c r="H204" s="17" t="inlineStr">
        <is>
          <t>0.00%</t>
        </is>
      </c>
      <c r="I204" s="16" t="inlineStr">
        <is>
          <t>81,270</t>
        </is>
      </c>
      <c r="J204" s="16" t="n">
        <v>1</v>
      </c>
      <c r="K204" s="16" t="n">
        <v>0</v>
      </c>
      <c r="L204" s="16" t="inlineStr">
        <is>
          <t>05.10.2024 15:34:04</t>
        </is>
      </c>
      <c r="M204" s="18" t="inlineStr">
        <is>
          <t>0 sec</t>
        </is>
      </c>
      <c r="N204" s="16" t="inlineStr">
        <is>
          <t xml:space="preserve">        648K           648K           676K</t>
        </is>
      </c>
      <c r="O204" s="16" t="inlineStr">
        <is>
          <t>KMnDBXcPXoz6oMJW5XG4tXdwSWpmWEP2RQM1Uujpump</t>
        </is>
      </c>
      <c r="P204" s="16">
        <f>HYPERLINK("https://dexscreener.com/solana/KMnDBXcPXoz6oMJW5XG4tXdwSWpmWEP2RQM1Uujpump", "View")</f>
        <v/>
      </c>
    </row>
    <row r="205">
      <c r="A205" s="19" t="inlineStr">
        <is>
          <t>Kat</t>
        </is>
      </c>
      <c r="B205" s="20" t="n">
        <v>736543</v>
      </c>
      <c r="C205" s="20" t="n">
        <v>736543</v>
      </c>
      <c r="D205" s="20" t="inlineStr">
        <is>
          <t>0.001010</t>
        </is>
      </c>
      <c r="E205" s="20" t="inlineStr">
        <is>
          <t>0.208 SOL</t>
        </is>
      </c>
      <c r="F205" s="20" t="inlineStr">
        <is>
          <t>0.126 SOL</t>
        </is>
      </c>
      <c r="G205" s="21" t="inlineStr">
        <is>
          <t>-0.083 SOL</t>
        </is>
      </c>
      <c r="H205" s="21" t="inlineStr">
        <is>
          <t>-39.68%</t>
        </is>
      </c>
      <c r="I205" s="20" t="inlineStr">
        <is>
          <t>N/A</t>
        </is>
      </c>
      <c r="J205" s="20" t="n">
        <v>1</v>
      </c>
      <c r="K205" s="20" t="n">
        <v>1</v>
      </c>
      <c r="L205" s="20" t="inlineStr">
        <is>
          <t>05.10.2024 12:48:13</t>
        </is>
      </c>
      <c r="M205" s="20" t="inlineStr">
        <is>
          <t>12 min</t>
        </is>
      </c>
      <c r="N205" s="20" t="inlineStr">
        <is>
          <t xml:space="preserve">        N/A           N/A           N/A</t>
        </is>
      </c>
      <c r="O205" s="20" t="inlineStr">
        <is>
          <t>CC21VoEp3ry71JqLXqonigEipfqwNCEAra8BdfbGpump</t>
        </is>
      </c>
      <c r="P205" s="20">
        <f>HYPERLINK("https://photon-sol.tinyastro.io/en/lp/CC21VoEp3ry71JqLXqonigEipfqwNCEAra8BdfbGpump?handle=676050794bc1b1657a56b", "View")</f>
        <v/>
      </c>
    </row>
    <row r="206">
      <c r="A206" s="15" t="inlineStr">
        <is>
          <t>MAXI</t>
        </is>
      </c>
      <c r="B206" s="16" t="n">
        <v>1778073</v>
      </c>
      <c r="C206" s="16" t="n">
        <v>0</v>
      </c>
      <c r="D206" s="16" t="inlineStr">
        <is>
          <t>0.000510</t>
        </is>
      </c>
      <c r="E206" s="16" t="inlineStr">
        <is>
          <t>0.208 SOL</t>
        </is>
      </c>
      <c r="F206" s="16" t="inlineStr">
        <is>
          <t>0.000 SOL</t>
        </is>
      </c>
      <c r="G206" s="17" t="inlineStr">
        <is>
          <t>-0.208 SOL</t>
        </is>
      </c>
      <c r="H206" s="17" t="inlineStr">
        <is>
          <t>0.00%</t>
        </is>
      </c>
      <c r="I206" s="16" t="inlineStr">
        <is>
          <t>1,778,073</t>
        </is>
      </c>
      <c r="J206" s="16" t="n">
        <v>1</v>
      </c>
      <c r="K206" s="16" t="n">
        <v>0</v>
      </c>
      <c r="L206" s="16" t="inlineStr">
        <is>
          <t>05.10.2024 12:11:53</t>
        </is>
      </c>
      <c r="M206" s="18" t="inlineStr">
        <is>
          <t>0 sec</t>
        </is>
      </c>
      <c r="N206" s="16" t="inlineStr">
        <is>
          <t xml:space="preserve">        N/A           N/A           N/A</t>
        </is>
      </c>
      <c r="O206" s="16" t="inlineStr">
        <is>
          <t>9TPFAQXndG6hA8EjrWeuvmMgbAWHg1VffmqqZZaHpump</t>
        </is>
      </c>
      <c r="P206" s="16">
        <f>HYPERLINK("https://photon-sol.tinyastro.io/en/lp/9TPFAQXndG6hA8EjrWeuvmMgbAWHg1VffmqqZZaHpump?handle=676050794bc1b1657a56b", "View")</f>
        <v/>
      </c>
    </row>
    <row r="207">
      <c r="A207" s="19" t="inlineStr">
        <is>
          <t>ARKY</t>
        </is>
      </c>
      <c r="B207" s="20" t="n">
        <v>163872</v>
      </c>
      <c r="C207" s="20" t="n">
        <v>163872</v>
      </c>
      <c r="D207" s="20" t="inlineStr">
        <is>
          <t>0.001010</t>
        </is>
      </c>
      <c r="E207" s="20" t="inlineStr">
        <is>
          <t>0.200 SOL</t>
        </is>
      </c>
      <c r="F207" s="20" t="inlineStr">
        <is>
          <t>0.396 SOL</t>
        </is>
      </c>
      <c r="G207" s="23" t="inlineStr">
        <is>
          <t>0.195 SOL</t>
        </is>
      </c>
      <c r="H207" s="23" t="inlineStr">
        <is>
          <t>96.80%</t>
        </is>
      </c>
      <c r="I207" s="20" t="inlineStr">
        <is>
          <t>N/A</t>
        </is>
      </c>
      <c r="J207" s="20" t="n">
        <v>1</v>
      </c>
      <c r="K207" s="20" t="n">
        <v>1</v>
      </c>
      <c r="L207" s="20" t="inlineStr">
        <is>
          <t>05.10.2024 11:29:33</t>
        </is>
      </c>
      <c r="M207" s="20" t="inlineStr">
        <is>
          <t>2 hours</t>
        </is>
      </c>
      <c r="N207" s="20" t="inlineStr">
        <is>
          <t xml:space="preserve">        214K           423K             8K</t>
        </is>
      </c>
      <c r="O207" s="20" t="inlineStr">
        <is>
          <t>8sUY1bHHNC7Ystya9cAKtH2RrLssaUfnj34kiyGbpump</t>
        </is>
      </c>
      <c r="P207" s="20">
        <f>HYPERLINK("https://dexscreener.com/solana/8sUY1bHHNC7Ystya9cAKtH2RrLssaUfnj34kiyGbpump", "View")</f>
        <v/>
      </c>
    </row>
    <row r="208">
      <c r="A208" s="15" t="inlineStr">
        <is>
          <t>CloudCash</t>
        </is>
      </c>
      <c r="B208" s="16" t="n">
        <v>971174</v>
      </c>
      <c r="C208" s="16" t="n">
        <v>0</v>
      </c>
      <c r="D208" s="16" t="inlineStr">
        <is>
          <t>0.000510</t>
        </is>
      </c>
      <c r="E208" s="16" t="inlineStr">
        <is>
          <t>0.200 SOL</t>
        </is>
      </c>
      <c r="F208" s="16" t="inlineStr">
        <is>
          <t>0.000 SOL</t>
        </is>
      </c>
      <c r="G208" s="17" t="inlineStr">
        <is>
          <t>-0.201 SOL</t>
        </is>
      </c>
      <c r="H208" s="17" t="inlineStr">
        <is>
          <t>0.00%</t>
        </is>
      </c>
      <c r="I208" s="16" t="inlineStr">
        <is>
          <t>971,174</t>
        </is>
      </c>
      <c r="J208" s="16" t="n">
        <v>1</v>
      </c>
      <c r="K208" s="16" t="n">
        <v>0</v>
      </c>
      <c r="L208" s="16" t="inlineStr">
        <is>
          <t>05.10.2024 10:26:04</t>
        </is>
      </c>
      <c r="M208" s="18" t="inlineStr">
        <is>
          <t>0 sec</t>
        </is>
      </c>
      <c r="N208" s="16" t="inlineStr">
        <is>
          <t xml:space="preserve">         37K            37K             6K</t>
        </is>
      </c>
      <c r="O208" s="16" t="inlineStr">
        <is>
          <t>2QY1BG2YDfRCbPQRyDrKjv7boi3m1kf8PEXEjbWxpump</t>
        </is>
      </c>
      <c r="P208" s="16">
        <f>HYPERLINK("https://dexscreener.com/solana/2QY1BG2YDfRCbPQRyDrKjv7boi3m1kf8PEXEjbWxpump", "View")</f>
        <v/>
      </c>
    </row>
    <row r="209">
      <c r="A209" s="19" t="inlineStr">
        <is>
          <t>LS</t>
        </is>
      </c>
      <c r="B209" s="20" t="n">
        <v>4115581</v>
      </c>
      <c r="C209" s="20" t="n">
        <v>0</v>
      </c>
      <c r="D209" s="20" t="inlineStr">
        <is>
          <t>0.000510</t>
        </is>
      </c>
      <c r="E209" s="20" t="inlineStr">
        <is>
          <t>0.208 SOL</t>
        </is>
      </c>
      <c r="F209" s="20" t="inlineStr">
        <is>
          <t>0.000 SOL</t>
        </is>
      </c>
      <c r="G209" s="17" t="inlineStr">
        <is>
          <t>-0.209 SOL</t>
        </is>
      </c>
      <c r="H209" s="17" t="inlineStr">
        <is>
          <t>0.00%</t>
        </is>
      </c>
      <c r="I209" s="20" t="inlineStr">
        <is>
          <t>4,115,581</t>
        </is>
      </c>
      <c r="J209" s="20" t="n">
        <v>1</v>
      </c>
      <c r="K209" s="20" t="n">
        <v>0</v>
      </c>
      <c r="L209" s="20" t="inlineStr">
        <is>
          <t>05.10.2024 08:30:20</t>
        </is>
      </c>
      <c r="M209" s="18" t="inlineStr">
        <is>
          <t>0 sec</t>
        </is>
      </c>
      <c r="N209" s="20" t="inlineStr">
        <is>
          <t xml:space="preserve">        N/A           N/A           N/A</t>
        </is>
      </c>
      <c r="O209" s="20" t="inlineStr">
        <is>
          <t>9vhHzgX4x4t6MgwrDF8NYKZG5Q5mhjwnph1BoA2vpump</t>
        </is>
      </c>
      <c r="P209" s="20">
        <f>HYPERLINK("https://photon-sol.tinyastro.io/en/lp/9vhHzgX4x4t6MgwrDF8NYKZG5Q5mhjwnph1BoA2vpump?handle=676050794bc1b1657a56b", "View")</f>
        <v/>
      </c>
    </row>
    <row r="210">
      <c r="A210" s="15" t="inlineStr">
        <is>
          <t>TITCOIN</t>
        </is>
      </c>
      <c r="B210" s="16" t="n">
        <v>1630652</v>
      </c>
      <c r="C210" s="16" t="n">
        <v>0</v>
      </c>
      <c r="D210" s="16" t="inlineStr">
        <is>
          <t>0.000510</t>
        </is>
      </c>
      <c r="E210" s="16" t="inlineStr">
        <is>
          <t>0.205 SOL</t>
        </is>
      </c>
      <c r="F210" s="16" t="inlineStr">
        <is>
          <t>0.000 SOL</t>
        </is>
      </c>
      <c r="G210" s="17" t="inlineStr">
        <is>
          <t>-0.206 SOL</t>
        </is>
      </c>
      <c r="H210" s="17" t="inlineStr">
        <is>
          <t>0.00%</t>
        </is>
      </c>
      <c r="I210" s="16" t="inlineStr">
        <is>
          <t>1,630,652</t>
        </is>
      </c>
      <c r="J210" s="16" t="n">
        <v>1</v>
      </c>
      <c r="K210" s="16" t="n">
        <v>0</v>
      </c>
      <c r="L210" s="16" t="inlineStr">
        <is>
          <t>05.10.2024 08:09:03</t>
        </is>
      </c>
      <c r="M210" s="18" t="inlineStr">
        <is>
          <t>0 sec</t>
        </is>
      </c>
      <c r="N210" s="16" t="inlineStr">
        <is>
          <t xml:space="preserve">        N/A           N/A           N/A</t>
        </is>
      </c>
      <c r="O210" s="16" t="inlineStr">
        <is>
          <t>FQATRqKVHVxfQPRczp4FHgP3BqJoSzkx95Cn9Ubjpump</t>
        </is>
      </c>
      <c r="P210" s="16">
        <f>HYPERLINK("https://photon-sol.tinyastro.io/en/lp/FQATRqKVHVxfQPRczp4FHgP3BqJoSzkx95Cn9Ubjpump?handle=676050794bc1b1657a56b", "View")</f>
        <v/>
      </c>
    </row>
    <row r="211">
      <c r="A211" s="19" t="inlineStr">
        <is>
          <t>netcoin</t>
        </is>
      </c>
      <c r="B211" s="20" t="n">
        <v>1464275</v>
      </c>
      <c r="C211" s="20" t="n">
        <v>0</v>
      </c>
      <c r="D211" s="20" t="inlineStr">
        <is>
          <t>0.000510</t>
        </is>
      </c>
      <c r="E211" s="20" t="inlineStr">
        <is>
          <t>0.300 SOL</t>
        </is>
      </c>
      <c r="F211" s="20" t="inlineStr">
        <is>
          <t>0.000 SOL</t>
        </is>
      </c>
      <c r="G211" s="17" t="inlineStr">
        <is>
          <t>-0.301 SOL</t>
        </is>
      </c>
      <c r="H211" s="17" t="inlineStr">
        <is>
          <t>0.00%</t>
        </is>
      </c>
      <c r="I211" s="20" t="inlineStr">
        <is>
          <t>1,464,275</t>
        </is>
      </c>
      <c r="J211" s="20" t="n">
        <v>1</v>
      </c>
      <c r="K211" s="20" t="n">
        <v>0</v>
      </c>
      <c r="L211" s="20" t="inlineStr">
        <is>
          <t>05.10.2024 07:49:48</t>
        </is>
      </c>
      <c r="M211" s="18" t="inlineStr">
        <is>
          <t>0 sec</t>
        </is>
      </c>
      <c r="N211" s="20" t="inlineStr">
        <is>
          <t xml:space="preserve">         35K            35K             5K</t>
        </is>
      </c>
      <c r="O211" s="20" t="inlineStr">
        <is>
          <t>ksc7j7WBKfeQWKivhxkqA4ZQ35XoFX26kxGgr7Tpump</t>
        </is>
      </c>
      <c r="P211" s="20">
        <f>HYPERLINK("https://dexscreener.com/solana/ksc7j7WBKfeQWKivhxkqA4ZQ35XoFX26kxGgr7Tpump", "View")</f>
        <v/>
      </c>
    </row>
    <row r="212">
      <c r="A212" s="15" t="inlineStr">
        <is>
          <t>NTC</t>
        </is>
      </c>
      <c r="B212" s="16" t="n">
        <v>535295</v>
      </c>
      <c r="C212" s="16" t="n">
        <v>234191</v>
      </c>
      <c r="D212" s="16" t="inlineStr">
        <is>
          <t>0.001520</t>
        </is>
      </c>
      <c r="E212" s="16" t="inlineStr">
        <is>
          <t>0.203 SOL</t>
        </is>
      </c>
      <c r="F212" s="16" t="inlineStr">
        <is>
          <t>0.552 SOL</t>
        </is>
      </c>
      <c r="G212" s="23" t="inlineStr">
        <is>
          <t>0.348 SOL</t>
        </is>
      </c>
      <c r="H212" s="23" t="inlineStr">
        <is>
          <t>170.56%</t>
        </is>
      </c>
      <c r="I212" s="16" t="inlineStr">
        <is>
          <t>N/A</t>
        </is>
      </c>
      <c r="J212" s="16" t="n">
        <v>1</v>
      </c>
      <c r="K212" s="16" t="n">
        <v>2</v>
      </c>
      <c r="L212" s="16" t="inlineStr">
        <is>
          <t>05.10.2024 07:40:59</t>
        </is>
      </c>
      <c r="M212" s="16" t="inlineStr">
        <is>
          <t>31 min</t>
        </is>
      </c>
      <c r="N212" s="16" t="inlineStr">
        <is>
          <t xml:space="preserve">         67K           595K             7K</t>
        </is>
      </c>
      <c r="O212" s="16" t="inlineStr">
        <is>
          <t>ADSTQMsKEwSz9Y8oXn7fQ5JJ8yTq4TwgrXQVh4KHpump</t>
        </is>
      </c>
      <c r="P212" s="16">
        <f>HYPERLINK("https://photon-sol.tinyastro.io/en/lp/ADSTQMsKEwSz9Y8oXn7fQ5JJ8yTq4TwgrXQVh4KHpump?handle=676050794bc1b1657a56b", "View")</f>
        <v/>
      </c>
    </row>
    <row r="213">
      <c r="A213" s="19" t="inlineStr">
        <is>
          <t>ntc</t>
        </is>
      </c>
      <c r="B213" s="20" t="n">
        <v>1521809</v>
      </c>
      <c r="C213" s="20" t="n">
        <v>0</v>
      </c>
      <c r="D213" s="20" t="inlineStr">
        <is>
          <t>0.000510</t>
        </is>
      </c>
      <c r="E213" s="20" t="inlineStr">
        <is>
          <t>0.201 SOL</t>
        </is>
      </c>
      <c r="F213" s="20" t="inlineStr">
        <is>
          <t>0.000 SOL</t>
        </is>
      </c>
      <c r="G213" s="17" t="inlineStr">
        <is>
          <t>-0.201 SOL</t>
        </is>
      </c>
      <c r="H213" s="17" t="inlineStr">
        <is>
          <t>0.00%</t>
        </is>
      </c>
      <c r="I213" s="20" t="inlineStr">
        <is>
          <t>1,521,809</t>
        </is>
      </c>
      <c r="J213" s="20" t="n">
        <v>1</v>
      </c>
      <c r="K213" s="20" t="n">
        <v>0</v>
      </c>
      <c r="L213" s="20" t="inlineStr">
        <is>
          <t>05.10.2024 07:39:46</t>
        </is>
      </c>
      <c r="M213" s="18" t="inlineStr">
        <is>
          <t>0 sec</t>
        </is>
      </c>
      <c r="N213" s="20" t="inlineStr">
        <is>
          <t xml:space="preserve">        N/A           N/A           N/A</t>
        </is>
      </c>
      <c r="O213" s="20" t="inlineStr">
        <is>
          <t>A9g76u464tbpQK6yFFfmGGz9BedKx5mQGVk2XDSFpump</t>
        </is>
      </c>
      <c r="P213" s="20">
        <f>HYPERLINK("https://photon-sol.tinyastro.io/en/lp/A9g76u464tbpQK6yFFfmGGz9BedKx5mQGVk2XDSFpump?handle=676050794bc1b1657a56b", "View")</f>
        <v/>
      </c>
    </row>
    <row r="214">
      <c r="A214" s="15" t="inlineStr">
        <is>
          <t>Amanita</t>
        </is>
      </c>
      <c r="B214" s="16" t="n">
        <v>552719</v>
      </c>
      <c r="C214" s="16" t="n">
        <v>276360</v>
      </c>
      <c r="D214" s="16" t="inlineStr">
        <is>
          <t>0.001010</t>
        </is>
      </c>
      <c r="E214" s="16" t="inlineStr">
        <is>
          <t>0.300 SOL</t>
        </is>
      </c>
      <c r="F214" s="16" t="inlineStr">
        <is>
          <t>0.401 SOL</t>
        </is>
      </c>
      <c r="G214" s="22" t="inlineStr">
        <is>
          <t>0.100 SOL</t>
        </is>
      </c>
      <c r="H214" s="22" t="inlineStr">
        <is>
          <t>33.14%</t>
        </is>
      </c>
      <c r="I214" s="16" t="inlineStr">
        <is>
          <t>N/A</t>
        </is>
      </c>
      <c r="J214" s="16" t="n">
        <v>1</v>
      </c>
      <c r="K214" s="16" t="n">
        <v>1</v>
      </c>
      <c r="L214" s="16" t="inlineStr">
        <is>
          <t>05.10.2024 06:57:18</t>
        </is>
      </c>
      <c r="M214" s="16" t="inlineStr">
        <is>
          <t>39 min</t>
        </is>
      </c>
      <c r="N214" s="16" t="inlineStr">
        <is>
          <t xml:space="preserve">         91K           245K             5K</t>
        </is>
      </c>
      <c r="O214" s="16" t="inlineStr">
        <is>
          <t>Aobm2GsT7YbRrb8WTGXLf22FPJQdByPHpmZDW2YBpump</t>
        </is>
      </c>
      <c r="P214" s="16">
        <f>HYPERLINK("https://dexscreener.com/solana/Aobm2GsT7YbRrb8WTGXLf22FPJQdByPHpmZDW2YBpump", "View")</f>
        <v/>
      </c>
    </row>
    <row r="215">
      <c r="A215" s="19" t="inlineStr">
        <is>
          <t>lily</t>
        </is>
      </c>
      <c r="B215" s="20" t="n">
        <v>1866666</v>
      </c>
      <c r="C215" s="20" t="n">
        <v>0</v>
      </c>
      <c r="D215" s="20" t="inlineStr">
        <is>
          <t>0.000510</t>
        </is>
      </c>
      <c r="E215" s="20" t="inlineStr">
        <is>
          <t>0.500 SOL</t>
        </is>
      </c>
      <c r="F215" s="20" t="inlineStr">
        <is>
          <t>0.000 SOL</t>
        </is>
      </c>
      <c r="G215" s="17" t="inlineStr">
        <is>
          <t>-0.501 SOL</t>
        </is>
      </c>
      <c r="H215" s="17" t="inlineStr">
        <is>
          <t>0.00%</t>
        </is>
      </c>
      <c r="I215" s="20" t="inlineStr">
        <is>
          <t>1,866,666</t>
        </is>
      </c>
      <c r="J215" s="20" t="n">
        <v>1</v>
      </c>
      <c r="K215" s="20" t="n">
        <v>0</v>
      </c>
      <c r="L215" s="20" t="inlineStr">
        <is>
          <t>04.10.2024 19:45:13</t>
        </is>
      </c>
      <c r="M215" s="18" t="inlineStr">
        <is>
          <t>0 sec</t>
        </is>
      </c>
      <c r="N215" s="20" t="inlineStr">
        <is>
          <t xml:space="preserve">         47K            47K             5K</t>
        </is>
      </c>
      <c r="O215" s="20" t="inlineStr">
        <is>
          <t>EUa96d2NnprAUhFAeVxk76E8UNzQgimLker4yUyupump</t>
        </is>
      </c>
      <c r="P215" s="20">
        <f>HYPERLINK("https://dexscreener.com/solana/EUa96d2NnprAUhFAeVxk76E8UNzQgimLker4yUyupump", "View")</f>
        <v/>
      </c>
    </row>
    <row r="216">
      <c r="A216" s="15" t="inlineStr">
        <is>
          <t>POPMART</t>
        </is>
      </c>
      <c r="B216" s="16" t="n">
        <v>1925322</v>
      </c>
      <c r="C216" s="16" t="n">
        <v>0</v>
      </c>
      <c r="D216" s="16" t="inlineStr">
        <is>
          <t>0.000510</t>
        </is>
      </c>
      <c r="E216" s="16" t="inlineStr">
        <is>
          <t>0.300 SOL</t>
        </is>
      </c>
      <c r="F216" s="16" t="inlineStr">
        <is>
          <t>0.000 SOL</t>
        </is>
      </c>
      <c r="G216" s="17" t="inlineStr">
        <is>
          <t>-0.301 SOL</t>
        </is>
      </c>
      <c r="H216" s="17" t="inlineStr">
        <is>
          <t>0.00%</t>
        </is>
      </c>
      <c r="I216" s="16" t="inlineStr">
        <is>
          <t>1,925,322</t>
        </is>
      </c>
      <c r="J216" s="16" t="n">
        <v>1</v>
      </c>
      <c r="K216" s="16" t="n">
        <v>0</v>
      </c>
      <c r="L216" s="16" t="inlineStr">
        <is>
          <t>04.10.2024 16:18:50</t>
        </is>
      </c>
      <c r="M216" s="18" t="inlineStr">
        <is>
          <t>0 sec</t>
        </is>
      </c>
      <c r="N216" s="16" t="inlineStr">
        <is>
          <t xml:space="preserve">         28K            28K             9K</t>
        </is>
      </c>
      <c r="O216" s="16" t="inlineStr">
        <is>
          <t>5zKZyG8HfM42Ekj68sBUj1j9hyKwcYCNsU5DRwU3pump</t>
        </is>
      </c>
      <c r="P216" s="16">
        <f>HYPERLINK("https://dexscreener.com/solana/5zKZyG8HfM42Ekj68sBUj1j9hyKwcYCNsU5DRwU3pump", "View")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HYPERLINK("https://gmgn.ai/sol/address/AaWigwfhLr8DUDxQs8SHS9U3NngUzqW8k4uEUAorijUR", "GMGN")</f>
        <v/>
      </c>
    </row>
    <row r="2">
      <c r="A2" s="3" t="inlineStr">
        <is>
          <t>AaWigwfhLr8DUDxQs8SHS9U3NngUzqW8k4uEUAorijUR</t>
        </is>
      </c>
      <c r="B2" s="3" t="inlineStr">
        <is>
          <t>44.84 SOL</t>
        </is>
      </c>
      <c r="C2" s="3" t="inlineStr">
        <is>
          <t>47%</t>
        </is>
      </c>
      <c r="D2" s="3" t="inlineStr">
        <is>
          <t>55%</t>
        </is>
      </c>
      <c r="E2" s="3" t="inlineStr">
        <is>
          <t>38.01 SOL</t>
        </is>
      </c>
      <c r="F2" s="3" t="inlineStr">
        <is>
          <t>1 (6%)</t>
        </is>
      </c>
      <c r="G2" s="3" t="inlineStr">
        <is>
          <t>0 (0%)</t>
        </is>
      </c>
      <c r="H2" s="3" t="n">
        <v>17</v>
      </c>
      <c r="I2" s="3" t="n">
        <v>0</v>
      </c>
      <c r="J2" s="3" t="inlineStr">
        <is>
          <t>12 days</t>
        </is>
      </c>
      <c r="K2" s="3" t="inlineStr">
        <is>
          <t>6 h</t>
        </is>
      </c>
      <c r="L2" s="3" t="n">
        <v>6</v>
      </c>
      <c r="M2" s="3" t="n">
        <v>14</v>
      </c>
      <c r="N2" s="3">
        <f>HYPERLINK("https://solscan.io/account/AaWigwfhLr8DUDxQs8SHS9U3NngUzqW8k4uEUAorijUR", "Solscan")</f>
        <v/>
      </c>
    </row>
    <row r="3">
      <c r="A3" s="6" t="inlineStr">
        <is>
          <t>Median ROI</t>
        </is>
      </c>
      <c r="B3" s="5" t="inlineStr">
        <is>
          <t>-5.01%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HYPERLINK("https://birdeye.so/profile/AaWigwfhLr8DUDxQs8SHS9U3NngUzqW8k4uEUAorijUR", "Birdeye")</f>
        <v/>
      </c>
    </row>
    <row r="4">
      <c r="A4" s="6" t="inlineStr">
        <is>
          <t>Rockets percent</t>
        </is>
      </c>
      <c r="B4" s="3" t="inlineStr">
        <is>
          <t>18%</t>
        </is>
      </c>
      <c r="C4" s="3" t="inlineStr"/>
      <c r="D4" s="3" t="inlineStr">
        <is>
          <t>91%</t>
        </is>
      </c>
      <c r="E4" s="3" t="inlineStr">
        <is>
          <t>61.74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12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1.8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2</v>
      </c>
      <c r="D10" s="6" t="n">
        <v>0</v>
      </c>
      <c r="E10" s="6" t="n">
        <v>5</v>
      </c>
      <c r="F10" s="6" t="n">
        <v>7</v>
      </c>
      <c r="G10" s="6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5.9%</t>
        </is>
      </c>
      <c r="C11" s="6" t="inlineStr">
        <is>
          <t>11.8%</t>
        </is>
      </c>
      <c r="D11" s="6" t="inlineStr">
        <is>
          <t>0.0%</t>
        </is>
      </c>
      <c r="E11" s="6" t="inlineStr">
        <is>
          <t>29.4%</t>
        </is>
      </c>
      <c r="F11" s="6" t="inlineStr">
        <is>
          <t>41.2%</t>
        </is>
      </c>
      <c r="G11" s="6" t="inlineStr">
        <is>
          <t>11.8%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45.7 SOL</t>
        </is>
      </c>
      <c r="C12" s="6" t="inlineStr">
        <is>
          <t>10.7 SOL</t>
        </is>
      </c>
      <c r="D12" s="6" t="inlineStr">
        <is>
          <t>0.0 SOL</t>
        </is>
      </c>
      <c r="E12" s="6" t="inlineStr">
        <is>
          <t>2.8 SOL</t>
        </is>
      </c>
      <c r="F12" s="6" t="inlineStr">
        <is>
          <t>-8.2 SOL</t>
        </is>
      </c>
      <c r="G12" s="6" t="inlineStr">
        <is>
          <t>-13.0 SOL</t>
        </is>
      </c>
      <c r="H12" s="3" t="n"/>
      <c r="I12" s="3" t="inlineStr">
        <is>
          <t>30k-100k</t>
        </is>
      </c>
      <c r="J12" s="3" t="inlineStr">
        <is>
          <t>7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53.0K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PURR</t>
        </is>
      </c>
      <c r="B20" s="16" t="n">
        <v>24929231</v>
      </c>
      <c r="C20" s="16" t="n">
        <v>24929231</v>
      </c>
      <c r="D20" s="16" t="inlineStr">
        <is>
          <t>0.013010</t>
        </is>
      </c>
      <c r="E20" s="16" t="inlineStr">
        <is>
          <t>2.815 SOL</t>
        </is>
      </c>
      <c r="F20" s="16" t="inlineStr">
        <is>
          <t>1.761 SOL</t>
        </is>
      </c>
      <c r="G20" s="21" t="inlineStr">
        <is>
          <t>-1.067 SOL</t>
        </is>
      </c>
      <c r="H20" s="21" t="inlineStr">
        <is>
          <t>-37.71%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21:32:36</t>
        </is>
      </c>
      <c r="M20" s="16" t="inlineStr">
        <is>
          <t>2 hours</t>
        </is>
      </c>
      <c r="N20" s="16" t="inlineStr">
        <is>
          <t xml:space="preserve">         18K            18K            17K</t>
        </is>
      </c>
      <c r="O20" s="16" t="inlineStr">
        <is>
          <t>Tz1SURXfPznRZFycdV93o11jJLMBMy1qYiVuQ8Tpump</t>
        </is>
      </c>
      <c r="P20" s="16">
        <f>HYPERLINK("https://photon-sol.tinyastro.io/en/lp/Tz1SURXfPznRZFycdV93o11jJLMBMy1qYiVuQ8Tpump?handle=676050794bc1b1657a56b", "View")</f>
        <v/>
      </c>
    </row>
    <row r="21">
      <c r="A21" s="19" t="inlineStr">
        <is>
          <t>PRESIDENT</t>
        </is>
      </c>
      <c r="B21" s="20" t="n">
        <v>7774896</v>
      </c>
      <c r="C21" s="20" t="n">
        <v>7774896</v>
      </c>
      <c r="D21" s="20" t="inlineStr">
        <is>
          <t>0.028020</t>
        </is>
      </c>
      <c r="E21" s="20" t="inlineStr">
        <is>
          <t>4.000 SOL</t>
        </is>
      </c>
      <c r="F21" s="20" t="inlineStr">
        <is>
          <t>2.348 SOL</t>
        </is>
      </c>
      <c r="G21" s="21" t="inlineStr">
        <is>
          <t>-1.680 SOL</t>
        </is>
      </c>
      <c r="H21" s="21" t="inlineStr">
        <is>
          <t>-41.70%</t>
        </is>
      </c>
      <c r="I21" s="20" t="inlineStr">
        <is>
          <t>N/A</t>
        </is>
      </c>
      <c r="J21" s="20" t="n">
        <v>2</v>
      </c>
      <c r="K21" s="20" t="n">
        <v>2</v>
      </c>
      <c r="L21" s="20" t="inlineStr">
        <is>
          <t>30.10.2024 16:49:23</t>
        </is>
      </c>
      <c r="M21" s="20" t="inlineStr">
        <is>
          <t>17 hours</t>
        </is>
      </c>
      <c r="N21" s="20" t="inlineStr">
        <is>
          <t xml:space="preserve">         79K           111K            34K</t>
        </is>
      </c>
      <c r="O21" s="20" t="inlineStr">
        <is>
          <t>Hru5FVFRLhnjjDKf8jjCb6rSdPdGDP46uAVD3575pump</t>
        </is>
      </c>
      <c r="P21" s="20">
        <f>HYPERLINK("https://dexscreener.com/solana/Hru5FVFRLhnjjDKf8jjCb6rSdPdGDP46uAVD3575pump", "View")</f>
        <v/>
      </c>
    </row>
    <row r="22">
      <c r="A22" s="15" t="inlineStr">
        <is>
          <t>$CORGI</t>
        </is>
      </c>
      <c r="B22" s="16" t="n">
        <v>1116062</v>
      </c>
      <c r="C22" s="16" t="n">
        <v>0</v>
      </c>
      <c r="D22" s="16" t="inlineStr">
        <is>
          <t>0.005000</t>
        </is>
      </c>
      <c r="E22" s="16" t="inlineStr">
        <is>
          <t>5.000 SOL</t>
        </is>
      </c>
      <c r="F22" s="16" t="inlineStr">
        <is>
          <t>0.000 SOL</t>
        </is>
      </c>
      <c r="G22" s="17" t="inlineStr">
        <is>
          <t>-5.005 SOL</t>
        </is>
      </c>
      <c r="H22" s="17" t="inlineStr">
        <is>
          <t>0.00%</t>
        </is>
      </c>
      <c r="I22" s="16" t="inlineStr">
        <is>
          <t>1,116,062</t>
        </is>
      </c>
      <c r="J22" s="16" t="n">
        <v>1</v>
      </c>
      <c r="K22" s="16" t="n">
        <v>0</v>
      </c>
      <c r="L22" s="16" t="inlineStr">
        <is>
          <t>30.10.2024 14:38:03</t>
        </is>
      </c>
      <c r="M22" s="18" t="inlineStr">
        <is>
          <t>0 sec</t>
        </is>
      </c>
      <c r="N22" s="16" t="inlineStr">
        <is>
          <t xml:space="preserve">        787K           787K             2M</t>
        </is>
      </c>
      <c r="O22" s="16" t="inlineStr">
        <is>
          <t>AxSrdG3L5Y7kaMEAibhGHto8Abs9dXnTt19PS1gH3gT1</t>
        </is>
      </c>
      <c r="P22" s="16">
        <f>HYPERLINK("https://dexscreener.com/solana/AxSrdG3L5Y7kaMEAibhGHto8Abs9dXnTt19PS1gH3gT1", "View")</f>
        <v/>
      </c>
    </row>
    <row r="23">
      <c r="A23" s="19" t="inlineStr">
        <is>
          <t>SHEEPX</t>
        </is>
      </c>
      <c r="B23" s="20" t="n">
        <v>8781140</v>
      </c>
      <c r="C23" s="20" t="n">
        <v>8781140</v>
      </c>
      <c r="D23" s="20" t="inlineStr">
        <is>
          <t>0.022010</t>
        </is>
      </c>
      <c r="E23" s="20" t="inlineStr">
        <is>
          <t>5.000 SOL</t>
        </is>
      </c>
      <c r="F23" s="20" t="inlineStr">
        <is>
          <t>4.220 SOL</t>
        </is>
      </c>
      <c r="G23" s="21" t="inlineStr">
        <is>
          <t>-0.802 SOL</t>
        </is>
      </c>
      <c r="H23" s="21" t="inlineStr">
        <is>
          <t>-15.97%</t>
        </is>
      </c>
      <c r="I23" s="20" t="inlineStr">
        <is>
          <t>N/A</t>
        </is>
      </c>
      <c r="J23" s="20" t="n">
        <v>2</v>
      </c>
      <c r="K23" s="20" t="n">
        <v>1</v>
      </c>
      <c r="L23" s="20" t="inlineStr">
        <is>
          <t>30.10.2024 07:37:43</t>
        </is>
      </c>
      <c r="M23" s="20" t="inlineStr">
        <is>
          <t>1 days</t>
        </is>
      </c>
      <c r="N23" s="20" t="inlineStr">
        <is>
          <t xml:space="preserve">         96K            65K           141K</t>
        </is>
      </c>
      <c r="O23" s="20" t="inlineStr">
        <is>
          <t>3fD9yseVKovAhGwjpkopZeQKxKzgd7Fe1ReJ6S49J3LW</t>
        </is>
      </c>
      <c r="P23" s="20">
        <f>HYPERLINK("https://dexscreener.com/solana/3fD9yseVKovAhGwjpkopZeQKxKzgd7Fe1ReJ6S49J3LW", "View")</f>
        <v/>
      </c>
    </row>
    <row r="24">
      <c r="A24" s="15" t="inlineStr">
        <is>
          <t>santa</t>
        </is>
      </c>
      <c r="B24" s="16" t="n">
        <v>16083920</v>
      </c>
      <c r="C24" s="16" t="n">
        <v>0</v>
      </c>
      <c r="D24" s="16" t="inlineStr">
        <is>
          <t>0.006010</t>
        </is>
      </c>
      <c r="E24" s="16" t="inlineStr">
        <is>
          <t>8.000 SOL</t>
        </is>
      </c>
      <c r="F24" s="16" t="inlineStr">
        <is>
          <t>0.000 SOL</t>
        </is>
      </c>
      <c r="G24" s="17" t="inlineStr">
        <is>
          <t>-8.006 SOL</t>
        </is>
      </c>
      <c r="H24" s="17" t="inlineStr">
        <is>
          <t>0.00%</t>
        </is>
      </c>
      <c r="I24" s="16" t="inlineStr">
        <is>
          <t>16,083,920</t>
        </is>
      </c>
      <c r="J24" s="16" t="n">
        <v>2</v>
      </c>
      <c r="K24" s="16" t="n">
        <v>0</v>
      </c>
      <c r="L24" s="16" t="inlineStr">
        <is>
          <t>30.10.2024 05:45:40</t>
        </is>
      </c>
      <c r="M24" s="16" t="inlineStr">
        <is>
          <t>6 min</t>
        </is>
      </c>
      <c r="N24" s="16" t="inlineStr">
        <is>
          <t xml:space="preserve">         86K            88K            64K</t>
        </is>
      </c>
      <c r="O24" s="16" t="inlineStr">
        <is>
          <t>34wfgAa6JzKxN1TGCneRk3LY1xetvnF8q5n6H7fzf2TY</t>
        </is>
      </c>
      <c r="P24" s="16">
        <f>HYPERLINK("https://dexscreener.com/solana/34wfgAa6JzKxN1TGCneRk3LY1xetvnF8q5n6H7fzf2TY", "View")</f>
        <v/>
      </c>
    </row>
    <row r="25">
      <c r="A25" s="19" t="inlineStr">
        <is>
          <t>Les</t>
        </is>
      </c>
      <c r="B25" s="20" t="n">
        <v>9998452</v>
      </c>
      <c r="C25" s="20" t="n">
        <v>9998452</v>
      </c>
      <c r="D25" s="20" t="inlineStr">
        <is>
          <t>0.012010</t>
        </is>
      </c>
      <c r="E25" s="20" t="inlineStr">
        <is>
          <t>3.000 SOL</t>
        </is>
      </c>
      <c r="F25" s="20" t="inlineStr">
        <is>
          <t>3.067 SOL</t>
        </is>
      </c>
      <c r="G25" s="22" t="inlineStr">
        <is>
          <t>0.055 SOL</t>
        </is>
      </c>
      <c r="H25" s="22" t="inlineStr">
        <is>
          <t>1.82%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30.10.2024 00:37:15</t>
        </is>
      </c>
      <c r="M25" s="20" t="inlineStr">
        <is>
          <t>4 hours</t>
        </is>
      </c>
      <c r="N25" s="20" t="inlineStr">
        <is>
          <t xml:space="preserve">         53K            53K            17K</t>
        </is>
      </c>
      <c r="O25" s="20" t="inlineStr">
        <is>
          <t>2STuxBNmKUtBkAzLwuN8hVKWYMGf6h3vVHSJJe74pump</t>
        </is>
      </c>
      <c r="P25" s="20">
        <f>HYPERLINK("https://dexscreener.com/solana/2STuxBNmKUtBkAzLwuN8hVKWYMGf6h3vVHSJJe74pump", "View")</f>
        <v/>
      </c>
    </row>
    <row r="26">
      <c r="A26" s="15" t="inlineStr">
        <is>
          <t>BARK</t>
        </is>
      </c>
      <c r="B26" s="16" t="n">
        <v>9222309</v>
      </c>
      <c r="C26" s="16" t="n">
        <v>9222309</v>
      </c>
      <c r="D26" s="16" t="inlineStr">
        <is>
          <t>0.020010</t>
        </is>
      </c>
      <c r="E26" s="16" t="inlineStr">
        <is>
          <t>1.500 SOL</t>
        </is>
      </c>
      <c r="F26" s="16" t="inlineStr">
        <is>
          <t>8.109 SOL</t>
        </is>
      </c>
      <c r="G26" s="23" t="inlineStr">
        <is>
          <t>6.589 SOL</t>
        </is>
      </c>
      <c r="H26" s="23" t="inlineStr">
        <is>
          <t>433.48%</t>
        </is>
      </c>
      <c r="I26" s="16" t="inlineStr">
        <is>
          <t>N/A</t>
        </is>
      </c>
      <c r="J26" s="16" t="n">
        <v>2</v>
      </c>
      <c r="K26" s="16" t="n">
        <v>1</v>
      </c>
      <c r="L26" s="16" t="inlineStr">
        <is>
          <t>29.10.2024 08:34:10</t>
        </is>
      </c>
      <c r="M26" s="16" t="inlineStr">
        <is>
          <t>13 hours</t>
        </is>
      </c>
      <c r="N26" s="16" t="inlineStr">
        <is>
          <t xml:space="preserve">         33K            21K           187K</t>
        </is>
      </c>
      <c r="O26" s="16" t="inlineStr">
        <is>
          <t>CG5e8otTfszRTZRTNy4WQq5VaLsZW7tuDKMGHJVZpump</t>
        </is>
      </c>
      <c r="P26" s="16">
        <f>HYPERLINK("https://dexscreener.com/solana/CG5e8otTfszRTZRTNy4WQq5VaLsZW7tuDKMGHJVZpump", "View")</f>
        <v/>
      </c>
    </row>
    <row r="27">
      <c r="A27" s="19" t="inlineStr">
        <is>
          <t>Henlo</t>
        </is>
      </c>
      <c r="B27" s="20" t="n">
        <v>3483644</v>
      </c>
      <c r="C27" s="20" t="n">
        <v>3483644</v>
      </c>
      <c r="D27" s="20" t="inlineStr">
        <is>
          <t>0.025010</t>
        </is>
      </c>
      <c r="E27" s="20" t="inlineStr">
        <is>
          <t>2.000 SOL</t>
        </is>
      </c>
      <c r="F27" s="20" t="inlineStr">
        <is>
          <t>47.712 SOL</t>
        </is>
      </c>
      <c r="G27" s="23" t="inlineStr">
        <is>
          <t>45.687 SOL</t>
        </is>
      </c>
      <c r="H27" s="23" t="inlineStr">
        <is>
          <t>2256.15%</t>
        </is>
      </c>
      <c r="I27" s="20" t="inlineStr">
        <is>
          <t>N/A</t>
        </is>
      </c>
      <c r="J27" s="20" t="n">
        <v>1</v>
      </c>
      <c r="K27" s="20" t="n">
        <v>2</v>
      </c>
      <c r="L27" s="20" t="inlineStr">
        <is>
          <t>28.10.2024 23:48:37</t>
        </is>
      </c>
      <c r="M27" s="20" t="inlineStr">
        <is>
          <t>1 days</t>
        </is>
      </c>
      <c r="N27" s="20" t="inlineStr">
        <is>
          <t xml:space="preserve">        100K             3M             2M</t>
        </is>
      </c>
      <c r="O27" s="20" t="inlineStr">
        <is>
          <t>2xtF1kZQQ14dvVjTsAASPM5Jxax9Gpat8tMETegqpump</t>
        </is>
      </c>
      <c r="P27" s="20">
        <f>HYPERLINK("https://dexscreener.com/solana/2xtF1kZQQ14dvVjTsAASPM5Jxax9Gpat8tMETegqpump", "View")</f>
        <v/>
      </c>
    </row>
    <row r="28">
      <c r="A28" s="15" t="inlineStr">
        <is>
          <t>Tamago</t>
        </is>
      </c>
      <c r="B28" s="16" t="n">
        <v>66999625</v>
      </c>
      <c r="C28" s="16" t="n">
        <v>66999625</v>
      </c>
      <c r="D28" s="16" t="inlineStr">
        <is>
          <t>0.010010</t>
        </is>
      </c>
      <c r="E28" s="16" t="inlineStr">
        <is>
          <t>2.045 SOL</t>
        </is>
      </c>
      <c r="F28" s="16" t="inlineStr">
        <is>
          <t>1.952 SOL</t>
        </is>
      </c>
      <c r="G28" s="21" t="inlineStr">
        <is>
          <t>-0.103 SOL</t>
        </is>
      </c>
      <c r="H28" s="21" t="inlineStr">
        <is>
          <t>-5.01%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27.10.2024 19:08:02</t>
        </is>
      </c>
      <c r="M28" s="16" t="inlineStr">
        <is>
          <t>3 min</t>
        </is>
      </c>
      <c r="N28" s="16" t="inlineStr">
        <is>
          <t xml:space="preserve">          5K             5K             5K</t>
        </is>
      </c>
      <c r="O28" s="16" t="inlineStr">
        <is>
          <t>FyNhTBJXV63Ro8joPJLyEYGaigsMv82mGn41hqDppump</t>
        </is>
      </c>
      <c r="P28" s="16">
        <f>HYPERLINK("https://photon-sol.tinyastro.io/en/lp/FyNhTBJXV63Ro8joPJLyEYGaigsMv82mGn41hqDppump?handle=676050794bc1b1657a56b", "View")</f>
        <v/>
      </c>
    </row>
    <row r="29">
      <c r="A29" s="19" t="inlineStr">
        <is>
          <t>FROGE</t>
        </is>
      </c>
      <c r="B29" s="20" t="n">
        <v>34486765</v>
      </c>
      <c r="C29" s="20" t="n">
        <v>17958012</v>
      </c>
      <c r="D29" s="20" t="inlineStr">
        <is>
          <t>0.014020</t>
        </is>
      </c>
      <c r="E29" s="20" t="inlineStr">
        <is>
          <t>9.179 SOL</t>
        </is>
      </c>
      <c r="F29" s="20" t="inlineStr">
        <is>
          <t>5.089 SOL</t>
        </is>
      </c>
      <c r="G29" s="21" t="inlineStr">
        <is>
          <t>-4.104 SOL</t>
        </is>
      </c>
      <c r="H29" s="21" t="inlineStr">
        <is>
          <t>-44.65%</t>
        </is>
      </c>
      <c r="I29" s="20" t="inlineStr">
        <is>
          <t>N/A</t>
        </is>
      </c>
      <c r="J29" s="20" t="n">
        <v>3</v>
      </c>
      <c r="K29" s="20" t="n">
        <v>1</v>
      </c>
      <c r="L29" s="20" t="inlineStr">
        <is>
          <t>25.10.2024 05:15:38</t>
        </is>
      </c>
      <c r="M29" s="20" t="inlineStr">
        <is>
          <t>6 hours</t>
        </is>
      </c>
      <c r="N29" s="20" t="inlineStr">
        <is>
          <t xml:space="preserve">         30K            67K           426K</t>
        </is>
      </c>
      <c r="O29" s="20" t="inlineStr">
        <is>
          <t>FA9jJDQzBEeV4qunJpt7XY7wC4smNYLsBNtMCTPsj3pp</t>
        </is>
      </c>
      <c r="P29" s="20">
        <f>HYPERLINK("https://photon-sol.tinyastro.io/en/lp/FA9jJDQzBEeV4qunJpt7XY7wC4smNYLsBNtMCTPsj3pp?handle=676050794bc1b1657a56b", "View")</f>
        <v/>
      </c>
    </row>
    <row r="30">
      <c r="A30" s="15" t="inlineStr">
        <is>
          <t>BTM</t>
        </is>
      </c>
      <c r="B30" s="16" t="n">
        <v>717977</v>
      </c>
      <c r="C30" s="16" t="n">
        <v>717977</v>
      </c>
      <c r="D30" s="16" t="inlineStr">
        <is>
          <t>0.008010</t>
        </is>
      </c>
      <c r="E30" s="16" t="inlineStr">
        <is>
          <t>6.800 SOL</t>
        </is>
      </c>
      <c r="F30" s="16" t="inlineStr">
        <is>
          <t>9.081 SOL</t>
        </is>
      </c>
      <c r="G30" s="22" t="inlineStr">
        <is>
          <t>2.273 SOL</t>
        </is>
      </c>
      <c r="H30" s="22" t="inlineStr">
        <is>
          <t>33.38%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24.10.2024 21:00:05</t>
        </is>
      </c>
      <c r="M30" s="16" t="inlineStr">
        <is>
          <t>22 hours</t>
        </is>
      </c>
      <c r="N30" s="16" t="inlineStr">
        <is>
          <t xml:space="preserve">          2M             2M             1M</t>
        </is>
      </c>
      <c r="O30" s="16" t="inlineStr">
        <is>
          <t>8hGKHUJP3Yz3BpkYwAgGNbHMVTMoPaE7eMLaTcM2pump</t>
        </is>
      </c>
      <c r="P30" s="16">
        <f>HYPERLINK("https://dexscreener.com/solana/8hGKHUJP3Yz3BpkYwAgGNbHMVTMoPaE7eMLaTcM2pump", "View")</f>
        <v/>
      </c>
    </row>
    <row r="31">
      <c r="A31" s="19" t="inlineStr">
        <is>
          <t>SAM</t>
        </is>
      </c>
      <c r="B31" s="20" t="n">
        <v>12885367</v>
      </c>
      <c r="C31" s="20" t="n">
        <v>12885367</v>
      </c>
      <c r="D31" s="20" t="inlineStr">
        <is>
          <t>0.042060</t>
        </is>
      </c>
      <c r="E31" s="20" t="inlineStr">
        <is>
          <t>6.180 SOL</t>
        </is>
      </c>
      <c r="F31" s="20" t="inlineStr">
        <is>
          <t>5.891 SOL</t>
        </is>
      </c>
      <c r="G31" s="21" t="inlineStr">
        <is>
          <t>-0.331 SOL</t>
        </is>
      </c>
      <c r="H31" s="21" t="inlineStr">
        <is>
          <t>-5.33%</t>
        </is>
      </c>
      <c r="I31" s="20" t="inlineStr">
        <is>
          <t>N/A</t>
        </is>
      </c>
      <c r="J31" s="20" t="n">
        <v>7</v>
      </c>
      <c r="K31" s="20" t="n">
        <v>5</v>
      </c>
      <c r="L31" s="20" t="inlineStr">
        <is>
          <t>23.10.2024 17:17:56</t>
        </is>
      </c>
      <c r="M31" s="20" t="inlineStr">
        <is>
          <t>5 days</t>
        </is>
      </c>
      <c r="N31" s="20" t="inlineStr">
        <is>
          <t xml:space="preserve">         58K           123K             5K</t>
        </is>
      </c>
      <c r="O31" s="20" t="inlineStr">
        <is>
          <t>A9fLFNoev8jbob6Toy8K5hpG9Ls3xZ8rtHTAEikKpump</t>
        </is>
      </c>
      <c r="P31" s="20">
        <f>HYPERLINK("https://dexscreener.com/solana/A9fLFNoev8jbob6Toy8K5hpG9Ls3xZ8rtHTAEikKpump", "View")</f>
        <v/>
      </c>
    </row>
    <row r="32">
      <c r="A32" s="15" t="inlineStr">
        <is>
          <t>RUN</t>
        </is>
      </c>
      <c r="B32" s="16" t="n">
        <v>7672393</v>
      </c>
      <c r="C32" s="16" t="n">
        <v>7672393</v>
      </c>
      <c r="D32" s="16" t="inlineStr">
        <is>
          <t>0.023020</t>
        </is>
      </c>
      <c r="E32" s="16" t="inlineStr">
        <is>
          <t>5.000 SOL</t>
        </is>
      </c>
      <c r="F32" s="16" t="inlineStr">
        <is>
          <t>5.489 SOL</t>
        </is>
      </c>
      <c r="G32" s="22" t="inlineStr">
        <is>
          <t>0.466 SOL</t>
        </is>
      </c>
      <c r="H32" s="22" t="inlineStr">
        <is>
          <t>9.27%</t>
        </is>
      </c>
      <c r="I32" s="16" t="inlineStr">
        <is>
          <t>N/A</t>
        </is>
      </c>
      <c r="J32" s="16" t="n">
        <v>2</v>
      </c>
      <c r="K32" s="16" t="n">
        <v>2</v>
      </c>
      <c r="L32" s="16" t="inlineStr">
        <is>
          <t>23.10.2024 15:56:33</t>
        </is>
      </c>
      <c r="M32" s="16" t="inlineStr">
        <is>
          <t>1 days</t>
        </is>
      </c>
      <c r="N32" s="16" t="inlineStr">
        <is>
          <t xml:space="preserve">         88K           148K             3K</t>
        </is>
      </c>
      <c r="O32" s="16" t="inlineStr">
        <is>
          <t>9zsHNsNB8g2bisefCbMiwPkbcHbV9DtijexJ1JLnpump</t>
        </is>
      </c>
      <c r="P32" s="16">
        <f>HYPERLINK("https://dexscreener.com/solana/9zsHNsNB8g2bisefCbMiwPkbcHbV9DtijexJ1JLnpump", "View")</f>
        <v/>
      </c>
    </row>
    <row r="33">
      <c r="A33" s="19" t="inlineStr">
        <is>
          <t>Thiddy</t>
        </is>
      </c>
      <c r="B33" s="20" t="n">
        <v>29539122</v>
      </c>
      <c r="C33" s="20" t="n">
        <v>29539122</v>
      </c>
      <c r="D33" s="20" t="inlineStr">
        <is>
          <t>0.010010</t>
        </is>
      </c>
      <c r="E33" s="20" t="inlineStr">
        <is>
          <t>1.027 SOL</t>
        </is>
      </c>
      <c r="F33" s="20" t="inlineStr">
        <is>
          <t>0.973 SOL</t>
        </is>
      </c>
      <c r="G33" s="21" t="inlineStr">
        <is>
          <t>-0.064 SOL</t>
        </is>
      </c>
      <c r="H33" s="21" t="inlineStr">
        <is>
          <t>-6.19%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21.10.2024 07:07:00</t>
        </is>
      </c>
      <c r="M33" s="20" t="inlineStr">
        <is>
          <t>4 min</t>
        </is>
      </c>
      <c r="N33" s="20" t="inlineStr">
        <is>
          <t xml:space="preserve">          5K             5K             5K</t>
        </is>
      </c>
      <c r="O33" s="20" t="inlineStr">
        <is>
          <t>8p15vRNM1BVb1vEGw4EjWYgnu149EpYnziXL6wjEpump</t>
        </is>
      </c>
      <c r="P33" s="20">
        <f>HYPERLINK("https://photon-sol.tinyastro.io/en/lp/8p15vRNM1BVb1vEGw4EjWYgnu149EpYnziXL6wjEpump?handle=676050794bc1b1657a56b", "View")</f>
        <v/>
      </c>
    </row>
    <row r="34">
      <c r="A34" s="15" t="inlineStr">
        <is>
          <t>Puffanos</t>
        </is>
      </c>
      <c r="B34" s="16" t="n">
        <v>39008322</v>
      </c>
      <c r="C34" s="16" t="n">
        <v>39008322</v>
      </c>
      <c r="D34" s="16" t="inlineStr">
        <is>
          <t>0.010010</t>
        </is>
      </c>
      <c r="E34" s="16" t="inlineStr">
        <is>
          <t>3.063 SOL</t>
        </is>
      </c>
      <c r="F34" s="16" t="inlineStr">
        <is>
          <t>3.080 SOL</t>
        </is>
      </c>
      <c r="G34" s="22" t="inlineStr">
        <is>
          <t>0.007 SOL</t>
        </is>
      </c>
      <c r="H34" s="22" t="inlineStr">
        <is>
          <t>0.22%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21.10.2024 06:40:46</t>
        </is>
      </c>
      <c r="M34" s="16" t="inlineStr">
        <is>
          <t>8 min</t>
        </is>
      </c>
      <c r="N34" s="16" t="inlineStr">
        <is>
          <t xml:space="preserve">         14K            14K             6K</t>
        </is>
      </c>
      <c r="O34" s="16" t="inlineStr">
        <is>
          <t>9CCfxW1ebycBeXv5xqPEPB6Wu5xgeGcB2gdCAAMSpump</t>
        </is>
      </c>
      <c r="P34" s="16">
        <f>HYPERLINK("https://photon-sol.tinyastro.io/en/lp/9CCfxW1ebycBeXv5xqPEPB6Wu5xgeGcB2gdCAAMSpump?handle=676050794bc1b1657a56b", "View")</f>
        <v/>
      </c>
    </row>
    <row r="35">
      <c r="A35" s="19" t="inlineStr">
        <is>
          <t>wibwob</t>
        </is>
      </c>
      <c r="B35" s="20" t="n">
        <v>29978615</v>
      </c>
      <c r="C35" s="20" t="n">
        <v>29978615</v>
      </c>
      <c r="D35" s="20" t="inlineStr">
        <is>
          <t>0.007010</t>
        </is>
      </c>
      <c r="E35" s="20" t="inlineStr">
        <is>
          <t>2.246 SOL</t>
        </is>
      </c>
      <c r="F35" s="20" t="inlineStr">
        <is>
          <t>6.321 SOL</t>
        </is>
      </c>
      <c r="G35" s="23" t="inlineStr">
        <is>
          <t>4.069 SOL</t>
        </is>
      </c>
      <c r="H35" s="23" t="inlineStr">
        <is>
          <t>180.61%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20.10.2024 20:56:22</t>
        </is>
      </c>
      <c r="M35" s="20" t="inlineStr">
        <is>
          <t>37 min</t>
        </is>
      </c>
      <c r="N35" s="20" t="inlineStr">
        <is>
          <t xml:space="preserve">         12K            36K           290K</t>
        </is>
      </c>
      <c r="O35" s="20" t="inlineStr">
        <is>
          <t>5qmL9rCSfZ7pBYAsaoeG8SP76ZELeRCK8XtMmYZvpump</t>
        </is>
      </c>
      <c r="P35" s="20">
        <f>HYPERLINK("https://photon-sol.tinyastro.io/en/lp/5qmL9rCSfZ7pBYAsaoeG8SP76ZELeRCK8XtMmYZvpump?handle=676050794bc1b1657a56b", "View")</f>
        <v/>
      </c>
    </row>
    <row r="36">
      <c r="A36" s="15" t="inlineStr">
        <is>
          <t>AUTISM</t>
        </is>
      </c>
      <c r="B36" s="16" t="n">
        <v>8575410</v>
      </c>
      <c r="C36" s="16" t="n">
        <v>8575410</v>
      </c>
      <c r="D36" s="16" t="inlineStr">
        <is>
          <t>0.007010</t>
        </is>
      </c>
      <c r="E36" s="16" t="inlineStr">
        <is>
          <t>1.000 SOL</t>
        </is>
      </c>
      <c r="F36" s="16" t="inlineStr">
        <is>
          <t>1.038 SOL</t>
        </is>
      </c>
      <c r="G36" s="22" t="inlineStr">
        <is>
          <t>0.031 SOL</t>
        </is>
      </c>
      <c r="H36" s="22" t="inlineStr">
        <is>
          <t>3.03%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18.10.2024 09:30:44</t>
        </is>
      </c>
      <c r="M36" s="18" t="inlineStr">
        <is>
          <t>14 sec</t>
        </is>
      </c>
      <c r="N36" s="16" t="inlineStr">
        <is>
          <t xml:space="preserve">         21K            21K             9K</t>
        </is>
      </c>
      <c r="O36" s="16" t="inlineStr">
        <is>
          <t>Gacvh4m2uivyBuE7L3EUC3se2zXHmn5ntmw2nTSpump</t>
        </is>
      </c>
      <c r="P36" s="16">
        <f>HYPERLINK("https://dexscreener.com/solana/Gacvh4m2uivyBuE7L3EUC3se2zXHmn5ntmw2nTSpump", "View")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HYPERLINK("https://gmgn.ai/sol/address/8yawhtpY3bDHsHUQQwFQsCEBU7xcT8dYqrL7H4UBPqqS", "GMGN")</f>
        <v/>
      </c>
    </row>
    <row r="2">
      <c r="A2" s="3" t="inlineStr">
        <is>
          <t>8yawhtpY3bDHsHUQQwFQsCEBU7xcT8dYqrL7H4UBPqqS</t>
        </is>
      </c>
      <c r="B2" s="3" t="inlineStr">
        <is>
          <t>4.29 SOL</t>
        </is>
      </c>
      <c r="C2" s="3" t="inlineStr">
        <is>
          <t>67%</t>
        </is>
      </c>
      <c r="D2" s="3" t="inlineStr">
        <is>
          <t>169%</t>
        </is>
      </c>
      <c r="E2" s="3" t="inlineStr">
        <is>
          <t>5.11 SOL</t>
        </is>
      </c>
      <c r="F2" s="3" t="inlineStr">
        <is>
          <t>0 (0%)</t>
        </is>
      </c>
      <c r="G2" s="3" t="inlineStr">
        <is>
          <t>1 (17%)</t>
        </is>
      </c>
      <c r="H2" s="3" t="n">
        <v>6</v>
      </c>
      <c r="I2" s="3" t="n">
        <v>0</v>
      </c>
      <c r="J2" s="3" t="inlineStr">
        <is>
          <t>7 days</t>
        </is>
      </c>
      <c r="K2" s="3" t="inlineStr">
        <is>
          <t>20 min</t>
        </is>
      </c>
      <c r="L2" s="3" t="n">
        <v>6</v>
      </c>
      <c r="M2" s="3" t="n">
        <v>7</v>
      </c>
      <c r="N2" s="3">
        <f>HYPERLINK("https://solscan.io/account/8yawhtpY3bDHsHUQQwFQsCEBU7xcT8dYqrL7H4UBPqqS", "Solscan")</f>
        <v/>
      </c>
    </row>
    <row r="3">
      <c r="A3" s="6" t="inlineStr">
        <is>
          <t>Median ROI</t>
        </is>
      </c>
      <c r="B3" s="4" t="inlineStr">
        <is>
          <t>144.61%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HYPERLINK("https://birdeye.so/profile/8yawhtpY3bDHsHUQQwFQsCEBU7xcT8dYqrL7H4UBPqqS", "Birdeye")</f>
        <v/>
      </c>
    </row>
    <row r="4">
      <c r="A4" s="6" t="inlineStr">
        <is>
          <t>Rockets percent</t>
        </is>
      </c>
      <c r="B4" s="4" t="inlineStr">
        <is>
          <t>67%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8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4</v>
      </c>
      <c r="D10" s="6" t="n">
        <v>0</v>
      </c>
      <c r="E10" s="6" t="n">
        <v>0</v>
      </c>
      <c r="F10" s="6" t="n">
        <v>2</v>
      </c>
      <c r="G10" s="6" t="n">
        <v>0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66.7%</t>
        </is>
      </c>
      <c r="D11" s="6" t="inlineStr">
        <is>
          <t>0.0%</t>
        </is>
      </c>
      <c r="E11" s="6" t="inlineStr">
        <is>
          <t>0.0%</t>
        </is>
      </c>
      <c r="F11" s="6" t="inlineStr">
        <is>
          <t>33.3%</t>
        </is>
      </c>
      <c r="G11" s="6" t="inlineStr">
        <is>
          <t>0.0%</t>
        </is>
      </c>
      <c r="H11" s="3" t="n"/>
      <c r="I11" s="3" t="inlineStr">
        <is>
          <t>5k-30k</t>
        </is>
      </c>
      <c r="J11" s="3" t="inlineStr">
        <is>
          <t>2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5.3 SOL</t>
        </is>
      </c>
      <c r="D12" s="6" t="inlineStr">
        <is>
          <t>0.0 SOL</t>
        </is>
      </c>
      <c r="E12" s="6" t="inlineStr">
        <is>
          <t>0.0 SOL</t>
        </is>
      </c>
      <c r="F12" s="6" t="inlineStr">
        <is>
          <t>-0.2 SOL</t>
        </is>
      </c>
      <c r="G12" s="6" t="inlineStr">
        <is>
          <t>0.0 SOL</t>
        </is>
      </c>
      <c r="H12" s="3" t="n"/>
      <c r="I12" s="3" t="inlineStr">
        <is>
          <t>30k-100k</t>
        </is>
      </c>
      <c r="J12" s="3" t="inlineStr">
        <is>
          <t>4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33.5K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SHE</t>
        </is>
      </c>
      <c r="B20" s="16" t="n">
        <v>2180110</v>
      </c>
      <c r="C20" s="16" t="n">
        <v>2180110</v>
      </c>
      <c r="D20" s="16" t="inlineStr">
        <is>
          <t>0.003020</t>
        </is>
      </c>
      <c r="E20" s="16" t="inlineStr">
        <is>
          <t>0.542 SOL</t>
        </is>
      </c>
      <c r="F20" s="16" t="inlineStr">
        <is>
          <t>2.783 SOL</t>
        </is>
      </c>
      <c r="G20" s="23" t="inlineStr">
        <is>
          <t>2.237 SOL</t>
        </is>
      </c>
      <c r="H20" s="23" t="inlineStr">
        <is>
          <t>410.25%</t>
        </is>
      </c>
      <c r="I20" s="16" t="inlineStr">
        <is>
          <t>N/A</t>
        </is>
      </c>
      <c r="J20" s="16" t="n">
        <v>1</v>
      </c>
      <c r="K20" s="16" t="n">
        <v>2</v>
      </c>
      <c r="L20" s="16" t="inlineStr">
        <is>
          <t>30.10.2024 15:38:19</t>
        </is>
      </c>
      <c r="M20" s="16" t="inlineStr">
        <is>
          <t>14 min</t>
        </is>
      </c>
      <c r="N20" s="16" t="inlineStr">
        <is>
          <t xml:space="preserve">         33K           246K           105K</t>
        </is>
      </c>
      <c r="O20" s="16" t="inlineStr">
        <is>
          <t>5cx3tFoST54d5mHP9TZPcJWHXnxWXtx9UEwb8MGRpump</t>
        </is>
      </c>
      <c r="P20" s="16">
        <f>HYPERLINK("https://photon-sol.tinyastro.io/en/lp/5cx3tFoST54d5mHP9TZPcJWHXnxWXtx9UEwb8MGRpump?handle=676050794bc1b1657a56b", "View")</f>
        <v/>
      </c>
    </row>
    <row r="21">
      <c r="A21" s="19" t="inlineStr">
        <is>
          <t>MDOG</t>
        </is>
      </c>
      <c r="B21" s="20" t="n">
        <v>918693</v>
      </c>
      <c r="C21" s="20" t="n">
        <v>5246735</v>
      </c>
      <c r="D21" s="20" t="inlineStr">
        <is>
          <t>0.005030</t>
        </is>
      </c>
      <c r="E21" s="20" t="inlineStr">
        <is>
          <t>0.207 SOL</t>
        </is>
      </c>
      <c r="F21" s="20" t="inlineStr">
        <is>
          <t>1.193 SOL</t>
        </is>
      </c>
      <c r="G21" s="23" t="inlineStr">
        <is>
          <t>0.981 SOL</t>
        </is>
      </c>
      <c r="H21" s="23" t="inlineStr">
        <is>
          <t>462.31%</t>
        </is>
      </c>
      <c r="I21" s="20" t="inlineStr">
        <is>
          <t>N/A</t>
        </is>
      </c>
      <c r="J21" s="20" t="n">
        <v>1</v>
      </c>
      <c r="K21" s="20" t="n">
        <v>4</v>
      </c>
      <c r="L21" s="20" t="inlineStr">
        <is>
          <t>25.10.2024 17:11:40</t>
        </is>
      </c>
      <c r="M21" s="20" t="inlineStr">
        <is>
          <t>52 min</t>
        </is>
      </c>
      <c r="N21" s="20" t="inlineStr">
        <is>
          <t xml:space="preserve">         38K            20K             4K</t>
        </is>
      </c>
      <c r="O21" s="20" t="inlineStr">
        <is>
          <t>14RgWPyPeRHsQqDdAX4pJNVhTf5m3kHRJ3Qj465Wpump</t>
        </is>
      </c>
      <c r="P21" s="20">
        <f>HYPERLINK("https://photon-sol.tinyastro.io/en/lp/14RgWPyPeRHsQqDdAX4pJNVhTf5m3kHRJ3Qj465Wpump?handle=676050794bc1b1657a56b", "View")</f>
        <v/>
      </c>
    </row>
    <row r="22">
      <c r="A22" s="15" t="inlineStr">
        <is>
          <t>GIGGA</t>
        </is>
      </c>
      <c r="B22" s="16" t="n">
        <v>877935</v>
      </c>
      <c r="C22" s="16" t="n">
        <v>877935</v>
      </c>
      <c r="D22" s="16" t="inlineStr">
        <is>
          <t>0.002010</t>
        </is>
      </c>
      <c r="E22" s="16" t="inlineStr">
        <is>
          <t>0.213 SOL</t>
        </is>
      </c>
      <c r="F22" s="16" t="inlineStr">
        <is>
          <t>0.441 SOL</t>
        </is>
      </c>
      <c r="G22" s="23" t="inlineStr">
        <is>
          <t>0.226 SOL</t>
        </is>
      </c>
      <c r="H22" s="23" t="inlineStr">
        <is>
          <t>105.41%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23.10.2024 15:28:45</t>
        </is>
      </c>
      <c r="M22" s="16" t="inlineStr">
        <is>
          <t>17 min</t>
        </is>
      </c>
      <c r="N22" s="16" t="inlineStr">
        <is>
          <t xml:space="preserve">         41K            86K             3K</t>
        </is>
      </c>
      <c r="O22" s="16" t="inlineStr">
        <is>
          <t>14DmPv9v3MwfoCK8qRukk3enddqk2L1apcM1JGsipump</t>
        </is>
      </c>
      <c r="P22" s="16">
        <f>HYPERLINK("https://photon-sol.tinyastro.io/en/lp/14DmPv9v3MwfoCK8qRukk3enddqk2L1apcM1JGsipump?handle=676050794bc1b1657a56b", "View")</f>
        <v/>
      </c>
    </row>
    <row r="23">
      <c r="A23" s="19" t="inlineStr">
        <is>
          <t>MAGAMAN</t>
        </is>
      </c>
      <c r="B23" s="20" t="n">
        <v>10908053</v>
      </c>
      <c r="C23" s="20" t="n">
        <v>10908053</v>
      </c>
      <c r="D23" s="20" t="inlineStr">
        <is>
          <t>0.002010</t>
        </is>
      </c>
      <c r="E23" s="20" t="inlineStr">
        <is>
          <t>0.513 SOL</t>
        </is>
      </c>
      <c r="F23" s="20" t="inlineStr">
        <is>
          <t>0.325 SOL</t>
        </is>
      </c>
      <c r="G23" s="21" t="inlineStr">
        <is>
          <t>-0.190 SOL</t>
        </is>
      </c>
      <c r="H23" s="21" t="inlineStr">
        <is>
          <t>-36.86%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22.10.2024 19:18:40</t>
        </is>
      </c>
      <c r="M23" s="20" t="inlineStr">
        <is>
          <t>5 min</t>
        </is>
      </c>
      <c r="N23" s="20" t="inlineStr">
        <is>
          <t xml:space="preserve">          9K             5K             5K</t>
        </is>
      </c>
      <c r="O23" s="20" t="inlineStr">
        <is>
          <t>141sKRqDSnxA8GNWBveDysrxXPRcLVw7NwPpn3LQpump</t>
        </is>
      </c>
      <c r="P23" s="20">
        <f>HYPERLINK("https://photon-sol.tinyastro.io/en/lp/141sKRqDSnxA8GNWBveDysrxXPRcLVw7NwPpn3LQpump?handle=676050794bc1b1657a56b", "View")</f>
        <v/>
      </c>
    </row>
    <row r="24">
      <c r="A24" s="15" t="inlineStr">
        <is>
          <t>BHORSE</t>
        </is>
      </c>
      <c r="B24" s="16" t="n">
        <v>5457972</v>
      </c>
      <c r="C24" s="16" t="n">
        <v>5457972</v>
      </c>
      <c r="D24" s="16" t="inlineStr">
        <is>
          <t>0.002010</t>
        </is>
      </c>
      <c r="E24" s="16" t="inlineStr">
        <is>
          <t>0.513 SOL</t>
        </is>
      </c>
      <c r="F24" s="16" t="inlineStr">
        <is>
          <t>0.476 SOL</t>
        </is>
      </c>
      <c r="G24" s="21" t="inlineStr">
        <is>
          <t>-0.040 SOL</t>
        </is>
      </c>
      <c r="H24" s="21" t="inlineStr">
        <is>
          <t>-7.67%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22.10.2024 18:34:48</t>
        </is>
      </c>
      <c r="M24" s="16" t="inlineStr">
        <is>
          <t>23 min</t>
        </is>
      </c>
      <c r="N24" s="16" t="inlineStr">
        <is>
          <t xml:space="preserve">         16K            16K             5K</t>
        </is>
      </c>
      <c r="O24" s="16" t="inlineStr">
        <is>
          <t>DAB6sk8k9xBg5z2pAGW94WRResk79WUYvuhFgJmLpump</t>
        </is>
      </c>
      <c r="P24" s="16">
        <f>HYPERLINK("https://photon-sol.tinyastro.io/en/lp/DAB6sk8k9xBg5z2pAGW94WRResk79WUYvuhFgJmLpump?handle=676050794bc1b1657a56b", "View")</f>
        <v/>
      </c>
    </row>
    <row r="25">
      <c r="A25" s="19" t="inlineStr">
        <is>
          <t>ZIPPY</t>
        </is>
      </c>
      <c r="B25" s="20" t="n">
        <v>5031743</v>
      </c>
      <c r="C25" s="20" t="n">
        <v>5031743</v>
      </c>
      <c r="D25" s="20" t="inlineStr">
        <is>
          <t>0.006030</t>
        </is>
      </c>
      <c r="E25" s="20" t="inlineStr">
        <is>
          <t>1.024 SOL</t>
        </is>
      </c>
      <c r="F25" s="20" t="inlineStr">
        <is>
          <t>2.924 SOL</t>
        </is>
      </c>
      <c r="G25" s="23" t="inlineStr">
        <is>
          <t>1.894 SOL</t>
        </is>
      </c>
      <c r="H25" s="23" t="inlineStr">
        <is>
          <t>183.81%</t>
        </is>
      </c>
      <c r="I25" s="20" t="inlineStr">
        <is>
          <t>N/A</t>
        </is>
      </c>
      <c r="J25" s="20" t="n">
        <v>1</v>
      </c>
      <c r="K25" s="20" t="n">
        <v>5</v>
      </c>
      <c r="L25" s="20" t="inlineStr">
        <is>
          <t>22.10.2024 16:25:41</t>
        </is>
      </c>
      <c r="M25" s="20" t="inlineStr">
        <is>
          <t>42 min</t>
        </is>
      </c>
      <c r="N25" s="20" t="inlineStr">
        <is>
          <t xml:space="preserve">         34K            92K             4K</t>
        </is>
      </c>
      <c r="O25" s="20" t="inlineStr">
        <is>
          <t>AnEGqHFgSy2DRzmRGNYZTvQPhaM2TBKLqHUgQktBpump</t>
        </is>
      </c>
      <c r="P25" s="20">
        <f>HYPERLINK("https://photon-sol.tinyastro.io/en/lp/AnEGqHFgSy2DRzmRGNYZTvQPhaM2TBKLqHUgQktBpump?handle=676050794bc1b1657a56b", "View")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HYPERLINK("https://gmgn.ai/sol/address/FgsQL8UUg9e5mqwDJbdUxcXZahqEGAnQYEseA7pcfz95", "GMGN")</f>
        <v/>
      </c>
    </row>
    <row r="2">
      <c r="A2" s="3" t="inlineStr">
        <is>
          <t>FgsQL8UUg9e5mqwDJbdUxcXZahqEGAnQYEseA7pcfz95</t>
        </is>
      </c>
      <c r="B2" s="3" t="inlineStr">
        <is>
          <t>12.60 SOL</t>
        </is>
      </c>
      <c r="C2" s="3" t="inlineStr">
        <is>
          <t>50%</t>
        </is>
      </c>
      <c r="D2" s="3" t="inlineStr">
        <is>
          <t>65%</t>
        </is>
      </c>
      <c r="E2" s="3" t="inlineStr">
        <is>
          <t>7.61 SOL</t>
        </is>
      </c>
      <c r="F2" s="3" t="inlineStr">
        <is>
          <t>0 (0%)</t>
        </is>
      </c>
      <c r="G2" s="3" t="inlineStr">
        <is>
          <t>0 (0%)</t>
        </is>
      </c>
      <c r="H2" s="3" t="n">
        <v>18</v>
      </c>
      <c r="I2" s="3" t="n">
        <v>2</v>
      </c>
      <c r="J2" s="3" t="inlineStr">
        <is>
          <t>26 days</t>
        </is>
      </c>
      <c r="K2" s="3" t="inlineStr">
        <is>
          <t>7 h</t>
        </is>
      </c>
      <c r="L2" s="3" t="n">
        <v>0</v>
      </c>
      <c r="M2" s="3" t="n">
        <v>33</v>
      </c>
      <c r="N2" s="3">
        <f>HYPERLINK("https://solscan.io/account/FgsQL8UUg9e5mqwDJbdUxcXZahqEGAnQYEseA7pcfz95", "Solscan")</f>
        <v/>
      </c>
    </row>
    <row r="3">
      <c r="A3" s="6" t="inlineStr">
        <is>
          <t>Median ROI</t>
        </is>
      </c>
      <c r="B3" s="5" t="inlineStr">
        <is>
          <t>-3.03%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HYPERLINK("https://birdeye.so/profile/FgsQL8UUg9e5mqwDJbdUxcXZahqEGAnQYEseA7pcfz95", "Birdeye")</f>
        <v/>
      </c>
    </row>
    <row r="4">
      <c r="A4" s="6" t="inlineStr">
        <is>
          <t>Rockets percent</t>
        </is>
      </c>
      <c r="B4" s="3" t="inlineStr">
        <is>
          <t>6%</t>
        </is>
      </c>
      <c r="C4" s="3" t="inlineStr"/>
      <c r="D4" s="3" t="inlineStr">
        <is>
          <t>3%</t>
        </is>
      </c>
      <c r="E4" s="3" t="inlineStr">
        <is>
          <t>0.3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134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1</v>
      </c>
      <c r="D10" s="6" t="n">
        <v>5</v>
      </c>
      <c r="E10" s="6" t="n">
        <v>3</v>
      </c>
      <c r="F10" s="6" t="n">
        <v>2</v>
      </c>
      <c r="G10" s="6" t="n">
        <v>7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5.6%</t>
        </is>
      </c>
      <c r="D11" s="6" t="inlineStr">
        <is>
          <t>27.8%</t>
        </is>
      </c>
      <c r="E11" s="6" t="inlineStr">
        <is>
          <t>16.7%</t>
        </is>
      </c>
      <c r="F11" s="6" t="inlineStr">
        <is>
          <t>11.1%</t>
        </is>
      </c>
      <c r="G11" s="6" t="inlineStr">
        <is>
          <t>38.9%</t>
        </is>
      </c>
      <c r="H11" s="3" t="n"/>
      <c r="I11" s="3" t="inlineStr">
        <is>
          <t>5k-30k</t>
        </is>
      </c>
      <c r="J11" s="3" t="inlineStr">
        <is>
          <t>0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8.7 SOL</t>
        </is>
      </c>
      <c r="D12" s="6" t="inlineStr">
        <is>
          <t>2.4 SOL</t>
        </is>
      </c>
      <c r="E12" s="6" t="inlineStr">
        <is>
          <t>0.4 SOL</t>
        </is>
      </c>
      <c r="F12" s="6" t="inlineStr">
        <is>
          <t>-0.2 SOL</t>
        </is>
      </c>
      <c r="G12" s="6" t="inlineStr">
        <is>
          <t>-3.7 SOL</t>
        </is>
      </c>
      <c r="H12" s="3" t="n"/>
      <c r="I12" s="3" t="inlineStr">
        <is>
          <t>30k-100k</t>
        </is>
      </c>
      <c r="J12" s="3" t="inlineStr">
        <is>
          <t>0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16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597.0K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NUTBUTT</t>
        </is>
      </c>
      <c r="B20" s="16" t="n">
        <v>158373</v>
      </c>
      <c r="C20" s="16" t="n">
        <v>158373</v>
      </c>
      <c r="D20" s="16" t="inlineStr">
        <is>
          <t>0.001700</t>
        </is>
      </c>
      <c r="E20" s="16" t="inlineStr">
        <is>
          <t>0.500 SOL</t>
        </is>
      </c>
      <c r="F20" s="16" t="inlineStr">
        <is>
          <t>0.175 SOL</t>
        </is>
      </c>
      <c r="G20" s="24" t="inlineStr">
        <is>
          <t>-0.327 SOL</t>
        </is>
      </c>
      <c r="H20" s="24" t="inlineStr">
        <is>
          <t>-65.17%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04:51:57</t>
        </is>
      </c>
      <c r="M20" s="16" t="inlineStr">
        <is>
          <t>1 hours</t>
        </is>
      </c>
      <c r="N20" s="16" t="inlineStr">
        <is>
          <t xml:space="preserve">        555K           193K           657K</t>
        </is>
      </c>
      <c r="O20" s="16" t="inlineStr">
        <is>
          <t>CFBYjzT357obRmihT9F5uyCY3kqgksRvXKM3RJN1pump</t>
        </is>
      </c>
      <c r="P20" s="16">
        <f>HYPERLINK("https://dexscreener.com/solana/CFBYjzT357obRmihT9F5uyCY3kqgksRvXKM3RJN1pump", "View")</f>
        <v/>
      </c>
    </row>
    <row r="21">
      <c r="A21" s="19" t="inlineStr">
        <is>
          <t>STEVE</t>
        </is>
      </c>
      <c r="B21" s="20" t="n">
        <v>245780</v>
      </c>
      <c r="C21" s="20" t="n">
        <v>0</v>
      </c>
      <c r="D21" s="20" t="inlineStr">
        <is>
          <t>0.000120</t>
        </is>
      </c>
      <c r="E21" s="20" t="inlineStr">
        <is>
          <t>1.000 SOL</t>
        </is>
      </c>
      <c r="F21" s="20" t="inlineStr">
        <is>
          <t>0.000 SOL</t>
        </is>
      </c>
      <c r="G21" s="17" t="inlineStr">
        <is>
          <t>-1.000 SOL</t>
        </is>
      </c>
      <c r="H21" s="17" t="inlineStr">
        <is>
          <t>0.00%</t>
        </is>
      </c>
      <c r="I21" s="20" t="inlineStr">
        <is>
          <t>245,780</t>
        </is>
      </c>
      <c r="J21" s="20" t="n">
        <v>1</v>
      </c>
      <c r="K21" s="20" t="n">
        <v>0</v>
      </c>
      <c r="L21" s="20" t="inlineStr">
        <is>
          <t>26.10.2024 18:11:42</t>
        </is>
      </c>
      <c r="M21" s="18" t="inlineStr">
        <is>
          <t>0 sec</t>
        </is>
      </c>
      <c r="N21" s="20" t="inlineStr">
        <is>
          <t xml:space="preserve">        704K           704K            24K</t>
        </is>
      </c>
      <c r="O21" s="20" t="inlineStr">
        <is>
          <t>38nBDcor3onWbxC8mjNN53xHibgXGrJmPBiP27Zhpump</t>
        </is>
      </c>
      <c r="P21" s="20">
        <f>HYPERLINK("https://dexscreener.com/solana/38nBDcor3onWbxC8mjNN53xHibgXGrJmPBiP27Zhpump", "View")</f>
        <v/>
      </c>
    </row>
    <row r="22">
      <c r="A22" s="15" t="inlineStr">
        <is>
          <t>BABYGOAT</t>
        </is>
      </c>
      <c r="B22" s="16" t="n">
        <v>67463</v>
      </c>
      <c r="C22" s="16" t="n">
        <v>67463</v>
      </c>
      <c r="D22" s="16" t="inlineStr">
        <is>
          <t>0.002170</t>
        </is>
      </c>
      <c r="E22" s="16" t="inlineStr">
        <is>
          <t>1.000 SOL</t>
        </is>
      </c>
      <c r="F22" s="16" t="inlineStr">
        <is>
          <t>1.346 SOL</t>
        </is>
      </c>
      <c r="G22" s="22" t="inlineStr">
        <is>
          <t>0.344 SOL</t>
        </is>
      </c>
      <c r="H22" s="22" t="inlineStr">
        <is>
          <t>34.32%</t>
        </is>
      </c>
      <c r="I22" s="16" t="inlineStr">
        <is>
          <t>N/A</t>
        </is>
      </c>
      <c r="J22" s="16" t="n">
        <v>2</v>
      </c>
      <c r="K22" s="16" t="n">
        <v>2</v>
      </c>
      <c r="L22" s="16" t="inlineStr">
        <is>
          <t>26.10.2024 07:34:55</t>
        </is>
      </c>
      <c r="M22" s="16" t="inlineStr">
        <is>
          <t>16 hours</t>
        </is>
      </c>
      <c r="N22" s="16" t="inlineStr">
        <is>
          <t xml:space="preserve">          3M             2M           245K</t>
        </is>
      </c>
      <c r="O22" s="16" t="inlineStr">
        <is>
          <t>F4aLcMxQy6CPcXAuER3J5QgB89n4fqBMs2bcrqQBpump</t>
        </is>
      </c>
      <c r="P22" s="16">
        <f>HYPERLINK("https://dexscreener.com/solana/F4aLcMxQy6CPcXAuER3J5QgB89n4fqBMs2bcrqQBpump", "View")</f>
        <v/>
      </c>
    </row>
    <row r="23">
      <c r="A23" s="19" t="inlineStr">
        <is>
          <t>Lynx</t>
        </is>
      </c>
      <c r="B23" s="20" t="n">
        <v>163921</v>
      </c>
      <c r="C23" s="20" t="n">
        <v>0</v>
      </c>
      <c r="D23" s="20" t="inlineStr">
        <is>
          <t>0.004000</t>
        </is>
      </c>
      <c r="E23" s="20" t="inlineStr">
        <is>
          <t>0.500 SOL</t>
        </is>
      </c>
      <c r="F23" s="20" t="inlineStr">
        <is>
          <t>0.000 SOL</t>
        </is>
      </c>
      <c r="G23" s="17" t="inlineStr">
        <is>
          <t>-0.504 SOL</t>
        </is>
      </c>
      <c r="H23" s="17" t="inlineStr">
        <is>
          <t>0.00%</t>
        </is>
      </c>
      <c r="I23" s="20" t="inlineStr">
        <is>
          <t>163,921</t>
        </is>
      </c>
      <c r="J23" s="20" t="n">
        <v>1</v>
      </c>
      <c r="K23" s="20" t="n">
        <v>0</v>
      </c>
      <c r="L23" s="20" t="inlineStr">
        <is>
          <t>22.10.2024 22:47:01</t>
        </is>
      </c>
      <c r="M23" s="18" t="inlineStr">
        <is>
          <t>0 sec</t>
        </is>
      </c>
      <c r="N23" s="20" t="inlineStr">
        <is>
          <t xml:space="preserve">        535K           535K             7K</t>
        </is>
      </c>
      <c r="O23" s="20" t="inlineStr">
        <is>
          <t>AqkzRjfNLGFZxsJvh2BiPJ1XzTEBTitdm9FiAgCDpump</t>
        </is>
      </c>
      <c r="P23" s="20">
        <f>HYPERLINK("https://dexscreener.com/solana/AqkzRjfNLGFZxsJvh2BiPJ1XzTEBTitdm9FiAgCDpump", "View")</f>
        <v/>
      </c>
    </row>
    <row r="24">
      <c r="A24" s="15" t="inlineStr">
        <is>
          <t>DIT</t>
        </is>
      </c>
      <c r="B24" s="16" t="n">
        <v>100054</v>
      </c>
      <c r="C24" s="16" t="n">
        <v>55000</v>
      </c>
      <c r="D24" s="16" t="inlineStr">
        <is>
          <t>0.001270</t>
        </is>
      </c>
      <c r="E24" s="16" t="inlineStr">
        <is>
          <t>0.440 SOL</t>
        </is>
      </c>
      <c r="F24" s="16" t="inlineStr">
        <is>
          <t>0.413 SOL</t>
        </is>
      </c>
      <c r="G24" s="21" t="inlineStr">
        <is>
          <t>-0.029 SOL</t>
        </is>
      </c>
      <c r="H24" s="21" t="inlineStr">
        <is>
          <t>-6.47%</t>
        </is>
      </c>
      <c r="I24" s="16" t="inlineStr">
        <is>
          <t>N/A</t>
        </is>
      </c>
      <c r="J24" s="16" t="n">
        <v>2</v>
      </c>
      <c r="K24" s="16" t="n">
        <v>1</v>
      </c>
      <c r="L24" s="16" t="inlineStr">
        <is>
          <t>22.10.2024 20:19:20</t>
        </is>
      </c>
      <c r="M24" s="16" t="inlineStr">
        <is>
          <t>4 days</t>
        </is>
      </c>
      <c r="N24" s="16" t="inlineStr">
        <is>
          <t xml:space="preserve">        797K           706K           157K</t>
        </is>
      </c>
      <c r="O24" s="16" t="inlineStr">
        <is>
          <t>4zdAbkyoYoT2F8ZSt6va4WZrmAwgFCfQsTEUo8zNpump</t>
        </is>
      </c>
      <c r="P24" s="16">
        <f>HYPERLINK("https://dexscreener.com/solana/4zdAbkyoYoT2F8ZSt6va4WZrmAwgFCfQsTEUo8zNpump", "View")</f>
        <v/>
      </c>
    </row>
    <row r="25">
      <c r="A25" s="19" t="inlineStr">
        <is>
          <t>GNON</t>
        </is>
      </c>
      <c r="B25" s="20" t="n">
        <v>32994</v>
      </c>
      <c r="C25" s="20" t="n">
        <v>29272</v>
      </c>
      <c r="D25" s="20" t="inlineStr">
        <is>
          <t>0.002810</t>
        </is>
      </c>
      <c r="E25" s="20" t="inlineStr">
        <is>
          <t>1.905 SOL</t>
        </is>
      </c>
      <c r="F25" s="20" t="inlineStr">
        <is>
          <t>10.605 SOL</t>
        </is>
      </c>
      <c r="G25" s="23" t="inlineStr">
        <is>
          <t>8.697 SOL</t>
        </is>
      </c>
      <c r="H25" s="23" t="inlineStr">
        <is>
          <t>455.80%</t>
        </is>
      </c>
      <c r="I25" s="20" t="inlineStr">
        <is>
          <t>N/A</t>
        </is>
      </c>
      <c r="J25" s="20" t="n">
        <v>3</v>
      </c>
      <c r="K25" s="20" t="n">
        <v>5</v>
      </c>
      <c r="L25" s="20" t="inlineStr">
        <is>
          <t>22.10.2024 04:09:20</t>
        </is>
      </c>
      <c r="M25" s="20" t="inlineStr">
        <is>
          <t>3 days</t>
        </is>
      </c>
      <c r="N25" s="20" t="inlineStr">
        <is>
          <t xml:space="preserve">          8M           150M             4M</t>
        </is>
      </c>
      <c r="O25" s="20" t="inlineStr">
        <is>
          <t>HeJUFDxfJSzYFUuHLxkMqCgytU31G6mjP4wKviwqpump</t>
        </is>
      </c>
      <c r="P25" s="20">
        <f>HYPERLINK("https://dexscreener.com/solana/HeJUFDxfJSzYFUuHLxkMqCgytU31G6mjP4wKviwqpump", "View")</f>
        <v/>
      </c>
    </row>
    <row r="26">
      <c r="A26" s="15" t="inlineStr">
        <is>
          <t>CLAUDIUS</t>
        </is>
      </c>
      <c r="B26" s="16" t="n">
        <v>39681</v>
      </c>
      <c r="C26" s="16" t="n">
        <v>39681</v>
      </c>
      <c r="D26" s="16" t="inlineStr">
        <is>
          <t>0.002270</t>
        </is>
      </c>
      <c r="E26" s="16" t="inlineStr">
        <is>
          <t>1.000 SOL</t>
        </is>
      </c>
      <c r="F26" s="16" t="inlineStr">
        <is>
          <t>1.816 SOL</t>
        </is>
      </c>
      <c r="G26" s="23" t="inlineStr">
        <is>
          <t>0.814 SOL</t>
        </is>
      </c>
      <c r="H26" s="23" t="inlineStr">
        <is>
          <t>81.23%</t>
        </is>
      </c>
      <c r="I26" s="16" t="inlineStr">
        <is>
          <t>N/A</t>
        </is>
      </c>
      <c r="J26" s="16" t="n">
        <v>1</v>
      </c>
      <c r="K26" s="16" t="n">
        <v>2</v>
      </c>
      <c r="L26" s="16" t="inlineStr">
        <is>
          <t>19.10.2024 20:37:36</t>
        </is>
      </c>
      <c r="M26" s="16" t="inlineStr">
        <is>
          <t>2 hours</t>
        </is>
      </c>
      <c r="N26" s="16" t="inlineStr">
        <is>
          <t xml:space="preserve">          4M             6M           260K</t>
        </is>
      </c>
      <c r="O26" s="16" t="inlineStr">
        <is>
          <t>4qNX615pV1oufdodNoiBzUsrUE3ww57DYg6LsUtupump</t>
        </is>
      </c>
      <c r="P26" s="16">
        <f>HYPERLINK("https://dexscreener.com/solana/4qNX615pV1oufdodNoiBzUsrUE3ww57DYg6LsUtupump", "View")</f>
        <v/>
      </c>
    </row>
    <row r="27">
      <c r="A27" s="19" t="inlineStr">
        <is>
          <t xml:space="preserve">GASPODE </t>
        </is>
      </c>
      <c r="B27" s="20" t="n">
        <v>263968</v>
      </c>
      <c r="C27" s="20" t="n">
        <v>0</v>
      </c>
      <c r="D27" s="20" t="inlineStr">
        <is>
          <t>0.000110</t>
        </is>
      </c>
      <c r="E27" s="20" t="inlineStr">
        <is>
          <t>0.496 SOL</t>
        </is>
      </c>
      <c r="F27" s="20" t="inlineStr">
        <is>
          <t>0.000 SOL</t>
        </is>
      </c>
      <c r="G27" s="17" t="inlineStr">
        <is>
          <t>-0.496 SOL</t>
        </is>
      </c>
      <c r="H27" s="17" t="inlineStr">
        <is>
          <t>0.00%</t>
        </is>
      </c>
      <c r="I27" s="20" t="inlineStr">
        <is>
          <t>263,968</t>
        </is>
      </c>
      <c r="J27" s="20" t="n">
        <v>1</v>
      </c>
      <c r="K27" s="20" t="n">
        <v>0</v>
      </c>
      <c r="L27" s="20" t="inlineStr">
        <is>
          <t>18.10.2024 16:20:35</t>
        </is>
      </c>
      <c r="M27" s="18" t="inlineStr">
        <is>
          <t>0 sec</t>
        </is>
      </c>
      <c r="N27" s="20" t="inlineStr">
        <is>
          <t xml:space="preserve">        330K           330K            25K</t>
        </is>
      </c>
      <c r="O27" s="20" t="inlineStr">
        <is>
          <t>CLmkmdeeDqZRciDPrpVS8JtFj2g1hh8U4XQmQishpump</t>
        </is>
      </c>
      <c r="P27" s="20">
        <f>HYPERLINK("https://dexscreener.com/solana/CLmkmdeeDqZRciDPrpVS8JtFj2g1hh8U4XQmQishpump", "View")</f>
        <v/>
      </c>
    </row>
    <row r="28">
      <c r="A28" s="15" t="inlineStr">
        <is>
          <t>1sol</t>
        </is>
      </c>
      <c r="B28" s="16" t="n">
        <v>122810</v>
      </c>
      <c r="C28" s="16" t="n">
        <v>122810</v>
      </c>
      <c r="D28" s="16" t="inlineStr">
        <is>
          <t>0.000060</t>
        </is>
      </c>
      <c r="E28" s="16" t="inlineStr">
        <is>
          <t>0.800 SOL</t>
        </is>
      </c>
      <c r="F28" s="16" t="inlineStr">
        <is>
          <t>1.305 SOL</t>
        </is>
      </c>
      <c r="G28" s="23" t="inlineStr">
        <is>
          <t>0.505 SOL</t>
        </is>
      </c>
      <c r="H28" s="23" t="inlineStr">
        <is>
          <t>63.17%</t>
        </is>
      </c>
      <c r="I28" s="16" t="inlineStr">
        <is>
          <t>N/A</t>
        </is>
      </c>
      <c r="J28" s="16" t="n">
        <v>1</v>
      </c>
      <c r="K28" s="16" t="n">
        <v>2</v>
      </c>
      <c r="L28" s="16" t="inlineStr">
        <is>
          <t>18.10.2024 12:00:07</t>
        </is>
      </c>
      <c r="M28" s="16" t="inlineStr">
        <is>
          <t>5 days</t>
        </is>
      </c>
      <c r="N28" s="16" t="inlineStr">
        <is>
          <t xml:space="preserve">          1M             2M             1M</t>
        </is>
      </c>
      <c r="O28" s="16" t="inlineStr">
        <is>
          <t>65j16LKHLnCksEU29ThphWLrg9V116VkMF1RFvVcCBRT</t>
        </is>
      </c>
      <c r="P28" s="16">
        <f>HYPERLINK("https://dexscreener.com/solana/65j16LKHLnCksEU29ThphWLrg9V116VkMF1RFvVcCBRT", "View")</f>
        <v/>
      </c>
    </row>
    <row r="29">
      <c r="A29" s="19" t="inlineStr">
        <is>
          <t>$Goatella</t>
        </is>
      </c>
      <c r="B29" s="20" t="n">
        <v>313759</v>
      </c>
      <c r="C29" s="20" t="n">
        <v>313759</v>
      </c>
      <c r="D29" s="20" t="inlineStr">
        <is>
          <t>0.000180</t>
        </is>
      </c>
      <c r="E29" s="20" t="inlineStr">
        <is>
          <t>0.500 SOL</t>
        </is>
      </c>
      <c r="F29" s="20" t="inlineStr">
        <is>
          <t>0.502 SOL</t>
        </is>
      </c>
      <c r="G29" s="22" t="inlineStr">
        <is>
          <t>0.002 SOL</t>
        </is>
      </c>
      <c r="H29" s="22" t="inlineStr">
        <is>
          <t>0.42%</t>
        </is>
      </c>
      <c r="I29" s="20" t="inlineStr">
        <is>
          <t>N/A</t>
        </is>
      </c>
      <c r="J29" s="20" t="n">
        <v>1</v>
      </c>
      <c r="K29" s="20" t="n">
        <v>2</v>
      </c>
      <c r="L29" s="20" t="inlineStr">
        <is>
          <t>17.10.2024 08:43:29</t>
        </is>
      </c>
      <c r="M29" s="20" t="inlineStr">
        <is>
          <t>7 hours</t>
        </is>
      </c>
      <c r="N29" s="20" t="inlineStr">
        <is>
          <t xml:space="preserve">        279K            46K             5K</t>
        </is>
      </c>
      <c r="O29" s="20" t="inlineStr">
        <is>
          <t>J1RKxbpFA8LG79eBZAFVvnjbX8deLWs4GQ27qsbppump</t>
        </is>
      </c>
      <c r="P29" s="20">
        <f>HYPERLINK("https://dexscreener.com/solana/J1RKxbpFA8LG79eBZAFVvnjbX8deLWs4GQ27qsbppump", "View")</f>
        <v/>
      </c>
    </row>
    <row r="30">
      <c r="A30" s="15" t="inlineStr">
        <is>
          <t>Remilia</t>
        </is>
      </c>
      <c r="B30" s="16" t="n">
        <v>85749</v>
      </c>
      <c r="C30" s="16" t="n">
        <v>85749</v>
      </c>
      <c r="D30" s="16" t="inlineStr">
        <is>
          <t>0.000740</t>
        </is>
      </c>
      <c r="E30" s="16" t="inlineStr">
        <is>
          <t>0.300 SOL</t>
        </is>
      </c>
      <c r="F30" s="16" t="inlineStr">
        <is>
          <t>0.479 SOL</t>
        </is>
      </c>
      <c r="G30" s="23" t="inlineStr">
        <is>
          <t>0.178 SOL</t>
        </is>
      </c>
      <c r="H30" s="23" t="inlineStr">
        <is>
          <t>59.35%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16.10.2024 21:57:44</t>
        </is>
      </c>
      <c r="M30" s="16" t="inlineStr">
        <is>
          <t>31 min</t>
        </is>
      </c>
      <c r="N30" s="16" t="inlineStr">
        <is>
          <t xml:space="preserve">        615K           981K           618K</t>
        </is>
      </c>
      <c r="O30" s="16" t="inlineStr">
        <is>
          <t>8wZvGcGePvWEa8tKQUYctMXFSkqS39scozVU9xBVrUjY</t>
        </is>
      </c>
      <c r="P30" s="16">
        <f>HYPERLINK("https://dexscreener.com/solana/8wZvGcGePvWEa8tKQUYctMXFSkqS39scozVU9xBVrUjY", "View")</f>
        <v/>
      </c>
    </row>
    <row r="31">
      <c r="A31" s="19" t="inlineStr">
        <is>
          <t>DINGUS</t>
        </is>
      </c>
      <c r="B31" s="20" t="n">
        <v>125280</v>
      </c>
      <c r="C31" s="20" t="n">
        <v>125280</v>
      </c>
      <c r="D31" s="20" t="inlineStr">
        <is>
          <t>0.001180</t>
        </is>
      </c>
      <c r="E31" s="20" t="inlineStr">
        <is>
          <t>0.330 SOL</t>
        </is>
      </c>
      <c r="F31" s="20" t="inlineStr">
        <is>
          <t>0.387 SOL</t>
        </is>
      </c>
      <c r="G31" s="22" t="inlineStr">
        <is>
          <t>0.056 SOL</t>
        </is>
      </c>
      <c r="H31" s="22" t="inlineStr">
        <is>
          <t>16.76%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16.10.2024 12:57:25</t>
        </is>
      </c>
      <c r="M31" s="20" t="inlineStr">
        <is>
          <t>23 min</t>
        </is>
      </c>
      <c r="N31" s="20" t="inlineStr">
        <is>
          <t xml:space="preserve">        462K           542K             7K</t>
        </is>
      </c>
      <c r="O31" s="20" t="inlineStr">
        <is>
          <t>8sj6CvKd8tZttApYFpDKfTrA2osx1eemhemK1YMbpump</t>
        </is>
      </c>
      <c r="P31" s="20">
        <f>HYPERLINK("https://dexscreener.com/solana/8sj6CvKd8tZttApYFpDKfTrA2osx1eemhemK1YMbpump", "View")</f>
        <v/>
      </c>
    </row>
    <row r="32">
      <c r="A32" s="15" t="inlineStr">
        <is>
          <t>oatmeal</t>
        </is>
      </c>
      <c r="B32" s="16" t="n">
        <v>173260</v>
      </c>
      <c r="C32" s="16" t="n">
        <v>173260</v>
      </c>
      <c r="D32" s="16" t="inlineStr">
        <is>
          <t>0.000270</t>
        </is>
      </c>
      <c r="E32" s="16" t="inlineStr">
        <is>
          <t>0.340 SOL</t>
        </is>
      </c>
      <c r="F32" s="16" t="inlineStr">
        <is>
          <t>0.013 SOL</t>
        </is>
      </c>
      <c r="G32" s="24" t="inlineStr">
        <is>
          <t>-0.328 SOL</t>
        </is>
      </c>
      <c r="H32" s="24" t="inlineStr">
        <is>
          <t>-96.29%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16.10.2024 06:14:26</t>
        </is>
      </c>
      <c r="M32" s="16" t="inlineStr">
        <is>
          <t>8 days</t>
        </is>
      </c>
      <c r="N32" s="16" t="inlineStr">
        <is>
          <t xml:space="preserve">        344K            12K             9K</t>
        </is>
      </c>
      <c r="O32" s="16" t="inlineStr">
        <is>
          <t>12WRu4BdJk1yM3Nk433yg3S9GnxniUdueeu29iMPpump</t>
        </is>
      </c>
      <c r="P32" s="16">
        <f>HYPERLINK("https://dexscreener.com/solana/12WRu4BdJk1yM3Nk433yg3S9GnxniUdueeu29iMPpump", "View")</f>
        <v/>
      </c>
    </row>
    <row r="33">
      <c r="A33" s="19" t="inlineStr">
        <is>
          <t>Moya</t>
        </is>
      </c>
      <c r="B33" s="20" t="n">
        <v>126898</v>
      </c>
      <c r="C33" s="20" t="n">
        <v>126898</v>
      </c>
      <c r="D33" s="20" t="inlineStr">
        <is>
          <t>0.000050</t>
        </is>
      </c>
      <c r="E33" s="20" t="inlineStr">
        <is>
          <t>0.420 SOL</t>
        </is>
      </c>
      <c r="F33" s="20" t="inlineStr">
        <is>
          <t>0.232 SOL</t>
        </is>
      </c>
      <c r="G33" s="21" t="inlineStr">
        <is>
          <t>-0.188 SOL</t>
        </is>
      </c>
      <c r="H33" s="21" t="inlineStr">
        <is>
          <t>-44.67%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13.10.2024 00:56:34</t>
        </is>
      </c>
      <c r="M33" s="20" t="inlineStr">
        <is>
          <t>1 hours</t>
        </is>
      </c>
      <c r="N33" s="20" t="inlineStr">
        <is>
          <t xml:space="preserve">        579K           320K            72K</t>
        </is>
      </c>
      <c r="O33" s="20" t="inlineStr">
        <is>
          <t>2twniGDWiibKXDKeFUaeomAUXfcET9YdsRxst4XZf3E8</t>
        </is>
      </c>
      <c r="P33" s="20">
        <f>HYPERLINK("https://dexscreener.com/solana/2twniGDWiibKXDKeFUaeomAUXfcET9YdsRxst4XZf3E8", "View")</f>
        <v/>
      </c>
    </row>
    <row r="34">
      <c r="A34" s="15" t="inlineStr">
        <is>
          <t>99%</t>
        </is>
      </c>
      <c r="B34" s="16" t="n">
        <v>1036860</v>
      </c>
      <c r="C34" s="16" t="n">
        <v>1036860</v>
      </c>
      <c r="D34" s="16" t="inlineStr">
        <is>
          <t>0.000330</t>
        </is>
      </c>
      <c r="E34" s="16" t="inlineStr">
        <is>
          <t>0.750 SOL</t>
        </is>
      </c>
      <c r="F34" s="16" t="inlineStr">
        <is>
          <t>1.380 SOL</t>
        </is>
      </c>
      <c r="G34" s="23" t="inlineStr">
        <is>
          <t>0.630 SOL</t>
        </is>
      </c>
      <c r="H34" s="23" t="inlineStr">
        <is>
          <t>83.98%</t>
        </is>
      </c>
      <c r="I34" s="16" t="inlineStr">
        <is>
          <t>N/A</t>
        </is>
      </c>
      <c r="J34" s="16" t="n">
        <v>1</v>
      </c>
      <c r="K34" s="16" t="n">
        <v>2</v>
      </c>
      <c r="L34" s="16" t="inlineStr">
        <is>
          <t>11.10.2024 20:26:01</t>
        </is>
      </c>
      <c r="M34" s="16" t="inlineStr">
        <is>
          <t>1 days</t>
        </is>
      </c>
      <c r="N34" s="16" t="inlineStr">
        <is>
          <t xml:space="preserve">        126K            42K            14K</t>
        </is>
      </c>
      <c r="O34" s="16" t="inlineStr">
        <is>
          <t>6MsuX4Fc7aQ9FFwnBFnA9oQZhUsFKhnjritV8Hu1pump</t>
        </is>
      </c>
      <c r="P34" s="16">
        <f>HYPERLINK("https://dexscreener.com/solana/6MsuX4Fc7aQ9FFwnBFnA9oQZhUsFKhnjritV8Hu1pump", "View")</f>
        <v/>
      </c>
    </row>
    <row r="35">
      <c r="A35" s="19" t="inlineStr">
        <is>
          <t>WINTER</t>
        </is>
      </c>
      <c r="B35" s="20" t="n">
        <v>25288</v>
      </c>
      <c r="C35" s="20" t="n">
        <v>0</v>
      </c>
      <c r="D35" s="20" t="inlineStr">
        <is>
          <t>0.000010</t>
        </is>
      </c>
      <c r="E35" s="20" t="inlineStr">
        <is>
          <t>0.500 SOL</t>
        </is>
      </c>
      <c r="F35" s="20" t="inlineStr">
        <is>
          <t>0.000 SOL</t>
        </is>
      </c>
      <c r="G35" s="17" t="inlineStr">
        <is>
          <t>-0.500 SOL</t>
        </is>
      </c>
      <c r="H35" s="17" t="inlineStr">
        <is>
          <t>0.00%</t>
        </is>
      </c>
      <c r="I35" s="20" t="inlineStr">
        <is>
          <t>25,288</t>
        </is>
      </c>
      <c r="J35" s="20" t="n">
        <v>1</v>
      </c>
      <c r="K35" s="20" t="n">
        <v>0</v>
      </c>
      <c r="L35" s="20" t="inlineStr">
        <is>
          <t>09.10.2024 23:27:43</t>
        </is>
      </c>
      <c r="M35" s="18" t="inlineStr">
        <is>
          <t>0 sec</t>
        </is>
      </c>
      <c r="N35" s="20" t="inlineStr">
        <is>
          <t xml:space="preserve">          3M             3M           460K</t>
        </is>
      </c>
      <c r="O35" s="20" t="inlineStr">
        <is>
          <t>4j2gUEmfbSAacvSSd6yXo8yEzXCAUVeoXrqLVV3apump</t>
        </is>
      </c>
      <c r="P35" s="20">
        <f>HYPERLINK("https://dexscreener.com/solana/4j2gUEmfbSAacvSSd6yXo8yEzXCAUVeoXrqLVV3apump", "View")</f>
        <v/>
      </c>
    </row>
    <row r="36">
      <c r="A36" s="15" t="inlineStr">
        <is>
          <t xml:space="preserve">HANBAO </t>
        </is>
      </c>
      <c r="B36" s="16" t="n">
        <v>9712</v>
      </c>
      <c r="C36" s="16" t="n">
        <v>0</v>
      </c>
      <c r="D36" s="16" t="inlineStr">
        <is>
          <t>0.001010</t>
        </is>
      </c>
      <c r="E36" s="16" t="inlineStr">
        <is>
          <t>0.500 SOL</t>
        </is>
      </c>
      <c r="F36" s="16" t="inlineStr">
        <is>
          <t>0.000 SOL</t>
        </is>
      </c>
      <c r="G36" s="17" t="inlineStr">
        <is>
          <t>-0.501 SOL</t>
        </is>
      </c>
      <c r="H36" s="17" t="inlineStr">
        <is>
          <t>0.00%</t>
        </is>
      </c>
      <c r="I36" s="16" t="inlineStr">
        <is>
          <t>9,712</t>
        </is>
      </c>
      <c r="J36" s="16" t="n">
        <v>1</v>
      </c>
      <c r="K36" s="16" t="n">
        <v>0</v>
      </c>
      <c r="L36" s="16" t="inlineStr">
        <is>
          <t>09.10.2024 20:40:00</t>
        </is>
      </c>
      <c r="M36" s="18" t="inlineStr">
        <is>
          <t>0 sec</t>
        </is>
      </c>
      <c r="N36" s="16" t="inlineStr">
        <is>
          <t xml:space="preserve">          9M             9M           706K</t>
        </is>
      </c>
      <c r="O36" s="16" t="inlineStr">
        <is>
          <t>GTFWEVQy5BwQsZJWS4Y6KaZ3or6Yhysh2EEUp8bgpump</t>
        </is>
      </c>
      <c r="P36" s="16">
        <f>HYPERLINK("https://dexscreener.com/solana/GTFWEVQy5BwQsZJWS4Y6KaZ3or6Yhysh2EEUp8bgpump", "View")</f>
        <v/>
      </c>
    </row>
    <row r="37">
      <c r="A37" s="19" t="inlineStr">
        <is>
          <t>Never</t>
        </is>
      </c>
      <c r="B37" s="20" t="n">
        <v>144075</v>
      </c>
      <c r="C37" s="20" t="n">
        <v>144075</v>
      </c>
      <c r="D37" s="20" t="inlineStr">
        <is>
          <t>0.001110</t>
        </is>
      </c>
      <c r="E37" s="20" t="inlineStr">
        <is>
          <t>0.300 SOL</t>
        </is>
      </c>
      <c r="F37" s="20" t="inlineStr">
        <is>
          <t>0.554 SOL</t>
        </is>
      </c>
      <c r="G37" s="23" t="inlineStr">
        <is>
          <t>0.253 SOL</t>
        </is>
      </c>
      <c r="H37" s="23" t="inlineStr">
        <is>
          <t>84.15%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03.10.2024 19:28:56</t>
        </is>
      </c>
      <c r="M37" s="20" t="inlineStr">
        <is>
          <t>2 hours</t>
        </is>
      </c>
      <c r="N37" s="20" t="inlineStr">
        <is>
          <t xml:space="preserve">        365K           676K            86K</t>
        </is>
      </c>
      <c r="O37" s="20" t="inlineStr">
        <is>
          <t>9nj92MjhAKKYyVmoNKeqN7rVDre6H49MuBq8XMmUpump</t>
        </is>
      </c>
      <c r="P37" s="20">
        <f>HYPERLINK("https://dexscreener.com/solana/9nj92MjhAKKYyVmoNKeqN7rVDre6H49MuBq8XMmUpump", "View")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HYPERLINK("https://gmgn.ai/sol/address/Hc1syKADv3y8jEEcB2nnXfTe63X6cnmug4gpXQg59avr", "GMGN")</f>
        <v/>
      </c>
    </row>
    <row r="2">
      <c r="A2" s="3" t="inlineStr">
        <is>
          <t>Hc1syKADv3y8jEEcB2nnXfTe63X6cnmug4gpXQg59avr</t>
        </is>
      </c>
      <c r="B2" s="3" t="inlineStr">
        <is>
          <t>36.50 SOL</t>
        </is>
      </c>
      <c r="C2" s="3" t="inlineStr">
        <is>
          <t>47%</t>
        </is>
      </c>
      <c r="D2" s="3" t="inlineStr">
        <is>
          <t>154%</t>
        </is>
      </c>
      <c r="E2" s="3" t="inlineStr">
        <is>
          <t>736.33 SOL</t>
        </is>
      </c>
      <c r="F2" s="3" t="inlineStr">
        <is>
          <t>0 (0%)</t>
        </is>
      </c>
      <c r="G2" s="3" t="inlineStr">
        <is>
          <t>1 (6%)</t>
        </is>
      </c>
      <c r="H2" s="3" t="n">
        <v>17</v>
      </c>
      <c r="I2" s="3" t="n">
        <v>0</v>
      </c>
      <c r="J2" s="3" t="inlineStr">
        <is>
          <t>41 days</t>
        </is>
      </c>
      <c r="K2" s="3" t="inlineStr">
        <is>
          <t>5 h</t>
        </is>
      </c>
      <c r="L2" s="3" t="n">
        <v>6</v>
      </c>
      <c r="M2" s="3" t="n">
        <v>31</v>
      </c>
      <c r="N2" s="3">
        <f>HYPERLINK("https://solscan.io/account/Hc1syKADv3y8jEEcB2nnXfTe63X6cnmug4gpXQg59avr", "Solscan")</f>
        <v/>
      </c>
    </row>
    <row r="3">
      <c r="A3" s="6" t="inlineStr">
        <is>
          <t>Median ROI</t>
        </is>
      </c>
      <c r="B3" s="5" t="inlineStr">
        <is>
          <t>-2.86%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HYPERLINK("https://birdeye.so/profile/Hc1syKADv3y8jEEcB2nnXfTe63X6cnmug4gpXQg59avr", "Birdeye")</f>
        <v/>
      </c>
    </row>
    <row r="4">
      <c r="A4" s="6" t="inlineStr">
        <is>
          <t>Rockets percent</t>
        </is>
      </c>
      <c r="B4" s="3" t="inlineStr">
        <is>
          <t>18%</t>
        </is>
      </c>
      <c r="C4" s="3" t="inlineStr"/>
      <c r="D4" s="3" t="inlineStr">
        <is>
          <t>0%</t>
        </is>
      </c>
      <c r="E4" s="3" t="inlineStr">
        <is>
          <t>1.85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663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2.6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3</v>
      </c>
      <c r="D10" s="6" t="n">
        <v>0</v>
      </c>
      <c r="E10" s="6" t="n">
        <v>5</v>
      </c>
      <c r="F10" s="6" t="n">
        <v>7</v>
      </c>
      <c r="G10" s="6" t="n">
        <v>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17.6%</t>
        </is>
      </c>
      <c r="D11" s="6" t="inlineStr">
        <is>
          <t>0.0%</t>
        </is>
      </c>
      <c r="E11" s="6" t="inlineStr">
        <is>
          <t>29.4%</t>
        </is>
      </c>
      <c r="F11" s="6" t="inlineStr">
        <is>
          <t>41.2%</t>
        </is>
      </c>
      <c r="G11" s="6" t="inlineStr">
        <is>
          <t>11.8%</t>
        </is>
      </c>
      <c r="H11" s="3" t="n"/>
      <c r="I11" s="3" t="inlineStr">
        <is>
          <t>5k-30k</t>
        </is>
      </c>
      <c r="J11" s="3" t="inlineStr">
        <is>
          <t>4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748.1 SOL</t>
        </is>
      </c>
      <c r="D12" s="6" t="inlineStr">
        <is>
          <t>0.0 SOL</t>
        </is>
      </c>
      <c r="E12" s="6" t="inlineStr">
        <is>
          <t>3.9 SOL</t>
        </is>
      </c>
      <c r="F12" s="6" t="inlineStr">
        <is>
          <t>-13.3 SOL</t>
        </is>
      </c>
      <c r="G12" s="6" t="inlineStr">
        <is>
          <t>-2.3 SOL</t>
        </is>
      </c>
      <c r="H12" s="3" t="n"/>
      <c r="I12" s="3" t="inlineStr">
        <is>
          <t>30k-100k</t>
        </is>
      </c>
      <c r="J12" s="3" t="inlineStr">
        <is>
          <t>0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9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624.5K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NUTBUTT</t>
        </is>
      </c>
      <c r="B20" s="16" t="n">
        <v>493231</v>
      </c>
      <c r="C20" s="16" t="n">
        <v>0</v>
      </c>
      <c r="D20" s="16" t="inlineStr">
        <is>
          <t>0.000090</t>
        </is>
      </c>
      <c r="E20" s="16" t="inlineStr">
        <is>
          <t>2.000 SOL</t>
        </is>
      </c>
      <c r="F20" s="16" t="inlineStr">
        <is>
          <t>0.000 SOL</t>
        </is>
      </c>
      <c r="G20" s="17" t="inlineStr">
        <is>
          <t>-2.000 SOL</t>
        </is>
      </c>
      <c r="H20" s="17" t="inlineStr">
        <is>
          <t>0.00%</t>
        </is>
      </c>
      <c r="I20" s="16" t="inlineStr">
        <is>
          <t>493,231</t>
        </is>
      </c>
      <c r="J20" s="16" t="n">
        <v>2</v>
      </c>
      <c r="K20" s="16" t="n">
        <v>0</v>
      </c>
      <c r="L20" s="16" t="inlineStr">
        <is>
          <t>30.10.2024 18:08:52</t>
        </is>
      </c>
      <c r="M20" s="16" t="inlineStr">
        <is>
          <t>5 min</t>
        </is>
      </c>
      <c r="N20" s="16" t="inlineStr">
        <is>
          <t xml:space="preserve">        713K           711K           657K</t>
        </is>
      </c>
      <c r="O20" s="16" t="inlineStr">
        <is>
          <t>CFBYjzT357obRmihT9F5uyCY3kqgksRvXKM3RJN1pump</t>
        </is>
      </c>
      <c r="P20" s="16">
        <f>HYPERLINK("https://dexscreener.com/solana/CFBYjzT357obRmihT9F5uyCY3kqgksRvXKM3RJN1pump", "View")</f>
        <v/>
      </c>
    </row>
    <row r="21">
      <c r="A21" s="19" t="inlineStr">
        <is>
          <t>WADE</t>
        </is>
      </c>
      <c r="B21" s="20" t="n">
        <v>30995946</v>
      </c>
      <c r="C21" s="20" t="n">
        <v>30995946</v>
      </c>
      <c r="D21" s="20" t="inlineStr">
        <is>
          <t>0.000430</t>
        </is>
      </c>
      <c r="E21" s="20" t="inlineStr">
        <is>
          <t>1.015 SOL</t>
        </is>
      </c>
      <c r="F21" s="20" t="inlineStr">
        <is>
          <t>0.921 SOL</t>
        </is>
      </c>
      <c r="G21" s="21" t="inlineStr">
        <is>
          <t>-0.094 SOL</t>
        </is>
      </c>
      <c r="H21" s="21" t="inlineStr">
        <is>
          <t>-9.29%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07:36:39</t>
        </is>
      </c>
      <c r="M21" s="20" t="inlineStr">
        <is>
          <t>1 days</t>
        </is>
      </c>
      <c r="N21" s="20" t="inlineStr">
        <is>
          <t xml:space="preserve">          5K             5K             5K</t>
        </is>
      </c>
      <c r="O21" s="20" t="inlineStr">
        <is>
          <t>GQ41tL4Stti3A2CEcVrfjSS7rJxEnL9AQXiQ7mrRpump</t>
        </is>
      </c>
      <c r="P21" s="20">
        <f>HYPERLINK("https://photon-sol.tinyastro.io/en/lp/GQ41tL4Stti3A2CEcVrfjSS7rJxEnL9AQXiQ7mrRpump?handle=676050794bc1b1657a56b", "View")</f>
        <v/>
      </c>
    </row>
    <row r="22">
      <c r="A22" s="15" t="inlineStr">
        <is>
          <t>catcha</t>
        </is>
      </c>
      <c r="B22" s="16" t="n">
        <v>5944761</v>
      </c>
      <c r="C22" s="16" t="n">
        <v>5944761</v>
      </c>
      <c r="D22" s="16" t="inlineStr">
        <is>
          <t>0.000840</t>
        </is>
      </c>
      <c r="E22" s="16" t="inlineStr">
        <is>
          <t>0.258 SOL</t>
        </is>
      </c>
      <c r="F22" s="16" t="inlineStr">
        <is>
          <t>0.163 SOL</t>
        </is>
      </c>
      <c r="G22" s="21" t="inlineStr">
        <is>
          <t>-0.096 SOL</t>
        </is>
      </c>
      <c r="H22" s="21" t="inlineStr">
        <is>
          <t>-37.09%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07:36:24</t>
        </is>
      </c>
      <c r="M22" s="16" t="inlineStr">
        <is>
          <t>1 days</t>
        </is>
      </c>
      <c r="N22" s="16" t="inlineStr">
        <is>
          <t xml:space="preserve">          7K             7K             5K</t>
        </is>
      </c>
      <c r="O22" s="16" t="inlineStr">
        <is>
          <t>9Z7hNZG2C6otWwRszuUpvCANJP2PmDuFDZKca8NVpump</t>
        </is>
      </c>
      <c r="P22" s="16">
        <f>HYPERLINK("https://photon-sol.tinyastro.io/en/lp/9Z7hNZG2C6otWwRszuUpvCANJP2PmDuFDZKca8NVpump?handle=676050794bc1b1657a56b", "View")</f>
        <v/>
      </c>
    </row>
    <row r="23">
      <c r="A23" s="19" t="inlineStr">
        <is>
          <t>frank</t>
        </is>
      </c>
      <c r="B23" s="20" t="n">
        <v>1720501</v>
      </c>
      <c r="C23" s="20" t="n">
        <v>1720501</v>
      </c>
      <c r="D23" s="20" t="inlineStr">
        <is>
          <t>0.000170</t>
        </is>
      </c>
      <c r="E23" s="20" t="inlineStr">
        <is>
          <t>35.000 SOL</t>
        </is>
      </c>
      <c r="F23" s="20" t="inlineStr">
        <is>
          <t>37.562 SOL</t>
        </is>
      </c>
      <c r="G23" s="22" t="inlineStr">
        <is>
          <t>2.562 SOL</t>
        </is>
      </c>
      <c r="H23" s="22" t="inlineStr">
        <is>
          <t>7.32%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29.10.2024 23:17:56</t>
        </is>
      </c>
      <c r="M23" s="20" t="inlineStr">
        <is>
          <t>2 hours</t>
        </is>
      </c>
      <c r="N23" s="20" t="inlineStr">
        <is>
          <t xml:space="preserve">          4M             4M             3M</t>
        </is>
      </c>
      <c r="O23" s="20" t="inlineStr">
        <is>
          <t>AYhFJk9ZyKN5aCRwrG78iTvuxnrrLp5q4fGfyBM7pump</t>
        </is>
      </c>
      <c r="P23" s="20">
        <f>HYPERLINK("https://dexscreener.com/solana/AYhFJk9ZyKN5aCRwrG78iTvuxnrrLp5q4fGfyBM7pump", "View")</f>
        <v/>
      </c>
    </row>
    <row r="24">
      <c r="A24" s="15" t="inlineStr">
        <is>
          <t>FRIDGE</t>
        </is>
      </c>
      <c r="B24" s="16" t="n">
        <v>2572709</v>
      </c>
      <c r="C24" s="16" t="n">
        <v>2572709</v>
      </c>
      <c r="D24" s="16" t="inlineStr">
        <is>
          <t>0.000830</t>
        </is>
      </c>
      <c r="E24" s="16" t="inlineStr">
        <is>
          <t>33.300 SOL</t>
        </is>
      </c>
      <c r="F24" s="16" t="inlineStr">
        <is>
          <t>28.416 SOL</t>
        </is>
      </c>
      <c r="G24" s="21" t="inlineStr">
        <is>
          <t>-4.884 SOL</t>
        </is>
      </c>
      <c r="H24" s="21" t="inlineStr">
        <is>
          <t>-14.67%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21:11:30</t>
        </is>
      </c>
      <c r="M24" s="16" t="inlineStr">
        <is>
          <t>2 hours</t>
        </is>
      </c>
      <c r="N24" s="16" t="inlineStr">
        <is>
          <t xml:space="preserve">          2M             2M             2M</t>
        </is>
      </c>
      <c r="O24" s="16" t="inlineStr">
        <is>
          <t>EswvJvhPy8A8rWPdLJ5ATYW6cY5x483oS4QWWroZpump</t>
        </is>
      </c>
      <c r="P24" s="16">
        <f>HYPERLINK("https://dexscreener.com/solana/EswvJvhPy8A8rWPdLJ5ATYW6cY5x483oS4QWWroZpump", "View")</f>
        <v/>
      </c>
    </row>
    <row r="25">
      <c r="A25" s="19" t="inlineStr">
        <is>
          <t>MEMECORE</t>
        </is>
      </c>
      <c r="B25" s="20" t="n">
        <v>1521211</v>
      </c>
      <c r="C25" s="20" t="n">
        <v>1521211</v>
      </c>
      <c r="D25" s="20" t="inlineStr">
        <is>
          <t>0.000720</t>
        </is>
      </c>
      <c r="E25" s="20" t="inlineStr">
        <is>
          <t>3.845 SOL</t>
        </is>
      </c>
      <c r="F25" s="20" t="inlineStr">
        <is>
          <t>3.710 SOL</t>
        </is>
      </c>
      <c r="G25" s="21" t="inlineStr">
        <is>
          <t>-0.135 SOL</t>
        </is>
      </c>
      <c r="H25" s="21" t="inlineStr">
        <is>
          <t>-3.52%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24.10.2024 18:29:21</t>
        </is>
      </c>
      <c r="M25" s="20" t="inlineStr">
        <is>
          <t>3 hours</t>
        </is>
      </c>
      <c r="N25" s="20" t="inlineStr">
        <is>
          <t xml:space="preserve">        444K           428K            30K</t>
        </is>
      </c>
      <c r="O25" s="20" t="inlineStr">
        <is>
          <t>GpLF6vGzZvn2ZPdVxP7m1LTuAndbiKrpAbnFNVSEpump</t>
        </is>
      </c>
      <c r="P25" s="20">
        <f>HYPERLINK("https://dexscreener.com/solana/GpLF6vGzZvn2ZPdVxP7m1LTuAndbiKrpAbnFNVSEpump", "View")</f>
        <v/>
      </c>
    </row>
    <row r="26">
      <c r="A26" s="15" t="inlineStr">
        <is>
          <t>MUMU</t>
        </is>
      </c>
      <c r="B26" s="16" t="n">
        <v>70803192</v>
      </c>
      <c r="C26" s="16" t="n">
        <v>70803192</v>
      </c>
      <c r="D26" s="16" t="inlineStr">
        <is>
          <t>0.000700</t>
        </is>
      </c>
      <c r="E26" s="16" t="inlineStr">
        <is>
          <t>18.651 SOL</t>
        </is>
      </c>
      <c r="F26" s="16" t="inlineStr">
        <is>
          <t>12.193 SOL</t>
        </is>
      </c>
      <c r="G26" s="21" t="inlineStr">
        <is>
          <t>-6.459 SOL</t>
        </is>
      </c>
      <c r="H26" s="21" t="inlineStr">
        <is>
          <t>-34.63%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24.10.2024 15:25:56</t>
        </is>
      </c>
      <c r="M26" s="16" t="inlineStr">
        <is>
          <t>16 hours</t>
        </is>
      </c>
      <c r="N26" s="16" t="inlineStr">
        <is>
          <t xml:space="preserve">        106M           106M           127M</t>
        </is>
      </c>
      <c r="O26" s="16" t="inlineStr">
        <is>
          <t>5LafQUrVco6o7KMz42eqVEJ9LW31StPyGjeeu5sKoMtA</t>
        </is>
      </c>
      <c r="P26" s="16">
        <f>HYPERLINK("https://dexscreener.com/solana/5LafQUrVco6o7KMz42eqVEJ9LW31StPyGjeeu5sKoMtA", "View")</f>
        <v/>
      </c>
    </row>
    <row r="27">
      <c r="A27" s="19" t="inlineStr">
        <is>
          <t>ANT</t>
        </is>
      </c>
      <c r="B27" s="20" t="n">
        <v>1691501</v>
      </c>
      <c r="C27" s="20" t="n">
        <v>1691501</v>
      </c>
      <c r="D27" s="20" t="inlineStr">
        <is>
          <t>0.010820</t>
        </is>
      </c>
      <c r="E27" s="20" t="inlineStr">
        <is>
          <t>100.000 SOL</t>
        </is>
      </c>
      <c r="F27" s="20" t="inlineStr">
        <is>
          <t>100.556 SOL</t>
        </is>
      </c>
      <c r="G27" s="22" t="inlineStr">
        <is>
          <t>0.545 SOL</t>
        </is>
      </c>
      <c r="H27" s="22" t="inlineStr">
        <is>
          <t>0.55%</t>
        </is>
      </c>
      <c r="I27" s="20" t="inlineStr">
        <is>
          <t>N/A</t>
        </is>
      </c>
      <c r="J27" s="20" t="n">
        <v>4</v>
      </c>
      <c r="K27" s="20" t="n">
        <v>2</v>
      </c>
      <c r="L27" s="20" t="inlineStr">
        <is>
          <t>24.10.2024 05:31:00</t>
        </is>
      </c>
      <c r="M27" s="20" t="inlineStr">
        <is>
          <t>1 hours</t>
        </is>
      </c>
      <c r="N27" s="20" t="inlineStr">
        <is>
          <t xml:space="preserve">         10M            11M           166K</t>
        </is>
      </c>
      <c r="O27" s="20" t="inlineStr">
        <is>
          <t>7PLFUMueEkMDc9dNoCnL5kG3aoLixML1iG5nA9ojpump</t>
        </is>
      </c>
      <c r="P27" s="20">
        <f>HYPERLINK("https://dexscreener.com/solana/7PLFUMueEkMDc9dNoCnL5kG3aoLixML1iG5nA9ojpump", "View")</f>
        <v/>
      </c>
    </row>
    <row r="28">
      <c r="A28" s="15" t="inlineStr">
        <is>
          <t>QUEEF</t>
        </is>
      </c>
      <c r="B28" s="16" t="n">
        <v>3276718</v>
      </c>
      <c r="C28" s="16" t="n">
        <v>3276718</v>
      </c>
      <c r="D28" s="16" t="inlineStr">
        <is>
          <t>0.000510</t>
        </is>
      </c>
      <c r="E28" s="16" t="inlineStr">
        <is>
          <t>10.000 SOL</t>
        </is>
      </c>
      <c r="F28" s="16" t="inlineStr">
        <is>
          <t>10.424 SOL</t>
        </is>
      </c>
      <c r="G28" s="22" t="inlineStr">
        <is>
          <t>0.423 SOL</t>
        </is>
      </c>
      <c r="H28" s="22" t="inlineStr">
        <is>
          <t>4.23%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24.10.2024 03:57:08</t>
        </is>
      </c>
      <c r="M28" s="16" t="inlineStr">
        <is>
          <t>3 hours</t>
        </is>
      </c>
      <c r="N28" s="16" t="inlineStr">
        <is>
          <t xml:space="preserve">        536K           536K            21K</t>
        </is>
      </c>
      <c r="O28" s="16" t="inlineStr">
        <is>
          <t>DvcUihZoFL1diNvYyAyysfz8s46rnw3v9UADc75wpump</t>
        </is>
      </c>
      <c r="P28" s="16">
        <f>HYPERLINK("https://dexscreener.com/solana/DvcUihZoFL1diNvYyAyysfz8s46rnw3v9UADc75wpump", "View")</f>
        <v/>
      </c>
    </row>
    <row r="29">
      <c r="A29" s="19" t="inlineStr">
        <is>
          <t>TARD</t>
        </is>
      </c>
      <c r="B29" s="20" t="n">
        <v>5806214</v>
      </c>
      <c r="C29" s="20" t="n">
        <v>5806214</v>
      </c>
      <c r="D29" s="20" t="inlineStr">
        <is>
          <t>0.000400</t>
        </is>
      </c>
      <c r="E29" s="20" t="inlineStr">
        <is>
          <t>24.000 SOL</t>
        </is>
      </c>
      <c r="F29" s="20" t="inlineStr">
        <is>
          <t>23.314 SOL</t>
        </is>
      </c>
      <c r="G29" s="21" t="inlineStr">
        <is>
          <t>-0.686 SOL</t>
        </is>
      </c>
      <c r="H29" s="21" t="inlineStr">
        <is>
          <t>-2.86%</t>
        </is>
      </c>
      <c r="I29" s="20" t="inlineStr">
        <is>
          <t>N/A</t>
        </is>
      </c>
      <c r="J29" s="20" t="n">
        <v>3</v>
      </c>
      <c r="K29" s="20" t="n">
        <v>1</v>
      </c>
      <c r="L29" s="20" t="inlineStr">
        <is>
          <t>23.10.2024 15:01:10</t>
        </is>
      </c>
      <c r="M29" s="20" t="inlineStr">
        <is>
          <t>7 hours</t>
        </is>
      </c>
      <c r="N29" s="20" t="inlineStr">
        <is>
          <t xml:space="preserve">        965K           635K           119K</t>
        </is>
      </c>
      <c r="O29" s="20" t="inlineStr">
        <is>
          <t>6bbATbj5XDYBoS8LFzQmDSRoGwfZZvNaAUA5WKuapump</t>
        </is>
      </c>
      <c r="P29" s="20">
        <f>HYPERLINK("https://dexscreener.com/solana/6bbATbj5XDYBoS8LFzQmDSRoGwfZZvNaAUA5WKuapump", "View")</f>
        <v/>
      </c>
    </row>
    <row r="30">
      <c r="A30" s="15" t="inlineStr">
        <is>
          <t>AVAX</t>
        </is>
      </c>
      <c r="B30" s="16" t="n">
        <v>16813462</v>
      </c>
      <c r="C30" s="16" t="n">
        <v>20378246</v>
      </c>
      <c r="D30" s="16" t="inlineStr">
        <is>
          <t>0.000030</t>
        </is>
      </c>
      <c r="E30" s="16" t="inlineStr">
        <is>
          <t>0.508 SOL</t>
        </is>
      </c>
      <c r="F30" s="16" t="inlineStr">
        <is>
          <t>0.653 SOL</t>
        </is>
      </c>
      <c r="G30" s="22" t="inlineStr">
        <is>
          <t>0.145 SOL</t>
        </is>
      </c>
      <c r="H30" s="22" t="inlineStr">
        <is>
          <t>28.62%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22.10.2024 07:06:58</t>
        </is>
      </c>
      <c r="M30" s="16" t="inlineStr">
        <is>
          <t>10 min</t>
        </is>
      </c>
      <c r="N30" s="16" t="inlineStr">
        <is>
          <t xml:space="preserve">          5K             5K             6K</t>
        </is>
      </c>
      <c r="O30" s="16" t="inlineStr">
        <is>
          <t>GcxBihU1vpePd1oGFMCoqk3H6XChpLM1hj4b1XDKpump</t>
        </is>
      </c>
      <c r="P30" s="16">
        <f>HYPERLINK("https://photon-sol.tinyastro.io/en/lp/GcxBihU1vpePd1oGFMCoqk3H6XChpLM1hj4b1XDKpump?handle=676050794bc1b1657a56b", "View")</f>
        <v/>
      </c>
    </row>
    <row r="31">
      <c r="A31" s="19" t="inlineStr">
        <is>
          <t xml:space="preserve">HANBAO </t>
        </is>
      </c>
      <c r="B31" s="20" t="n">
        <v>35676191</v>
      </c>
      <c r="C31" s="20" t="n">
        <v>35676190</v>
      </c>
      <c r="D31" s="20" t="inlineStr">
        <is>
          <t>0.000190</t>
        </is>
      </c>
      <c r="E31" s="20" t="inlineStr">
        <is>
          <t>243.270 SOL</t>
        </is>
      </c>
      <c r="F31" s="20" t="inlineStr">
        <is>
          <t>983.973 SOL</t>
        </is>
      </c>
      <c r="G31" s="23" t="inlineStr">
        <is>
          <t>740.702 SOL</t>
        </is>
      </c>
      <c r="H31" s="23" t="inlineStr">
        <is>
          <t>304.48%</t>
        </is>
      </c>
      <c r="I31" s="20" t="inlineStr">
        <is>
          <t>N/A</t>
        </is>
      </c>
      <c r="J31" s="20" t="n">
        <v>18</v>
      </c>
      <c r="K31" s="20" t="n">
        <v>20</v>
      </c>
      <c r="L31" s="20" t="inlineStr">
        <is>
          <t>14.10.2024 17:33:43</t>
        </is>
      </c>
      <c r="M31" s="20" t="inlineStr">
        <is>
          <t>17 days</t>
        </is>
      </c>
      <c r="N31" s="20" t="inlineStr">
        <is>
          <t xml:space="preserve">          3M             3M           706K</t>
        </is>
      </c>
      <c r="O31" s="20" t="inlineStr">
        <is>
          <t>GTFWEVQy5BwQsZJWS4Y6KaZ3or6Yhysh2EEUp8bgpump</t>
        </is>
      </c>
      <c r="P31" s="20">
        <f>HYPERLINK("https://dexscreener.com/solana/GTFWEVQy5BwQsZJWS4Y6KaZ3or6Yhysh2EEUp8bgpump", "View")</f>
        <v/>
      </c>
    </row>
    <row r="32">
      <c r="A32" s="15" t="inlineStr">
        <is>
          <t>TWK</t>
        </is>
      </c>
      <c r="B32" s="16" t="n">
        <v>2917351</v>
      </c>
      <c r="C32" s="16" t="n">
        <v>2917351</v>
      </c>
      <c r="D32" s="16" t="inlineStr">
        <is>
          <t>0.000120</t>
        </is>
      </c>
      <c r="E32" s="16" t="inlineStr">
        <is>
          <t>2.000 SOL</t>
        </is>
      </c>
      <c r="F32" s="16" t="inlineStr">
        <is>
          <t>1.089 SOL</t>
        </is>
      </c>
      <c r="G32" s="21" t="inlineStr">
        <is>
          <t>-0.912 SOL</t>
        </is>
      </c>
      <c r="H32" s="21" t="inlineStr">
        <is>
          <t>-45.58%</t>
        </is>
      </c>
      <c r="I32" s="16" t="inlineStr">
        <is>
          <t>N/A</t>
        </is>
      </c>
      <c r="J32" s="16" t="n">
        <v>2</v>
      </c>
      <c r="K32" s="16" t="n">
        <v>1</v>
      </c>
      <c r="L32" s="16" t="inlineStr">
        <is>
          <t>11.10.2024 00:59:03</t>
        </is>
      </c>
      <c r="M32" s="16" t="inlineStr">
        <is>
          <t>2 hours</t>
        </is>
      </c>
      <c r="N32" s="16" t="inlineStr">
        <is>
          <t xml:space="preserve">        142K            65K            26K</t>
        </is>
      </c>
      <c r="O32" s="16" t="inlineStr">
        <is>
          <t>7a2WyRsFbARvsc8RsYLqLnBkyTqoJxfgMf9p3n22pump</t>
        </is>
      </c>
      <c r="P32" s="16">
        <f>HYPERLINK("https://dexscreener.com/solana/7a2WyRsFbARvsc8RsYLqLnBkyTqoJxfgMf9p3n22pump", "View")</f>
        <v/>
      </c>
    </row>
    <row r="33">
      <c r="A33" s="19" t="inlineStr">
        <is>
          <t>$racecat</t>
        </is>
      </c>
      <c r="B33" s="20" t="n">
        <v>7865789</v>
      </c>
      <c r="C33" s="20" t="n">
        <v>7865789</v>
      </c>
      <c r="D33" s="20" t="inlineStr">
        <is>
          <t>0.000860</t>
        </is>
      </c>
      <c r="E33" s="20" t="inlineStr">
        <is>
          <t>0.719 SOL</t>
        </is>
      </c>
      <c r="F33" s="20" t="inlineStr">
        <is>
          <t>2.407 SOL</t>
        </is>
      </c>
      <c r="G33" s="23" t="inlineStr">
        <is>
          <t>1.687 SOL</t>
        </is>
      </c>
      <c r="H33" s="23" t="inlineStr">
        <is>
          <t>234.53%</t>
        </is>
      </c>
      <c r="I33" s="20" t="inlineStr">
        <is>
          <t>N/A</t>
        </is>
      </c>
      <c r="J33" s="20" t="n">
        <v>3</v>
      </c>
      <c r="K33" s="20" t="n">
        <v>4</v>
      </c>
      <c r="L33" s="20" t="inlineStr">
        <is>
          <t>06.10.2024 02:19:45</t>
        </is>
      </c>
      <c r="M33" s="20" t="inlineStr">
        <is>
          <t>19 hours</t>
        </is>
      </c>
      <c r="N33" s="20" t="inlineStr">
        <is>
          <t xml:space="preserve">         14K            35K             5K</t>
        </is>
      </c>
      <c r="O33" s="20" t="inlineStr">
        <is>
          <t>BKfEn9P1ySYtRuGw8LpA2TqyKo4zfsnfPTZ7RFzCpump</t>
        </is>
      </c>
      <c r="P33" s="20">
        <f>HYPERLINK("https://photon-sol.tinyastro.io/en/lp/BKfEn9P1ySYtRuGw8LpA2TqyKo4zfsnfPTZ7RFzCpump?handle=676050794bc1b1657a56b", "View")</f>
        <v/>
      </c>
    </row>
    <row r="34">
      <c r="A34" s="15" t="inlineStr">
        <is>
          <t>RAY</t>
        </is>
      </c>
      <c r="B34" s="16" t="n">
        <v>16881658</v>
      </c>
      <c r="C34" s="16" t="n">
        <v>16881658</v>
      </c>
      <c r="D34" s="16" t="inlineStr">
        <is>
          <t>0.000420</t>
        </is>
      </c>
      <c r="E34" s="16" t="inlineStr">
        <is>
          <t>0.510 SOL</t>
        </is>
      </c>
      <c r="F34" s="16" t="inlineStr">
        <is>
          <t>0.694 SOL</t>
        </is>
      </c>
      <c r="G34" s="22" t="inlineStr">
        <is>
          <t>0.184 SOL</t>
        </is>
      </c>
      <c r="H34" s="22" t="inlineStr">
        <is>
          <t>35.95%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30.09.2024 21:11:11</t>
        </is>
      </c>
      <c r="M34" s="16" t="inlineStr">
        <is>
          <t>4 hours</t>
        </is>
      </c>
      <c r="N34" s="16" t="inlineStr">
        <is>
          <t xml:space="preserve">        N/A           N/A           N/A</t>
        </is>
      </c>
      <c r="O34" s="16" t="inlineStr">
        <is>
          <t>BWYmhreThuqBasJwxzDsx2Qgxem15kLqXt2BUadqpump</t>
        </is>
      </c>
      <c r="P34" s="16">
        <f>HYPERLINK("https://photon-sol.tinyastro.io/en/lp/BWYmhreThuqBasJwxzDsx2Qgxem15kLqXt2BUadqpump?handle=676050794bc1b1657a56b", "View")</f>
        <v/>
      </c>
    </row>
    <row r="35">
      <c r="A35" s="19" t="inlineStr">
        <is>
          <t>Scotty Jr</t>
        </is>
      </c>
      <c r="B35" s="20" t="n">
        <v>4618033</v>
      </c>
      <c r="C35" s="20" t="n">
        <v>4618033</v>
      </c>
      <c r="D35" s="20" t="inlineStr">
        <is>
          <t>0.000010</t>
        </is>
      </c>
      <c r="E35" s="20" t="inlineStr">
        <is>
          <t>0.502 SOL</t>
        </is>
      </c>
      <c r="F35" s="20" t="inlineStr">
        <is>
          <t>0.169 SOL</t>
        </is>
      </c>
      <c r="G35" s="24" t="inlineStr">
        <is>
          <t>-0.333 SOL</t>
        </is>
      </c>
      <c r="H35" s="24" t="inlineStr">
        <is>
          <t>-66.32%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27.09.2024 20:04:48</t>
        </is>
      </c>
      <c r="M35" s="20" t="inlineStr">
        <is>
          <t>21 hours</t>
        </is>
      </c>
      <c r="N35" s="20" t="inlineStr">
        <is>
          <t xml:space="preserve">        N/A           N/A           N/A</t>
        </is>
      </c>
      <c r="O35" s="20" t="inlineStr">
        <is>
          <t>3vMewVXMnETgu6BrrEYBUie7GCh46PDMi8PL8z9bwCx5</t>
        </is>
      </c>
      <c r="P35" s="20">
        <f>HYPERLINK("https://dexscreener.com/solana/3vMewVXMnETgu6BrrEYBUie7GCh46PDMi8PL8z9bwCx5", "View")</f>
        <v/>
      </c>
    </row>
    <row r="36">
      <c r="A36" s="15" t="inlineStr">
        <is>
          <t>2D</t>
        </is>
      </c>
      <c r="B36" s="16" t="n">
        <v>61055909</v>
      </c>
      <c r="C36" s="16" t="n">
        <v>61055909</v>
      </c>
      <c r="D36" s="16" t="inlineStr">
        <is>
          <t>0.000150</t>
        </is>
      </c>
      <c r="E36" s="16" t="inlineStr">
        <is>
          <t>4.048 SOL</t>
        </is>
      </c>
      <c r="F36" s="16" t="inlineStr">
        <is>
          <t>9.729 SOL</t>
        </is>
      </c>
      <c r="G36" s="23" t="inlineStr">
        <is>
          <t>5.681 SOL</t>
        </is>
      </c>
      <c r="H36" s="23" t="inlineStr">
        <is>
          <t>140.33%</t>
        </is>
      </c>
      <c r="I36" s="16" t="inlineStr">
        <is>
          <t>N/A</t>
        </is>
      </c>
      <c r="J36" s="16" t="n">
        <v>2</v>
      </c>
      <c r="K36" s="16" t="n">
        <v>2</v>
      </c>
      <c r="L36" s="16" t="inlineStr">
        <is>
          <t>20.09.2024 06:28:43</t>
        </is>
      </c>
      <c r="M36" s="16" t="inlineStr">
        <is>
          <t>1 days</t>
        </is>
      </c>
      <c r="N36" s="16" t="inlineStr">
        <is>
          <t xml:space="preserve">        N/A           N/A           N/A</t>
        </is>
      </c>
      <c r="O36" s="16" t="inlineStr">
        <is>
          <t>6JrLggBQQCtWVcWY378pvpyLp1qB3Z8chPLEbNiwpump</t>
        </is>
      </c>
      <c r="P36" s="16">
        <f>HYPERLINK("https://photon-sol.tinyastro.io/en/lp/6JrLggBQQCtWVcWY378pvpyLp1qB3Z8chPLEbNiwpump?handle=676050794bc1b1657a56b", "View")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HYPERLINK("https://gmgn.ai/sol/address/GzQnJvr8v3cP3eUgFMxjrJmHWuwBvwP55S4jRZVafber", "GMGN")</f>
        <v/>
      </c>
    </row>
    <row r="2">
      <c r="A2" s="3" t="inlineStr">
        <is>
          <t>GzQnJvr8v3cP3eUgFMxjrJmHWuwBvwP55S4jRZVafber</t>
        </is>
      </c>
      <c r="B2" s="3" t="inlineStr">
        <is>
          <t>83.49 SOL</t>
        </is>
      </c>
      <c r="C2" s="3" t="inlineStr">
        <is>
          <t>51%</t>
        </is>
      </c>
      <c r="D2" s="3" t="inlineStr">
        <is>
          <t>59%</t>
        </is>
      </c>
      <c r="E2" s="3" t="inlineStr">
        <is>
          <t>62.74 SOL</t>
        </is>
      </c>
      <c r="F2" s="3" t="inlineStr">
        <is>
          <t>11 (22%)</t>
        </is>
      </c>
      <c r="G2" s="3" t="inlineStr">
        <is>
          <t>0 (0%)</t>
        </is>
      </c>
      <c r="H2" s="3" t="n">
        <v>49</v>
      </c>
      <c r="I2" s="3" t="n">
        <v>0</v>
      </c>
      <c r="J2" s="3" t="inlineStr">
        <is>
          <t>13 days</t>
        </is>
      </c>
      <c r="K2" s="3" t="inlineStr">
        <is>
          <t>13 min</t>
        </is>
      </c>
      <c r="L2" s="3" t="n">
        <v>20</v>
      </c>
      <c r="M2" s="3" t="n">
        <v>49</v>
      </c>
      <c r="N2" s="3">
        <f>HYPERLINK("https://solscan.io/account/GzQnJvr8v3cP3eUgFMxjrJmHWuwBvwP55S4jRZVafber", "Solscan")</f>
        <v/>
      </c>
    </row>
    <row r="3">
      <c r="A3" s="6" t="inlineStr">
        <is>
          <t>Median ROI</t>
        </is>
      </c>
      <c r="B3" s="4" t="inlineStr">
        <is>
          <t>3.44%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HYPERLINK("https://birdeye.so/profile/GzQnJvr8v3cP3eUgFMxjrJmHWuwBvwP55S4jRZVafber", "Birdeye")</f>
        <v/>
      </c>
    </row>
    <row r="4">
      <c r="A4" s="6" t="inlineStr">
        <is>
          <t>Rockets percent</t>
        </is>
      </c>
      <c r="B4" s="3" t="inlineStr">
        <is>
          <t>20%</t>
        </is>
      </c>
      <c r="C4" s="3" t="inlineStr"/>
      <c r="D4" s="3" t="inlineStr">
        <is>
          <t>1%</t>
        </is>
      </c>
      <c r="E4" s="3" t="inlineStr">
        <is>
          <t>1.41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13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7</v>
      </c>
      <c r="D10" s="6" t="n">
        <v>0</v>
      </c>
      <c r="E10" s="6" t="n">
        <v>15</v>
      </c>
      <c r="F10" s="6" t="n">
        <v>17</v>
      </c>
      <c r="G10" s="6" t="n">
        <v>7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6.1%</t>
        </is>
      </c>
      <c r="C11" s="6" t="inlineStr">
        <is>
          <t>14.3%</t>
        </is>
      </c>
      <c r="D11" s="6" t="inlineStr">
        <is>
          <t>0.0%</t>
        </is>
      </c>
      <c r="E11" s="6" t="inlineStr">
        <is>
          <t>30.6%</t>
        </is>
      </c>
      <c r="F11" s="6" t="inlineStr">
        <is>
          <t>34.7%</t>
        </is>
      </c>
      <c r="G11" s="6" t="inlineStr">
        <is>
          <t>14.3%</t>
        </is>
      </c>
      <c r="H11" s="3" t="n"/>
      <c r="I11" s="3" t="inlineStr">
        <is>
          <t>5k-30k</t>
        </is>
      </c>
      <c r="J11" s="3" t="inlineStr">
        <is>
          <t>21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32.5 SOL</t>
        </is>
      </c>
      <c r="C12" s="6" t="inlineStr">
        <is>
          <t>35.3 SOL</t>
        </is>
      </c>
      <c r="D12" s="6" t="inlineStr">
        <is>
          <t>0.0 SOL</t>
        </is>
      </c>
      <c r="E12" s="6" t="inlineStr">
        <is>
          <t>6.1 SOL</t>
        </is>
      </c>
      <c r="F12" s="6" t="inlineStr">
        <is>
          <t>-6.7 SOL</t>
        </is>
      </c>
      <c r="G12" s="6" t="inlineStr">
        <is>
          <t>-4.5 SOL</t>
        </is>
      </c>
      <c r="H12" s="3" t="n"/>
      <c r="I12" s="3" t="inlineStr">
        <is>
          <t>30k-100k</t>
        </is>
      </c>
      <c r="J12" s="3" t="inlineStr">
        <is>
          <t>12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7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6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37.5K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WAGER</t>
        </is>
      </c>
      <c r="B20" s="16" t="n">
        <v>154960</v>
      </c>
      <c r="C20" s="16" t="n">
        <v>154960</v>
      </c>
      <c r="D20" s="16" t="inlineStr">
        <is>
          <t>0.000110</t>
        </is>
      </c>
      <c r="E20" s="16" t="inlineStr">
        <is>
          <t>2.994 SOL</t>
        </is>
      </c>
      <c r="F20" s="16" t="inlineStr">
        <is>
          <t>3.297 SOL</t>
        </is>
      </c>
      <c r="G20" s="22" t="inlineStr">
        <is>
          <t>0.303 SOL</t>
        </is>
      </c>
      <c r="H20" s="22" t="inlineStr">
        <is>
          <t>10.13%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20:20:58</t>
        </is>
      </c>
      <c r="M20" s="16" t="inlineStr">
        <is>
          <t>50 min</t>
        </is>
      </c>
      <c r="N20" s="16" t="inlineStr">
        <is>
          <t xml:space="preserve">          3M             3M             3M</t>
        </is>
      </c>
      <c r="O20" s="16" t="inlineStr">
        <is>
          <t>5fJFaSEeSyMnth9uLFJTceLpgwNohqtxR7yhTSTZKAjH</t>
        </is>
      </c>
      <c r="P20" s="16">
        <f>HYPERLINK("https://dexscreener.com/solana/5fJFaSEeSyMnth9uLFJTceLpgwNohqtxR7yhTSTZKAjH", "View")</f>
        <v/>
      </c>
    </row>
    <row r="21">
      <c r="A21" s="19" t="inlineStr">
        <is>
          <t>OLIVER</t>
        </is>
      </c>
      <c r="B21" s="20" t="n">
        <v>7811926</v>
      </c>
      <c r="C21" s="20" t="n">
        <v>7811926</v>
      </c>
      <c r="D21" s="20" t="inlineStr">
        <is>
          <t>0.000110</t>
        </is>
      </c>
      <c r="E21" s="20" t="inlineStr">
        <is>
          <t>1.044 SOL</t>
        </is>
      </c>
      <c r="F21" s="20" t="inlineStr">
        <is>
          <t>0.920 SOL</t>
        </is>
      </c>
      <c r="G21" s="21" t="inlineStr">
        <is>
          <t>-0.124 SOL</t>
        </is>
      </c>
      <c r="H21" s="21" t="inlineStr">
        <is>
          <t>-11.86%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20:10:41</t>
        </is>
      </c>
      <c r="M21" s="20" t="inlineStr">
        <is>
          <t>1 min</t>
        </is>
      </c>
      <c r="N21" s="20" t="inlineStr">
        <is>
          <t xml:space="preserve">         23K            21K            18K</t>
        </is>
      </c>
      <c r="O21" s="20" t="inlineStr">
        <is>
          <t>DMGcZo56hB7a4nXt5jAj8AGqw7HPxd86QSPwfn7Spump</t>
        </is>
      </c>
      <c r="P21" s="20">
        <f>HYPERLINK("https://photon-sol.tinyastro.io/en/lp/DMGcZo56hB7a4nXt5jAj8AGqw7HPxd86QSPwfn7Spump?handle=676050794bc1b1657a56b", "View")</f>
        <v/>
      </c>
    </row>
    <row r="22">
      <c r="A22" s="15" t="inlineStr">
        <is>
          <t>DENKO</t>
        </is>
      </c>
      <c r="B22" s="16" t="n">
        <v>3251511</v>
      </c>
      <c r="C22" s="16" t="n">
        <v>3251511</v>
      </c>
      <c r="D22" s="16" t="inlineStr">
        <is>
          <t>0.000220</t>
        </is>
      </c>
      <c r="E22" s="16" t="inlineStr">
        <is>
          <t>1.500 SOL</t>
        </is>
      </c>
      <c r="F22" s="16" t="inlineStr">
        <is>
          <t>1.370 SOL</t>
        </is>
      </c>
      <c r="G22" s="21" t="inlineStr">
        <is>
          <t>-0.130 SOL</t>
        </is>
      </c>
      <c r="H22" s="21" t="inlineStr">
        <is>
          <t>-8.66%</t>
        </is>
      </c>
      <c r="I22" s="16" t="inlineStr">
        <is>
          <t>N/A</t>
        </is>
      </c>
      <c r="J22" s="16" t="n">
        <v>2</v>
      </c>
      <c r="K22" s="16" t="n">
        <v>2</v>
      </c>
      <c r="L22" s="16" t="inlineStr">
        <is>
          <t>30.10.2024 12:01:30</t>
        </is>
      </c>
      <c r="M22" s="16" t="inlineStr">
        <is>
          <t>8 hours</t>
        </is>
      </c>
      <c r="N22" s="16" t="inlineStr">
        <is>
          <t xml:space="preserve">         90K            67K            17K</t>
        </is>
      </c>
      <c r="O22" s="16" t="inlineStr">
        <is>
          <t>4K5TK2BYFzsgTGqp1d4qt35Nz9LjPK6oPnTwHxGUiAm2</t>
        </is>
      </c>
      <c r="P22" s="16">
        <f>HYPERLINK("https://dexscreener.com/solana/4K5TK2BYFzsgTGqp1d4qt35Nz9LjPK6oPnTwHxGUiAm2", "View")</f>
        <v/>
      </c>
    </row>
    <row r="23">
      <c r="A23" s="19" t="inlineStr">
        <is>
          <t>NUTBUTT</t>
        </is>
      </c>
      <c r="B23" s="20" t="n">
        <v>611905</v>
      </c>
      <c r="C23" s="20" t="n">
        <v>611905</v>
      </c>
      <c r="D23" s="20" t="inlineStr">
        <is>
          <t>0.000110</t>
        </is>
      </c>
      <c r="E23" s="20" t="inlineStr">
        <is>
          <t>1.000 SOL</t>
        </is>
      </c>
      <c r="F23" s="20" t="inlineStr">
        <is>
          <t>0.896 SOL</t>
        </is>
      </c>
      <c r="G23" s="21" t="inlineStr">
        <is>
          <t>-0.104 SOL</t>
        </is>
      </c>
      <c r="H23" s="21" t="inlineStr">
        <is>
          <t>-10.37%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03:08:18</t>
        </is>
      </c>
      <c r="M23" s="20" t="inlineStr">
        <is>
          <t>5 min</t>
        </is>
      </c>
      <c r="N23" s="20" t="inlineStr">
        <is>
          <t xml:space="preserve">        286K           256K           657K</t>
        </is>
      </c>
      <c r="O23" s="20" t="inlineStr">
        <is>
          <t>CFBYjzT357obRmihT9F5uyCY3kqgksRvXKM3RJN1pump</t>
        </is>
      </c>
      <c r="P23" s="20">
        <f>HYPERLINK("https://dexscreener.com/solana/CFBYjzT357obRmihT9F5uyCY3kqgksRvXKM3RJN1pump", "View")</f>
        <v/>
      </c>
    </row>
    <row r="24">
      <c r="A24" s="15" t="inlineStr">
        <is>
          <t>LINGAI</t>
        </is>
      </c>
      <c r="B24" s="16" t="n">
        <v>9324770</v>
      </c>
      <c r="C24" s="16" t="n">
        <v>9324770</v>
      </c>
      <c r="D24" s="16" t="inlineStr">
        <is>
          <t>0.000160</t>
        </is>
      </c>
      <c r="E24" s="16" t="inlineStr">
        <is>
          <t>2.042 SOL</t>
        </is>
      </c>
      <c r="F24" s="16" t="inlineStr">
        <is>
          <t>2.560 SOL</t>
        </is>
      </c>
      <c r="G24" s="22" t="inlineStr">
        <is>
          <t>0.517 SOL</t>
        </is>
      </c>
      <c r="H24" s="22" t="inlineStr">
        <is>
          <t>25.33%</t>
        </is>
      </c>
      <c r="I24" s="16" t="inlineStr">
        <is>
          <t>N/A</t>
        </is>
      </c>
      <c r="J24" s="16" t="n">
        <v>2</v>
      </c>
      <c r="K24" s="16" t="n">
        <v>1</v>
      </c>
      <c r="L24" s="16" t="inlineStr">
        <is>
          <t>30.10.2024 02:59:27</t>
        </is>
      </c>
      <c r="M24" s="16" t="inlineStr">
        <is>
          <t>15 min</t>
        </is>
      </c>
      <c r="N24" s="16" t="inlineStr">
        <is>
          <t xml:space="preserve">         33K            46K             4K</t>
        </is>
      </c>
      <c r="O24" s="16" t="inlineStr">
        <is>
          <t>ATh8MA2VGCjef2W4i252hsmDq9GamRxbWetm8XdJpump</t>
        </is>
      </c>
      <c r="P24" s="16">
        <f>HYPERLINK("https://photon-sol.tinyastro.io/en/lp/ATh8MA2VGCjef2W4i252hsmDq9GamRxbWetm8XdJpump?handle=676050794bc1b1657a56b", "View")</f>
        <v/>
      </c>
    </row>
    <row r="25">
      <c r="A25" s="19" t="inlineStr">
        <is>
          <t>pray</t>
        </is>
      </c>
      <c r="B25" s="20" t="n">
        <v>2322929</v>
      </c>
      <c r="C25" s="20" t="n">
        <v>2322929</v>
      </c>
      <c r="D25" s="20" t="inlineStr">
        <is>
          <t>0.000330</t>
        </is>
      </c>
      <c r="E25" s="20" t="inlineStr">
        <is>
          <t>5.000 SOL</t>
        </is>
      </c>
      <c r="F25" s="20" t="inlineStr">
        <is>
          <t>3.899 SOL</t>
        </is>
      </c>
      <c r="G25" s="21" t="inlineStr">
        <is>
          <t>-1.101 SOL</t>
        </is>
      </c>
      <c r="H25" s="21" t="inlineStr">
        <is>
          <t>-22.02%</t>
        </is>
      </c>
      <c r="I25" s="20" t="inlineStr">
        <is>
          <t>N/A</t>
        </is>
      </c>
      <c r="J25" s="20" t="n">
        <v>3</v>
      </c>
      <c r="K25" s="20" t="n">
        <v>3</v>
      </c>
      <c r="L25" s="20" t="inlineStr">
        <is>
          <t>30.10.2024 02:47:39</t>
        </is>
      </c>
      <c r="M25" s="20" t="inlineStr">
        <is>
          <t>11 hours</t>
        </is>
      </c>
      <c r="N25" s="20" t="inlineStr">
        <is>
          <t xml:space="preserve">        673K           330K           161K</t>
        </is>
      </c>
      <c r="O25" s="20" t="inlineStr">
        <is>
          <t>7ij5esLPHU8zprHAMUHR1Bu8MEJX6cT5hzG1bBEcpump</t>
        </is>
      </c>
      <c r="P25" s="20">
        <f>HYPERLINK("https://dexscreener.com/solana/7ij5esLPHU8zprHAMUHR1Bu8MEJX6cT5hzG1bBEcpump", "View")</f>
        <v/>
      </c>
    </row>
    <row r="26">
      <c r="A26" s="15" t="inlineStr">
        <is>
          <t>W</t>
        </is>
      </c>
      <c r="B26" s="16" t="n">
        <v>2815171</v>
      </c>
      <c r="C26" s="16" t="n">
        <v>2815171</v>
      </c>
      <c r="D26" s="16" t="inlineStr">
        <is>
          <t>0.000280</t>
        </is>
      </c>
      <c r="E26" s="16" t="inlineStr">
        <is>
          <t>4.000 SOL</t>
        </is>
      </c>
      <c r="F26" s="16" t="inlineStr">
        <is>
          <t>4.227 SOL</t>
        </is>
      </c>
      <c r="G26" s="22" t="inlineStr">
        <is>
          <t>0.226 SOL</t>
        </is>
      </c>
      <c r="H26" s="22" t="inlineStr">
        <is>
          <t>5.66%</t>
        </is>
      </c>
      <c r="I26" s="16" t="inlineStr">
        <is>
          <t>N/A</t>
        </is>
      </c>
      <c r="J26" s="16" t="n">
        <v>2</v>
      </c>
      <c r="K26" s="16" t="n">
        <v>3</v>
      </c>
      <c r="L26" s="16" t="inlineStr">
        <is>
          <t>30.10.2024 02:13:18</t>
        </is>
      </c>
      <c r="M26" s="16" t="inlineStr">
        <is>
          <t>1 days</t>
        </is>
      </c>
      <c r="N26" s="16" t="inlineStr">
        <is>
          <t xml:space="preserve">        N/A           N/A           N/A</t>
        </is>
      </c>
      <c r="O26" s="16" t="inlineStr">
        <is>
          <t>2xyoTZzNVvbWABQmaDwYb1mhuvutQkGuCPTSMqicpump</t>
        </is>
      </c>
      <c r="P26" s="16">
        <f>HYPERLINK("https://dexscreener.com/solana/2xyoTZzNVvbWABQmaDwYb1mhuvutQkGuCPTSMqicpump", "View")</f>
        <v/>
      </c>
    </row>
    <row r="27">
      <c r="A27" s="19" t="inlineStr">
        <is>
          <t>BEWARE</t>
        </is>
      </c>
      <c r="B27" s="20" t="n">
        <v>3262643</v>
      </c>
      <c r="C27" s="20" t="n">
        <v>3262643</v>
      </c>
      <c r="D27" s="20" t="inlineStr">
        <is>
          <t>0.000440</t>
        </is>
      </c>
      <c r="E27" s="20" t="inlineStr">
        <is>
          <t>1.000 SOL</t>
        </is>
      </c>
      <c r="F27" s="20" t="inlineStr">
        <is>
          <t>10.543 SOL</t>
        </is>
      </c>
      <c r="G27" s="23" t="inlineStr">
        <is>
          <t>9.542 SOL</t>
        </is>
      </c>
      <c r="H27" s="23" t="inlineStr">
        <is>
          <t>953.81%</t>
        </is>
      </c>
      <c r="I27" s="20" t="inlineStr">
        <is>
          <t>N/A</t>
        </is>
      </c>
      <c r="J27" s="20" t="n">
        <v>1</v>
      </c>
      <c r="K27" s="20" t="n">
        <v>7</v>
      </c>
      <c r="L27" s="20" t="inlineStr">
        <is>
          <t>30.10.2024 00:15:38</t>
        </is>
      </c>
      <c r="M27" s="20" t="inlineStr">
        <is>
          <t>4 hours</t>
        </is>
      </c>
      <c r="N27" s="20" t="inlineStr">
        <is>
          <t xml:space="preserve">         53K            53K           198K</t>
        </is>
      </c>
      <c r="O27" s="20" t="inlineStr">
        <is>
          <t>DqwYJXj2oDY545oAQgfh6x6cMKqEM97BoErdF3hSpump</t>
        </is>
      </c>
      <c r="P27" s="20">
        <f>HYPERLINK("https://dexscreener.com/solana/DqwYJXj2oDY545oAQgfh6x6cMKqEM97BoErdF3hSpump", "View")</f>
        <v/>
      </c>
    </row>
    <row r="28">
      <c r="A28" s="15" t="inlineStr">
        <is>
          <t>JOLTA</t>
        </is>
      </c>
      <c r="B28" s="16" t="n">
        <v>97545455</v>
      </c>
      <c r="C28" s="16" t="n">
        <v>97545455</v>
      </c>
      <c r="D28" s="16" t="inlineStr">
        <is>
          <t>0.000110</t>
        </is>
      </c>
      <c r="E28" s="16" t="inlineStr">
        <is>
          <t>3.062 SOL</t>
        </is>
      </c>
      <c r="F28" s="16" t="inlineStr">
        <is>
          <t>3.031 SOL</t>
        </is>
      </c>
      <c r="G28" s="21" t="inlineStr">
        <is>
          <t>-0.031 SOL</t>
        </is>
      </c>
      <c r="H28" s="21" t="inlineStr">
        <is>
          <t>-1.01%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29.10.2024 23:12:34</t>
        </is>
      </c>
      <c r="M28" s="18" t="inlineStr">
        <is>
          <t>18 sec</t>
        </is>
      </c>
      <c r="N28" s="16" t="inlineStr">
        <is>
          <t xml:space="preserve">          5K             5K             5K</t>
        </is>
      </c>
      <c r="O28" s="16" t="inlineStr">
        <is>
          <t>9eDkVVD7YJjnyoRjWMWyW4WCrhYTUVNXsgphVQHCqksa</t>
        </is>
      </c>
      <c r="P28" s="16">
        <f>HYPERLINK("https://photon-sol.tinyastro.io/en/lp/9eDkVVD7YJjnyoRjWMWyW4WCrhYTUVNXsgphVQHCqksa?handle=676050794bc1b1657a56b", "View")</f>
        <v/>
      </c>
    </row>
    <row r="29">
      <c r="A29" s="19" t="inlineStr">
        <is>
          <t>RAPTOR</t>
        </is>
      </c>
      <c r="B29" s="20" t="n">
        <v>4123614</v>
      </c>
      <c r="C29" s="20" t="n">
        <v>4123614</v>
      </c>
      <c r="D29" s="20" t="inlineStr">
        <is>
          <t>0.000110</t>
        </is>
      </c>
      <c r="E29" s="20" t="inlineStr">
        <is>
          <t>0.987 SOL</t>
        </is>
      </c>
      <c r="F29" s="20" t="inlineStr">
        <is>
          <t>0.864 SOL</t>
        </is>
      </c>
      <c r="G29" s="21" t="inlineStr">
        <is>
          <t>-0.122 SOL</t>
        </is>
      </c>
      <c r="H29" s="21" t="inlineStr">
        <is>
          <t>-12.41%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29.10.2024 23:03:37</t>
        </is>
      </c>
      <c r="M29" s="20" t="inlineStr">
        <is>
          <t>5 min</t>
        </is>
      </c>
      <c r="N29" s="20" t="inlineStr">
        <is>
          <t xml:space="preserve">         42K            37K             5K</t>
        </is>
      </c>
      <c r="O29" s="20" t="inlineStr">
        <is>
          <t>3fztmiqNjmefbyxmZwLN7mpEgzPULrByHs4pimo9pump</t>
        </is>
      </c>
      <c r="P29" s="20">
        <f>HYPERLINK("https://photon-sol.tinyastro.io/en/lp/3fztmiqNjmefbyxmZwLN7mpEgzPULrByHs4pimo9pump?handle=676050794bc1b1657a56b", "View")</f>
        <v/>
      </c>
    </row>
    <row r="30">
      <c r="A30" s="15" t="inlineStr">
        <is>
          <t>OGDOG</t>
        </is>
      </c>
      <c r="B30" s="16" t="n">
        <v>2601870</v>
      </c>
      <c r="C30" s="16" t="n">
        <v>2601870</v>
      </c>
      <c r="D30" s="16" t="inlineStr">
        <is>
          <t>0.000110</t>
        </is>
      </c>
      <c r="E30" s="16" t="inlineStr">
        <is>
          <t>2.000 SOL</t>
        </is>
      </c>
      <c r="F30" s="16" t="inlineStr">
        <is>
          <t>2.575 SOL</t>
        </is>
      </c>
      <c r="G30" s="22" t="inlineStr">
        <is>
          <t>0.575 SOL</t>
        </is>
      </c>
      <c r="H30" s="22" t="inlineStr">
        <is>
          <t>28.73%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29.10.2024 21:59:45</t>
        </is>
      </c>
      <c r="M30" s="18" t="inlineStr">
        <is>
          <t>21 sec</t>
        </is>
      </c>
      <c r="N30" s="16" t="inlineStr">
        <is>
          <t xml:space="preserve">        135K           174K             5K</t>
        </is>
      </c>
      <c r="O30" s="16" t="inlineStr">
        <is>
          <t>7aJjN1NYcCoUeavKcDfY8rsGZXyF1RoYg9fDqtbepump</t>
        </is>
      </c>
      <c r="P30" s="16">
        <f>HYPERLINK("https://dexscreener.com/solana/7aJjN1NYcCoUeavKcDfY8rsGZXyF1RoYg9fDqtbepump", "View")</f>
        <v/>
      </c>
    </row>
    <row r="31">
      <c r="A31" s="19" t="inlineStr">
        <is>
          <t>koala</t>
        </is>
      </c>
      <c r="B31" s="20" t="n">
        <v>755241</v>
      </c>
      <c r="C31" s="20" t="n">
        <v>755241</v>
      </c>
      <c r="D31" s="20" t="inlineStr">
        <is>
          <t>0.000110</t>
        </is>
      </c>
      <c r="E31" s="20" t="inlineStr">
        <is>
          <t>1.000 SOL</t>
        </is>
      </c>
      <c r="F31" s="20" t="inlineStr">
        <is>
          <t>0.163 SOL</t>
        </is>
      </c>
      <c r="G31" s="24" t="inlineStr">
        <is>
          <t>-0.837 SOL</t>
        </is>
      </c>
      <c r="H31" s="24" t="inlineStr">
        <is>
          <t>-83.74%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29.10.2024 21:12:32</t>
        </is>
      </c>
      <c r="M31" s="20" t="inlineStr">
        <is>
          <t>9 min</t>
        </is>
      </c>
      <c r="N31" s="20" t="inlineStr">
        <is>
          <t xml:space="preserve">        232K            39K             5K</t>
        </is>
      </c>
      <c r="O31" s="20" t="inlineStr">
        <is>
          <t>Dxmfuseq2Kwtp3b8rJm2UdSxRa8RpdLZPw1gp1vjpump</t>
        </is>
      </c>
      <c r="P31" s="20">
        <f>HYPERLINK("https://dexscreener.com/solana/Dxmfuseq2Kwtp3b8rJm2UdSxRa8RpdLZPw1gp1vjpump", "View")</f>
        <v/>
      </c>
    </row>
    <row r="32">
      <c r="A32" s="15" t="inlineStr">
        <is>
          <t>Fade</t>
        </is>
      </c>
      <c r="B32" s="16" t="n">
        <v>5489930</v>
      </c>
      <c r="C32" s="16" t="n">
        <v>5489930</v>
      </c>
      <c r="D32" s="16" t="inlineStr">
        <is>
          <t>0.000110</t>
        </is>
      </c>
      <c r="E32" s="16" t="inlineStr">
        <is>
          <t>1.019 SOL</t>
        </is>
      </c>
      <c r="F32" s="16" t="inlineStr">
        <is>
          <t>0.168 SOL</t>
        </is>
      </c>
      <c r="G32" s="24" t="inlineStr">
        <is>
          <t>-0.851 SOL</t>
        </is>
      </c>
      <c r="H32" s="24" t="inlineStr">
        <is>
          <t>-83.50%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29.10.2024 20:54:03</t>
        </is>
      </c>
      <c r="M32" s="16" t="inlineStr">
        <is>
          <t>13 min</t>
        </is>
      </c>
      <c r="N32" s="16" t="inlineStr">
        <is>
          <t xml:space="preserve">         33K             5K             5K</t>
        </is>
      </c>
      <c r="O32" s="16" t="inlineStr">
        <is>
          <t>5YSNqUJQQvoHnK3TXmgRPpMYB5xw2UnvnujbDRz9pump</t>
        </is>
      </c>
      <c r="P32" s="16">
        <f>HYPERLINK("https://photon-sol.tinyastro.io/en/lp/5YSNqUJQQvoHnK3TXmgRPpMYB5xw2UnvnujbDRz9pump?handle=676050794bc1b1657a56b", "View")</f>
        <v/>
      </c>
    </row>
    <row r="33">
      <c r="A33" s="19" t="inlineStr">
        <is>
          <t>LUCE</t>
        </is>
      </c>
      <c r="B33" s="20" t="n">
        <v>70695</v>
      </c>
      <c r="C33" s="20" t="n">
        <v>66365</v>
      </c>
      <c r="D33" s="20" t="inlineStr">
        <is>
          <t>0.000330</t>
        </is>
      </c>
      <c r="E33" s="20" t="inlineStr">
        <is>
          <t>1.000 SOL</t>
        </is>
      </c>
      <c r="F33" s="20" t="inlineStr">
        <is>
          <t>7.618 SOL</t>
        </is>
      </c>
      <c r="G33" s="23" t="inlineStr">
        <is>
          <t>6.618 SOL</t>
        </is>
      </c>
      <c r="H33" s="23" t="inlineStr">
        <is>
          <t>661.56%</t>
        </is>
      </c>
      <c r="I33" s="20" t="inlineStr">
        <is>
          <t>N/A</t>
        </is>
      </c>
      <c r="J33" s="20" t="n">
        <v>1</v>
      </c>
      <c r="K33" s="20" t="n">
        <v>5</v>
      </c>
      <c r="L33" s="20" t="inlineStr">
        <is>
          <t>29.10.2024 16:27:21</t>
        </is>
      </c>
      <c r="M33" s="20" t="inlineStr">
        <is>
          <t>23 hours</t>
        </is>
      </c>
      <c r="N33" s="20" t="inlineStr">
        <is>
          <t xml:space="preserve">          2M             4M            57M</t>
        </is>
      </c>
      <c r="O33" s="20" t="inlineStr">
        <is>
          <t>CBdCxKo9QavR9hfShgpEBG3zekorAeD7W1jfq2o3pump</t>
        </is>
      </c>
      <c r="P33" s="20">
        <f>HYPERLINK("https://dexscreener.com/solana/CBdCxKo9QavR9hfShgpEBG3zekorAeD7W1jfq2o3pump", "View")</f>
        <v/>
      </c>
    </row>
    <row r="34">
      <c r="A34" s="15" t="inlineStr">
        <is>
          <t>SLDRX</t>
        </is>
      </c>
      <c r="B34" s="16" t="n">
        <v>27068102</v>
      </c>
      <c r="C34" s="16" t="n">
        <v>27068102</v>
      </c>
      <c r="D34" s="16" t="inlineStr">
        <is>
          <t>0.000110</t>
        </is>
      </c>
      <c r="E34" s="16" t="inlineStr">
        <is>
          <t>2.561 SOL</t>
        </is>
      </c>
      <c r="F34" s="16" t="inlineStr">
        <is>
          <t>3.535 SOL</t>
        </is>
      </c>
      <c r="G34" s="22" t="inlineStr">
        <is>
          <t>0.975 SOL</t>
        </is>
      </c>
      <c r="H34" s="22" t="inlineStr">
        <is>
          <t>38.06%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29.10.2024 03:43:56</t>
        </is>
      </c>
      <c r="M34" s="18" t="inlineStr">
        <is>
          <t>44 sec</t>
        </is>
      </c>
      <c r="N34" s="16" t="inlineStr">
        <is>
          <t xml:space="preserve">         16K            23K             5K</t>
        </is>
      </c>
      <c r="O34" s="16" t="inlineStr">
        <is>
          <t>4RLQiwXL3PrGNiYzbWKCjDd2r6wmsK4ajrV6D9hZpump</t>
        </is>
      </c>
      <c r="P34" s="16">
        <f>HYPERLINK("https://photon-sol.tinyastro.io/en/lp/4RLQiwXL3PrGNiYzbWKCjDd2r6wmsK4ajrV6D9hZpump?handle=676050794bc1b1657a56b", "View")</f>
        <v/>
      </c>
    </row>
    <row r="35">
      <c r="A35" s="19" t="inlineStr">
        <is>
          <t>KABOOM</t>
        </is>
      </c>
      <c r="B35" s="20" t="n">
        <v>14370168</v>
      </c>
      <c r="C35" s="20" t="n">
        <v>14370168</v>
      </c>
      <c r="D35" s="20" t="inlineStr">
        <is>
          <t>0.000110</t>
        </is>
      </c>
      <c r="E35" s="20" t="inlineStr">
        <is>
          <t>2.000 SOL</t>
        </is>
      </c>
      <c r="F35" s="20" t="inlineStr">
        <is>
          <t>2.113 SOL</t>
        </is>
      </c>
      <c r="G35" s="22" t="inlineStr">
        <is>
          <t>0.113 SOL</t>
        </is>
      </c>
      <c r="H35" s="22" t="inlineStr">
        <is>
          <t>5.65%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29.10.2024 03:32:56</t>
        </is>
      </c>
      <c r="M35" s="18" t="inlineStr">
        <is>
          <t>12 sec</t>
        </is>
      </c>
      <c r="N35" s="20" t="inlineStr">
        <is>
          <t xml:space="preserve">         25K            26K            16K</t>
        </is>
      </c>
      <c r="O35" s="20" t="inlineStr">
        <is>
          <t>6RbiJXXr9AM3SpRCL8EuzeFjtW56iMJWtAwPGN7Qpump</t>
        </is>
      </c>
      <c r="P35" s="20">
        <f>HYPERLINK("https://dexscreener.com/solana/6RbiJXXr9AM3SpRCL8EuzeFjtW56iMJWtAwPGN7Qpump", "View")</f>
        <v/>
      </c>
    </row>
    <row r="36">
      <c r="A36" s="15" t="inlineStr">
        <is>
          <t>PXL</t>
        </is>
      </c>
      <c r="B36" s="16" t="n">
        <v>18483435</v>
      </c>
      <c r="C36" s="16" t="n">
        <v>18483435</v>
      </c>
      <c r="D36" s="16" t="inlineStr">
        <is>
          <t>0.000110</t>
        </is>
      </c>
      <c r="E36" s="16" t="inlineStr">
        <is>
          <t>2.000 SOL</t>
        </is>
      </c>
      <c r="F36" s="16" t="inlineStr">
        <is>
          <t>2.115 SOL</t>
        </is>
      </c>
      <c r="G36" s="22" t="inlineStr">
        <is>
          <t>0.115 SOL</t>
        </is>
      </c>
      <c r="H36" s="22" t="inlineStr">
        <is>
          <t>5.77%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29.10.2024 03:31:06</t>
        </is>
      </c>
      <c r="M36" s="18" t="inlineStr">
        <is>
          <t>11 sec</t>
        </is>
      </c>
      <c r="N36" s="16" t="inlineStr">
        <is>
          <t xml:space="preserve">         19K            19K             4K</t>
        </is>
      </c>
      <c r="O36" s="16" t="inlineStr">
        <is>
          <t>4K5PhGgoMwR74Fa2d8tkLDnBvUCJpRo7iCTK1r1Kpump</t>
        </is>
      </c>
      <c r="P36" s="16">
        <f>HYPERLINK("https://dexscreener.com/solana/4K5PhGgoMwR74Fa2d8tkLDnBvUCJpRo7iCTK1r1Kpump", "View")</f>
        <v/>
      </c>
    </row>
    <row r="37">
      <c r="A37" s="19" t="inlineStr">
        <is>
          <t>SLDRX</t>
        </is>
      </c>
      <c r="B37" s="20" t="n">
        <v>20506414</v>
      </c>
      <c r="C37" s="20" t="n">
        <v>20506414</v>
      </c>
      <c r="D37" s="20" t="inlineStr">
        <is>
          <t>0.000110</t>
        </is>
      </c>
      <c r="E37" s="20" t="inlineStr">
        <is>
          <t>2.292 SOL</t>
        </is>
      </c>
      <c r="F37" s="20" t="inlineStr">
        <is>
          <t>5.089 SOL</t>
        </is>
      </c>
      <c r="G37" s="23" t="inlineStr">
        <is>
          <t>2.797 SOL</t>
        </is>
      </c>
      <c r="H37" s="23" t="inlineStr">
        <is>
          <t>122.04%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29.10.2024 02:20:12</t>
        </is>
      </c>
      <c r="M37" s="18" t="inlineStr">
        <is>
          <t>18 sec</t>
        </is>
      </c>
      <c r="N37" s="20" t="inlineStr">
        <is>
          <t xml:space="preserve">         19K            44K             5K</t>
        </is>
      </c>
      <c r="O37" s="20" t="inlineStr">
        <is>
          <t>DJzS9JoTkBEeZ9HF2z6hJzw232njGkVaZhmAjWcspump</t>
        </is>
      </c>
      <c r="P37" s="20">
        <f>HYPERLINK("https://photon-sol.tinyastro.io/en/lp/DJzS9JoTkBEeZ9HF2z6hJzw232njGkVaZhmAjWcspump?handle=676050794bc1b1657a56b", "View")</f>
        <v/>
      </c>
    </row>
    <row r="38">
      <c r="A38" s="15" t="inlineStr">
        <is>
          <t>IB</t>
        </is>
      </c>
      <c r="B38" s="16" t="n">
        <v>20427201</v>
      </c>
      <c r="C38" s="16" t="n">
        <v>20427201</v>
      </c>
      <c r="D38" s="16" t="inlineStr">
        <is>
          <t>0.000110</t>
        </is>
      </c>
      <c r="E38" s="16" t="inlineStr">
        <is>
          <t>1.022 SOL</t>
        </is>
      </c>
      <c r="F38" s="16" t="inlineStr">
        <is>
          <t>1.391 SOL</t>
        </is>
      </c>
      <c r="G38" s="22" t="inlineStr">
        <is>
          <t>0.369 SOL</t>
        </is>
      </c>
      <c r="H38" s="22" t="inlineStr">
        <is>
          <t>36.09%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29.10.2024 02:05:00</t>
        </is>
      </c>
      <c r="M38" s="18" t="inlineStr">
        <is>
          <t>35 sec</t>
        </is>
      </c>
      <c r="N38" s="16" t="inlineStr">
        <is>
          <t xml:space="preserve">          9K            12K             5K</t>
        </is>
      </c>
      <c r="O38" s="16" t="inlineStr">
        <is>
          <t>4jKXECh75KAMomko9VuSBwxMvUzkfpdd63Mmna81pump</t>
        </is>
      </c>
      <c r="P38" s="16">
        <f>HYPERLINK("https://photon-sol.tinyastro.io/en/lp/4jKXECh75KAMomko9VuSBwxMvUzkfpdd63Mmna81pump?handle=676050794bc1b1657a56b", "View")</f>
        <v/>
      </c>
    </row>
    <row r="39">
      <c r="A39" s="19" t="inlineStr">
        <is>
          <t>CRUMBS</t>
        </is>
      </c>
      <c r="B39" s="20" t="n">
        <v>1266324</v>
      </c>
      <c r="C39" s="20" t="n">
        <v>1266324</v>
      </c>
      <c r="D39" s="20" t="inlineStr">
        <is>
          <t>0.000110</t>
        </is>
      </c>
      <c r="E39" s="20" t="inlineStr">
        <is>
          <t>1.000 SOL</t>
        </is>
      </c>
      <c r="F39" s="20" t="inlineStr">
        <is>
          <t>0.456 SOL</t>
        </is>
      </c>
      <c r="G39" s="24" t="inlineStr">
        <is>
          <t>-0.544 SOL</t>
        </is>
      </c>
      <c r="H39" s="24" t="inlineStr">
        <is>
          <t>-54.36%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29.10.2024 02:03:47</t>
        </is>
      </c>
      <c r="M39" s="20" t="inlineStr">
        <is>
          <t>32 min</t>
        </is>
      </c>
      <c r="N39" s="20" t="inlineStr">
        <is>
          <t xml:space="preserve">        139K           139K            13K</t>
        </is>
      </c>
      <c r="O39" s="20" t="inlineStr">
        <is>
          <t>DfM9er5w34UT5rKDYm3HD1WMPWYYW3NTGhCbrXufpump</t>
        </is>
      </c>
      <c r="P39" s="20">
        <f>HYPERLINK("https://dexscreener.com/solana/DfM9er5w34UT5rKDYm3HD1WMPWYYW3NTGhCbrXufpump", "View")</f>
        <v/>
      </c>
    </row>
    <row r="40">
      <c r="A40" s="15" t="inlineStr">
        <is>
          <t>Draco</t>
        </is>
      </c>
      <c r="B40" s="16" t="n">
        <v>10380541</v>
      </c>
      <c r="C40" s="16" t="n">
        <v>10380541</v>
      </c>
      <c r="D40" s="16" t="inlineStr">
        <is>
          <t>0.000110</t>
        </is>
      </c>
      <c r="E40" s="16" t="inlineStr">
        <is>
          <t>0.986 SOL</t>
        </is>
      </c>
      <c r="F40" s="16" t="inlineStr">
        <is>
          <t>0.787 SOL</t>
        </is>
      </c>
      <c r="G40" s="21" t="inlineStr">
        <is>
          <t>-0.200 SOL</t>
        </is>
      </c>
      <c r="H40" s="21" t="inlineStr">
        <is>
          <t>-20.23%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29.10.2024 02:03:27</t>
        </is>
      </c>
      <c r="M40" s="18" t="inlineStr">
        <is>
          <t>36 sec</t>
        </is>
      </c>
      <c r="N40" s="16" t="inlineStr">
        <is>
          <t xml:space="preserve">         18K            14K             4K</t>
        </is>
      </c>
      <c r="O40" s="16" t="inlineStr">
        <is>
          <t>HFwobxEVfqHEgSdYFoSnsCKJEZyTZQeR9eHcqGLapump</t>
        </is>
      </c>
      <c r="P40" s="16">
        <f>HYPERLINK("https://photon-sol.tinyastro.io/en/lp/HFwobxEVfqHEgSdYFoSnsCKJEZyTZQeR9eHcqGLapump?handle=676050794bc1b1657a56b", "View")</f>
        <v/>
      </c>
    </row>
    <row r="41">
      <c r="A41" s="19" t="inlineStr">
        <is>
          <t>MANGO</t>
        </is>
      </c>
      <c r="B41" s="20" t="n">
        <v>12543642</v>
      </c>
      <c r="C41" s="20" t="n">
        <v>12543642</v>
      </c>
      <c r="D41" s="20" t="inlineStr">
        <is>
          <t>0.000220</t>
        </is>
      </c>
      <c r="E41" s="20" t="inlineStr">
        <is>
          <t>2.000 SOL</t>
        </is>
      </c>
      <c r="F41" s="20" t="inlineStr">
        <is>
          <t>1.864 SOL</t>
        </is>
      </c>
      <c r="G41" s="21" t="inlineStr">
        <is>
          <t>-0.136 SOL</t>
        </is>
      </c>
      <c r="H41" s="21" t="inlineStr">
        <is>
          <t>-6.82%</t>
        </is>
      </c>
      <c r="I41" s="20" t="inlineStr">
        <is>
          <t>N/A</t>
        </is>
      </c>
      <c r="J41" s="20" t="n">
        <v>2</v>
      </c>
      <c r="K41" s="20" t="n">
        <v>2</v>
      </c>
      <c r="L41" s="20" t="inlineStr">
        <is>
          <t>28.10.2024 22:25:38</t>
        </is>
      </c>
      <c r="M41" s="20" t="inlineStr">
        <is>
          <t>7 hours</t>
        </is>
      </c>
      <c r="N41" s="20" t="inlineStr">
        <is>
          <t xml:space="preserve">         26K            30K            15K</t>
        </is>
      </c>
      <c r="O41" s="20" t="inlineStr">
        <is>
          <t>HChvMnhn75qFw88hmryZyD83cRt5vt2Q8NLiTKwypump</t>
        </is>
      </c>
      <c r="P41" s="20">
        <f>HYPERLINK("https://dexscreener.com/solana/HChvMnhn75qFw88hmryZyD83cRt5vt2Q8NLiTKwypump", "View")</f>
        <v/>
      </c>
    </row>
    <row r="42">
      <c r="A42" s="15" t="inlineStr">
        <is>
          <t>DINGER</t>
        </is>
      </c>
      <c r="B42" s="16" t="n">
        <v>3000482</v>
      </c>
      <c r="C42" s="16" t="n">
        <v>3000482</v>
      </c>
      <c r="D42" s="16" t="inlineStr">
        <is>
          <t>0.000110</t>
        </is>
      </c>
      <c r="E42" s="16" t="inlineStr">
        <is>
          <t>1.000 SOL</t>
        </is>
      </c>
      <c r="F42" s="16" t="inlineStr">
        <is>
          <t>0.357 SOL</t>
        </is>
      </c>
      <c r="G42" s="24" t="inlineStr">
        <is>
          <t>-0.643 SOL</t>
        </is>
      </c>
      <c r="H42" s="24" t="inlineStr">
        <is>
          <t>-64.32%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28.10.2024 22:17:01</t>
        </is>
      </c>
      <c r="M42" s="16" t="inlineStr">
        <is>
          <t>42 min</t>
        </is>
      </c>
      <c r="N42" s="16" t="inlineStr">
        <is>
          <t xml:space="preserve">         58K            58K            17K</t>
        </is>
      </c>
      <c r="O42" s="16" t="inlineStr">
        <is>
          <t>9bhvamYqCpGEN9dEpQ9X5MrX1RWVNhPoUA9Pytgbpump</t>
        </is>
      </c>
      <c r="P42" s="16">
        <f>HYPERLINK("https://dexscreener.com/solana/9bhvamYqCpGEN9dEpQ9X5MrX1RWVNhPoUA9Pytgbpump", "View")</f>
        <v/>
      </c>
    </row>
    <row r="43">
      <c r="A43" s="19" t="inlineStr">
        <is>
          <t>silly</t>
        </is>
      </c>
      <c r="B43" s="20" t="n">
        <v>3308260</v>
      </c>
      <c r="C43" s="20" t="n">
        <v>3308260</v>
      </c>
      <c r="D43" s="20" t="inlineStr">
        <is>
          <t>0.000110</t>
        </is>
      </c>
      <c r="E43" s="20" t="inlineStr">
        <is>
          <t>1.000 SOL</t>
        </is>
      </c>
      <c r="F43" s="20" t="inlineStr">
        <is>
          <t>0.927 SOL</t>
        </is>
      </c>
      <c r="G43" s="21" t="inlineStr">
        <is>
          <t>-0.073 SOL</t>
        </is>
      </c>
      <c r="H43" s="21" t="inlineStr">
        <is>
          <t>-7.27%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28.10.2024 19:27:42</t>
        </is>
      </c>
      <c r="M43" s="20" t="inlineStr">
        <is>
          <t>1 hours</t>
        </is>
      </c>
      <c r="N43" s="20" t="inlineStr">
        <is>
          <t xml:space="preserve">         53K            53K            36K</t>
        </is>
      </c>
      <c r="O43" s="20" t="inlineStr">
        <is>
          <t>2rARgGWBQfhfTkrTc9gGUvKTpPDjtNkFsrWQeEJwpump</t>
        </is>
      </c>
      <c r="P43" s="20">
        <f>HYPERLINK("https://dexscreener.com/solana/2rARgGWBQfhfTkrTc9gGUvKTpPDjtNkFsrWQeEJwpump", "View")</f>
        <v/>
      </c>
    </row>
    <row r="44">
      <c r="A44" s="15" t="inlineStr">
        <is>
          <t>⛏️</t>
        </is>
      </c>
      <c r="B44" s="16" t="n">
        <v>5013537</v>
      </c>
      <c r="C44" s="16" t="n">
        <v>5013537</v>
      </c>
      <c r="D44" s="16" t="inlineStr">
        <is>
          <t>0.000110</t>
        </is>
      </c>
      <c r="E44" s="16" t="inlineStr">
        <is>
          <t>3.000 SOL</t>
        </is>
      </c>
      <c r="F44" s="16" t="inlineStr">
        <is>
          <t>2.075 SOL</t>
        </is>
      </c>
      <c r="G44" s="21" t="inlineStr">
        <is>
          <t>-0.925 SOL</t>
        </is>
      </c>
      <c r="H44" s="21" t="inlineStr">
        <is>
          <t>-30.82%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28.10.2024 19:27:28</t>
        </is>
      </c>
      <c r="M44" s="16" t="inlineStr">
        <is>
          <t>7 min</t>
        </is>
      </c>
      <c r="N44" s="16" t="inlineStr">
        <is>
          <t xml:space="preserve">        105K            72K            35K</t>
        </is>
      </c>
      <c r="O44" s="16" t="inlineStr">
        <is>
          <t>9dmRjKrzUGYnsfoEUUoWpRiKrwSXBKLK2sMo4qkBpump</t>
        </is>
      </c>
      <c r="P44" s="16">
        <f>HYPERLINK("https://dexscreener.com/solana/9dmRjKrzUGYnsfoEUUoWpRiKrwSXBKLK2sMo4qkBpump", "View")</f>
        <v/>
      </c>
    </row>
    <row r="45">
      <c r="A45" s="19" t="inlineStr">
        <is>
          <t>FUJI</t>
        </is>
      </c>
      <c r="B45" s="20" t="n">
        <v>2684388</v>
      </c>
      <c r="C45" s="20" t="n">
        <v>2684388</v>
      </c>
      <c r="D45" s="20" t="inlineStr">
        <is>
          <t>0.000220</t>
        </is>
      </c>
      <c r="E45" s="20" t="inlineStr">
        <is>
          <t>6.000 SOL</t>
        </is>
      </c>
      <c r="F45" s="20" t="inlineStr">
        <is>
          <t>5.870 SOL</t>
        </is>
      </c>
      <c r="G45" s="21" t="inlineStr">
        <is>
          <t>-0.130 SOL</t>
        </is>
      </c>
      <c r="H45" s="21" t="inlineStr">
        <is>
          <t>-2.17%</t>
        </is>
      </c>
      <c r="I45" s="20" t="inlineStr">
        <is>
          <t>N/A</t>
        </is>
      </c>
      <c r="J45" s="20" t="n">
        <v>2</v>
      </c>
      <c r="K45" s="20" t="n">
        <v>2</v>
      </c>
      <c r="L45" s="20" t="inlineStr">
        <is>
          <t>28.10.2024 19:27:21</t>
        </is>
      </c>
      <c r="M45" s="20" t="inlineStr">
        <is>
          <t>1 days</t>
        </is>
      </c>
      <c r="N45" s="20" t="inlineStr">
        <is>
          <t xml:space="preserve">        422K           367K           233K</t>
        </is>
      </c>
      <c r="O45" s="20" t="inlineStr">
        <is>
          <t>4M79Qjv2Jfjmcq19M41V8QFYohBv2KrgEn9dJhVtpump</t>
        </is>
      </c>
      <c r="P45" s="20">
        <f>HYPERLINK("https://dexscreener.com/solana/4M79Qjv2Jfjmcq19M41V8QFYohBv2KrgEn9dJhVtpump", "View")</f>
        <v/>
      </c>
    </row>
    <row r="46">
      <c r="A46" s="15" t="inlineStr">
        <is>
          <t>yaya</t>
        </is>
      </c>
      <c r="B46" s="16" t="n">
        <v>1345982</v>
      </c>
      <c r="C46" s="16" t="n">
        <v>1345982</v>
      </c>
      <c r="D46" s="16" t="inlineStr">
        <is>
          <t>0.000110</t>
        </is>
      </c>
      <c r="E46" s="16" t="inlineStr">
        <is>
          <t>3.000 SOL</t>
        </is>
      </c>
      <c r="F46" s="16" t="inlineStr">
        <is>
          <t>2.948 SOL</t>
        </is>
      </c>
      <c r="G46" s="21" t="inlineStr">
        <is>
          <t>-0.053 SOL</t>
        </is>
      </c>
      <c r="H46" s="21" t="inlineStr">
        <is>
          <t>-1.75%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28.10.2024 18:29:35</t>
        </is>
      </c>
      <c r="M46" s="16" t="inlineStr">
        <is>
          <t>3 hours</t>
        </is>
      </c>
      <c r="N46" s="16" t="inlineStr">
        <is>
          <t xml:space="preserve">        391K           391K             8K</t>
        </is>
      </c>
      <c r="O46" s="16" t="inlineStr">
        <is>
          <t>6VUY3gNQSXf4W1YzR8qZfPm2GN6utVrr5dhyZmzTpump</t>
        </is>
      </c>
      <c r="P46" s="16">
        <f>HYPERLINK("https://dexscreener.com/solana/6VUY3gNQSXf4W1YzR8qZfPm2GN6utVrr5dhyZmzTpump", "View")</f>
        <v/>
      </c>
    </row>
    <row r="47">
      <c r="A47" s="19" t="inlineStr">
        <is>
          <t>Moodussy</t>
        </is>
      </c>
      <c r="B47" s="20" t="n">
        <v>2313271</v>
      </c>
      <c r="C47" s="20" t="n">
        <v>2313271</v>
      </c>
      <c r="D47" s="20" t="inlineStr">
        <is>
          <t>0.000110</t>
        </is>
      </c>
      <c r="E47" s="20" t="inlineStr">
        <is>
          <t>1.000 SOL</t>
        </is>
      </c>
      <c r="F47" s="20" t="inlineStr">
        <is>
          <t>0.486 SOL</t>
        </is>
      </c>
      <c r="G47" s="24" t="inlineStr">
        <is>
          <t>-0.514 SOL</t>
        </is>
      </c>
      <c r="H47" s="24" t="inlineStr">
        <is>
          <t>-51.36%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28.10.2024 17:42:37</t>
        </is>
      </c>
      <c r="M47" s="20" t="inlineStr">
        <is>
          <t>2 hours</t>
        </is>
      </c>
      <c r="N47" s="20" t="inlineStr">
        <is>
          <t xml:space="preserve">         76K            76K            17K</t>
        </is>
      </c>
      <c r="O47" s="20" t="inlineStr">
        <is>
          <t>3qqrPQdRXa4pjrsEpe3MAcyTHKZkT9vcnEH4UjJxpump</t>
        </is>
      </c>
      <c r="P47" s="20">
        <f>HYPERLINK("https://dexscreener.com/solana/3qqrPQdRXa4pjrsEpe3MAcyTHKZkT9vcnEH4UjJxpump", "View")</f>
        <v/>
      </c>
    </row>
    <row r="48">
      <c r="A48" s="15" t="inlineStr">
        <is>
          <t>SCOM</t>
        </is>
      </c>
      <c r="B48" s="16" t="n">
        <v>61329298</v>
      </c>
      <c r="C48" s="16" t="n">
        <v>61329298</v>
      </c>
      <c r="D48" s="16" t="inlineStr">
        <is>
          <t>0.000220</t>
        </is>
      </c>
      <c r="E48" s="16" t="inlineStr">
        <is>
          <t>4.323 SOL</t>
        </is>
      </c>
      <c r="F48" s="16" t="inlineStr">
        <is>
          <t>4.739 SOL</t>
        </is>
      </c>
      <c r="G48" s="22" t="inlineStr">
        <is>
          <t>0.416 SOL</t>
        </is>
      </c>
      <c r="H48" s="22" t="inlineStr">
        <is>
          <t>9.62%</t>
        </is>
      </c>
      <c r="I48" s="16" t="inlineStr">
        <is>
          <t>N/A</t>
        </is>
      </c>
      <c r="J48" s="16" t="n">
        <v>2</v>
      </c>
      <c r="K48" s="16" t="n">
        <v>2</v>
      </c>
      <c r="L48" s="16" t="inlineStr">
        <is>
          <t>28.10.2024 17:19:00</t>
        </is>
      </c>
      <c r="M48" s="16" t="inlineStr">
        <is>
          <t>4 min</t>
        </is>
      </c>
      <c r="N48" s="16" t="inlineStr">
        <is>
          <t xml:space="preserve">         11K            14K             3K</t>
        </is>
      </c>
      <c r="O48" s="16" t="inlineStr">
        <is>
          <t>sF6g7c5qmYZ65FoUXd51jJyaq5yoF5LPUEeyGPypump</t>
        </is>
      </c>
      <c r="P48" s="16">
        <f>HYPERLINK("https://photon-sol.tinyastro.io/en/lp/sF6g7c5qmYZ65FoUXd51jJyaq5yoF5LPUEeyGPypump?handle=676050794bc1b1657a56b", "View")</f>
        <v/>
      </c>
    </row>
    <row r="49">
      <c r="A49" s="19" t="inlineStr">
        <is>
          <t>PEPEAI</t>
        </is>
      </c>
      <c r="B49" s="20" t="n">
        <v>29837633</v>
      </c>
      <c r="C49" s="20" t="n">
        <v>29837633</v>
      </c>
      <c r="D49" s="20" t="inlineStr">
        <is>
          <t>0.000110</t>
        </is>
      </c>
      <c r="E49" s="20" t="inlineStr">
        <is>
          <t>1.500 SOL</t>
        </is>
      </c>
      <c r="F49" s="20" t="inlineStr">
        <is>
          <t>2.154 SOL</t>
        </is>
      </c>
      <c r="G49" s="22" t="inlineStr">
        <is>
          <t>0.654 SOL</t>
        </is>
      </c>
      <c r="H49" s="22" t="inlineStr">
        <is>
          <t>43.60%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27.10.2024 19:05:20</t>
        </is>
      </c>
      <c r="M49" s="20" t="inlineStr">
        <is>
          <t>3 days</t>
        </is>
      </c>
      <c r="N49" s="20" t="inlineStr">
        <is>
          <t xml:space="preserve">          9K             9K             8K</t>
        </is>
      </c>
      <c r="O49" s="20" t="inlineStr">
        <is>
          <t>PEPEbPpCARf4ZTZKFo5NTTYVJwtdEZf4BSQ1LmqriZY</t>
        </is>
      </c>
      <c r="P49" s="20">
        <f>HYPERLINK("https://dexscreener.com/solana/PEPEbPpCARf4ZTZKFo5NTTYVJwtdEZf4BSQ1LmqriZY", "View")</f>
        <v/>
      </c>
    </row>
    <row r="50">
      <c r="A50" s="15" t="inlineStr">
        <is>
          <t>kitler</t>
        </is>
      </c>
      <c r="B50" s="16" t="n">
        <v>47739103</v>
      </c>
      <c r="C50" s="16" t="n">
        <v>47739103</v>
      </c>
      <c r="D50" s="16" t="inlineStr">
        <is>
          <t>0.000110</t>
        </is>
      </c>
      <c r="E50" s="16" t="inlineStr">
        <is>
          <t>1.000 SOL</t>
        </is>
      </c>
      <c r="F50" s="16" t="inlineStr">
        <is>
          <t>1.060 SOL</t>
        </is>
      </c>
      <c r="G50" s="22" t="inlineStr">
        <is>
          <t>0.060 SOL</t>
        </is>
      </c>
      <c r="H50" s="22" t="inlineStr">
        <is>
          <t>5.98%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26.10.2024 01:10:41</t>
        </is>
      </c>
      <c r="M50" s="16" t="inlineStr">
        <is>
          <t>1 days</t>
        </is>
      </c>
      <c r="N50" s="16" t="inlineStr">
        <is>
          <t xml:space="preserve">        N/A           N/A           N/A</t>
        </is>
      </c>
      <c r="O50" s="16" t="inlineStr">
        <is>
          <t>87UxhTU4htxpyy84qiDrucaiEAziXnkCxVtqyjNQXhzE</t>
        </is>
      </c>
      <c r="P50" s="16">
        <f>HYPERLINK("https://dexscreener.com/solana/87UxhTU4htxpyy84qiDrucaiEAziXnkCxVtqyjNQXhzE", "View")</f>
        <v/>
      </c>
    </row>
    <row r="51">
      <c r="A51" s="19" t="inlineStr">
        <is>
          <t>CSGO</t>
        </is>
      </c>
      <c r="B51" s="20" t="n">
        <v>97545454</v>
      </c>
      <c r="C51" s="20" t="n">
        <v>97545454</v>
      </c>
      <c r="D51" s="20" t="inlineStr">
        <is>
          <t>0.000110</t>
        </is>
      </c>
      <c r="E51" s="20" t="inlineStr">
        <is>
          <t>3.062 SOL</t>
        </is>
      </c>
      <c r="F51" s="20" t="inlineStr">
        <is>
          <t>3.168 SOL</t>
        </is>
      </c>
      <c r="G51" s="22" t="inlineStr">
        <is>
          <t>0.105 SOL</t>
        </is>
      </c>
      <c r="H51" s="22" t="inlineStr">
        <is>
          <t>3.44%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26.10.2024 01:10:15</t>
        </is>
      </c>
      <c r="M51" s="20" t="inlineStr">
        <is>
          <t>1 min</t>
        </is>
      </c>
      <c r="N51" s="20" t="inlineStr">
        <is>
          <t xml:space="preserve">          5K             5K             5K</t>
        </is>
      </c>
      <c r="O51" s="20" t="inlineStr">
        <is>
          <t>ERJ9Hbxmgy8ZsHownsqqMYaUDdWvbJEiivCHrbWypump</t>
        </is>
      </c>
      <c r="P51" s="20">
        <f>HYPERLINK("https://photon-sol.tinyastro.io/en/lp/ERJ9Hbxmgy8ZsHownsqqMYaUDdWvbJEiivCHrbWypump?handle=676050794bc1b1657a56b", "View")</f>
        <v/>
      </c>
    </row>
    <row r="52">
      <c r="A52" s="15" t="inlineStr">
        <is>
          <t>horny</t>
        </is>
      </c>
      <c r="B52" s="16" t="n">
        <v>97545455</v>
      </c>
      <c r="C52" s="16" t="n">
        <v>97545455</v>
      </c>
      <c r="D52" s="16" t="inlineStr">
        <is>
          <t>0.000110</t>
        </is>
      </c>
      <c r="E52" s="16" t="inlineStr">
        <is>
          <t>3.062 SOL</t>
        </is>
      </c>
      <c r="F52" s="16" t="inlineStr">
        <is>
          <t>4.137 SOL</t>
        </is>
      </c>
      <c r="G52" s="22" t="inlineStr">
        <is>
          <t>1.074 SOL</t>
        </is>
      </c>
      <c r="H52" s="22" t="inlineStr">
        <is>
          <t>35.08%</t>
        </is>
      </c>
      <c r="I52" s="16" t="inlineStr">
        <is>
          <t>N/A</t>
        </is>
      </c>
      <c r="J52" s="16" t="n">
        <v>1</v>
      </c>
      <c r="K52" s="16" t="n">
        <v>1</v>
      </c>
      <c r="L52" s="16" t="inlineStr">
        <is>
          <t>26.10.2024 01:00:02</t>
        </is>
      </c>
      <c r="M52" s="18" t="inlineStr">
        <is>
          <t>7 sec</t>
        </is>
      </c>
      <c r="N52" s="16" t="inlineStr">
        <is>
          <t xml:space="preserve">          5K             7K             5K</t>
        </is>
      </c>
      <c r="O52" s="16" t="inlineStr">
        <is>
          <t>6UX9aunnMzHe9aL8XPiVzhMu8DWARmX8qqAfaWGd1FPs</t>
        </is>
      </c>
      <c r="P52" s="16">
        <f>HYPERLINK("https://photon-sol.tinyastro.io/en/lp/6UX9aunnMzHe9aL8XPiVzhMu8DWARmX8qqAfaWGd1FPs?handle=676050794bc1b1657a56b", "View")</f>
        <v/>
      </c>
    </row>
    <row r="53">
      <c r="A53" s="19" t="inlineStr">
        <is>
          <t>PaintSol</t>
        </is>
      </c>
      <c r="B53" s="20" t="n">
        <v>97495381</v>
      </c>
      <c r="C53" s="20" t="n">
        <v>97495381</v>
      </c>
      <c r="D53" s="20" t="inlineStr">
        <is>
          <t>0.000110</t>
        </is>
      </c>
      <c r="E53" s="20" t="inlineStr">
        <is>
          <t>3.062 SOL</t>
        </is>
      </c>
      <c r="F53" s="20" t="inlineStr">
        <is>
          <t>3.342 SOL</t>
        </is>
      </c>
      <c r="G53" s="22" t="inlineStr">
        <is>
          <t>0.279 SOL</t>
        </is>
      </c>
      <c r="H53" s="22" t="inlineStr">
        <is>
          <t>9.13%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26.10.2024 00:52:28</t>
        </is>
      </c>
      <c r="M53" s="18" t="inlineStr">
        <is>
          <t>23 sec</t>
        </is>
      </c>
      <c r="N53" s="20" t="inlineStr">
        <is>
          <t xml:space="preserve">          5K             5K             5K</t>
        </is>
      </c>
      <c r="O53" s="20" t="inlineStr">
        <is>
          <t>6VJEQBwEMM4cFAtLSwnNUqHr4c2V4cjG8mNBqAv4pump</t>
        </is>
      </c>
      <c r="P53" s="20">
        <f>HYPERLINK("https://photon-sol.tinyastro.io/en/lp/6VJEQBwEMM4cFAtLSwnNUqHr4c2V4cjG8mNBqAv4pump?handle=676050794bc1b1657a56b", "View")</f>
        <v/>
      </c>
    </row>
    <row r="54">
      <c r="A54" s="15" t="inlineStr">
        <is>
          <t>Julius</t>
        </is>
      </c>
      <c r="B54" s="16" t="n">
        <v>2066959</v>
      </c>
      <c r="C54" s="16" t="n">
        <v>2066959</v>
      </c>
      <c r="D54" s="16" t="inlineStr">
        <is>
          <t>0.000110</t>
        </is>
      </c>
      <c r="E54" s="16" t="inlineStr">
        <is>
          <t>1.000 SOL</t>
        </is>
      </c>
      <c r="F54" s="16" t="inlineStr">
        <is>
          <t>0.423 SOL</t>
        </is>
      </c>
      <c r="G54" s="24" t="inlineStr">
        <is>
          <t>-0.577 SOL</t>
        </is>
      </c>
      <c r="H54" s="24" t="inlineStr">
        <is>
          <t>-57.70%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25.10.2024 14:59:18</t>
        </is>
      </c>
      <c r="M54" s="16" t="inlineStr">
        <is>
          <t>4 min</t>
        </is>
      </c>
      <c r="N54" s="16" t="inlineStr">
        <is>
          <t xml:space="preserve">         84K            35K            13K</t>
        </is>
      </c>
      <c r="O54" s="16" t="inlineStr">
        <is>
          <t>8MCmyPzS8xGKz3YsCRhU6GPqZRc5v6bBWVhPhcYkpump</t>
        </is>
      </c>
      <c r="P54" s="16">
        <f>HYPERLINK("https://dexscreener.com/solana/8MCmyPzS8xGKz3YsCRhU6GPqZRc5v6bBWVhPhcYkpump", "View")</f>
        <v/>
      </c>
    </row>
    <row r="55">
      <c r="A55" s="19" t="inlineStr">
        <is>
          <t>AIORGTRUMP</t>
        </is>
      </c>
      <c r="B55" s="20" t="n">
        <v>97545454</v>
      </c>
      <c r="C55" s="20" t="n">
        <v>97545454</v>
      </c>
      <c r="D55" s="20" t="inlineStr">
        <is>
          <t>0.000110</t>
        </is>
      </c>
      <c r="E55" s="20" t="inlineStr">
        <is>
          <t>3.062 SOL</t>
        </is>
      </c>
      <c r="F55" s="20" t="inlineStr">
        <is>
          <t>6.565 SOL</t>
        </is>
      </c>
      <c r="G55" s="23" t="inlineStr">
        <is>
          <t>3.503 SOL</t>
        </is>
      </c>
      <c r="H55" s="23" t="inlineStr">
        <is>
          <t>114.39%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24.10.2024 23:22:12</t>
        </is>
      </c>
      <c r="M55" s="20" t="inlineStr">
        <is>
          <t>1 min</t>
        </is>
      </c>
      <c r="N55" s="20" t="inlineStr">
        <is>
          <t xml:space="preserve">          5K            12K             5K</t>
        </is>
      </c>
      <c r="O55" s="20" t="inlineStr">
        <is>
          <t>887MN9YwHhKuGb7bmrYhWRcPT56ed8JmTetkWAPHpump</t>
        </is>
      </c>
      <c r="P55" s="20">
        <f>HYPERLINK("https://photon-sol.tinyastro.io/en/lp/887MN9YwHhKuGb7bmrYhWRcPT56ed8JmTetkWAPHpump?handle=676050794bc1b1657a56b", "View")</f>
        <v/>
      </c>
    </row>
    <row r="56">
      <c r="A56" s="15" t="inlineStr">
        <is>
          <t>SANTA</t>
        </is>
      </c>
      <c r="B56" s="16" t="n">
        <v>2050315</v>
      </c>
      <c r="C56" s="16" t="n">
        <v>2050315</v>
      </c>
      <c r="D56" s="16" t="inlineStr">
        <is>
          <t>0.000110</t>
        </is>
      </c>
      <c r="E56" s="16" t="inlineStr">
        <is>
          <t>1.000 SOL</t>
        </is>
      </c>
      <c r="F56" s="16" t="inlineStr">
        <is>
          <t>0.951 SOL</t>
        </is>
      </c>
      <c r="G56" s="21" t="inlineStr">
        <is>
          <t>-0.050 SOL</t>
        </is>
      </c>
      <c r="H56" s="21" t="inlineStr">
        <is>
          <t>-4.95%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23.10.2024 22:09:01</t>
        </is>
      </c>
      <c r="M56" s="16" t="inlineStr">
        <is>
          <t>3 days</t>
        </is>
      </c>
      <c r="N56" s="16" t="inlineStr">
        <is>
          <t xml:space="preserve">          9K             9K            11K</t>
        </is>
      </c>
      <c r="O56" s="16" t="inlineStr">
        <is>
          <t>BCBtmAK7p4FBuPnazkYd9hrAc3qJRc34ZqQ7fi2Af88C</t>
        </is>
      </c>
      <c r="P56" s="16">
        <f>HYPERLINK("https://dexscreener.com/solana/BCBtmAK7p4FBuPnazkYd9hrAc3qJRc34ZqQ7fi2Af88C", "View")</f>
        <v/>
      </c>
    </row>
    <row r="57">
      <c r="A57" s="19" t="inlineStr">
        <is>
          <t>HAA</t>
        </is>
      </c>
      <c r="B57" s="20" t="n">
        <v>48050178</v>
      </c>
      <c r="C57" s="20" t="n">
        <v>48050178</v>
      </c>
      <c r="D57" s="20" t="inlineStr">
        <is>
          <t>0.000220</t>
        </is>
      </c>
      <c r="E57" s="20" t="inlineStr">
        <is>
          <t>3.022 SOL</t>
        </is>
      </c>
      <c r="F57" s="20" t="inlineStr">
        <is>
          <t>10.376 SOL</t>
        </is>
      </c>
      <c r="G57" s="23" t="inlineStr">
        <is>
          <t>7.354 SOL</t>
        </is>
      </c>
      <c r="H57" s="23" t="inlineStr">
        <is>
          <t>243.33%</t>
        </is>
      </c>
      <c r="I57" s="20" t="inlineStr">
        <is>
          <t>N/A</t>
        </is>
      </c>
      <c r="J57" s="20" t="n">
        <v>1</v>
      </c>
      <c r="K57" s="20" t="n">
        <v>3</v>
      </c>
      <c r="L57" s="20" t="inlineStr">
        <is>
          <t>23.10.2024 21:36:57</t>
        </is>
      </c>
      <c r="M57" s="20" t="inlineStr">
        <is>
          <t>10 min</t>
        </is>
      </c>
      <c r="N57" s="20" t="inlineStr">
        <is>
          <t xml:space="preserve">         11K            21K             4K</t>
        </is>
      </c>
      <c r="O57" s="20" t="inlineStr">
        <is>
          <t>sKbCp2AkVLv19HgSRmfLTDitrw3A1oy6fcLnqBvpump</t>
        </is>
      </c>
      <c r="P57" s="20">
        <f>HYPERLINK("https://photon-sol.tinyastro.io/en/lp/sKbCp2AkVLv19HgSRmfLTDitrw3A1oy6fcLnqBvpump?handle=676050794bc1b1657a56b", "View")</f>
        <v/>
      </c>
    </row>
    <row r="58">
      <c r="A58" s="15" t="inlineStr">
        <is>
          <t>RIGGER</t>
        </is>
      </c>
      <c r="B58" s="16" t="n">
        <v>4574635</v>
      </c>
      <c r="C58" s="16" t="n">
        <v>4574635</v>
      </c>
      <c r="D58" s="16" t="inlineStr">
        <is>
          <t>0.000280</t>
        </is>
      </c>
      <c r="E58" s="16" t="inlineStr">
        <is>
          <t>3.000 SOL</t>
        </is>
      </c>
      <c r="F58" s="16" t="inlineStr">
        <is>
          <t>8.805 SOL</t>
        </is>
      </c>
      <c r="G58" s="23" t="inlineStr">
        <is>
          <t>5.804 SOL</t>
        </is>
      </c>
      <c r="H58" s="23" t="inlineStr">
        <is>
          <t>193.46%</t>
        </is>
      </c>
      <c r="I58" s="16" t="inlineStr">
        <is>
          <t>N/A</t>
        </is>
      </c>
      <c r="J58" s="16" t="n">
        <v>1</v>
      </c>
      <c r="K58" s="16" t="n">
        <v>4</v>
      </c>
      <c r="L58" s="16" t="inlineStr">
        <is>
          <t>23.10.2024 01:59:32</t>
        </is>
      </c>
      <c r="M58" s="16" t="inlineStr">
        <is>
          <t>2 hours</t>
        </is>
      </c>
      <c r="N58" s="16" t="inlineStr">
        <is>
          <t xml:space="preserve">        116K           116K             5K</t>
        </is>
      </c>
      <c r="O58" s="16" t="inlineStr">
        <is>
          <t>8jeRAaH2Ebon1cPbEJMbYeyi4CEse77SdCEmnc3pump</t>
        </is>
      </c>
      <c r="P58" s="16">
        <f>HYPERLINK("https://dexscreener.com/solana/8jeRAaH2Ebon1cPbEJMbYeyi4CEse77SdCEmnc3pump", "View")</f>
        <v/>
      </c>
    </row>
    <row r="59">
      <c r="A59" s="19" t="inlineStr">
        <is>
          <t>Sonnet</t>
        </is>
      </c>
      <c r="B59" s="20" t="n">
        <v>3298065</v>
      </c>
      <c r="C59" s="20" t="n">
        <v>3298065</v>
      </c>
      <c r="D59" s="20" t="inlineStr">
        <is>
          <t>0.000110</t>
        </is>
      </c>
      <c r="E59" s="20" t="inlineStr">
        <is>
          <t>1.000 SOL</t>
        </is>
      </c>
      <c r="F59" s="20" t="inlineStr">
        <is>
          <t>0.832 SOL</t>
        </is>
      </c>
      <c r="G59" s="21" t="inlineStr">
        <is>
          <t>-0.168 SOL</t>
        </is>
      </c>
      <c r="H59" s="21" t="inlineStr">
        <is>
          <t>-16.81%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23.10.2024 00:49:51</t>
        </is>
      </c>
      <c r="M59" s="20" t="inlineStr">
        <is>
          <t>1 min</t>
        </is>
      </c>
      <c r="N59" s="20" t="inlineStr">
        <is>
          <t xml:space="preserve">         53K            44K            15K</t>
        </is>
      </c>
      <c r="O59" s="20" t="inlineStr">
        <is>
          <t>2mzsKxmjjrQB5tLRcfALkBGWBzGmck7PnhZCdTrLpump</t>
        </is>
      </c>
      <c r="P59" s="20">
        <f>HYPERLINK("https://dexscreener.com/solana/2mzsKxmjjrQB5tLRcfALkBGWBzGmck7PnhZCdTrLpump", "View")</f>
        <v/>
      </c>
    </row>
    <row r="60">
      <c r="A60" s="15" t="inlineStr">
        <is>
          <t>DDON</t>
        </is>
      </c>
      <c r="B60" s="16" t="n">
        <v>47060728</v>
      </c>
      <c r="C60" s="16" t="n">
        <v>47060728</v>
      </c>
      <c r="D60" s="16" t="inlineStr">
        <is>
          <t>0.000380</t>
        </is>
      </c>
      <c r="E60" s="16" t="inlineStr">
        <is>
          <t>2.155 SOL</t>
        </is>
      </c>
      <c r="F60" s="16" t="inlineStr">
        <is>
          <t>8.435 SOL</t>
        </is>
      </c>
      <c r="G60" s="23" t="inlineStr">
        <is>
          <t>6.279 SOL</t>
        </is>
      </c>
      <c r="H60" s="23" t="inlineStr">
        <is>
          <t>291.36%</t>
        </is>
      </c>
      <c r="I60" s="16" t="inlineStr">
        <is>
          <t>N/A</t>
        </is>
      </c>
      <c r="J60" s="16" t="n">
        <v>2</v>
      </c>
      <c r="K60" s="16" t="n">
        <v>5</v>
      </c>
      <c r="L60" s="16" t="inlineStr">
        <is>
          <t>21.10.2024 01:27:23</t>
        </is>
      </c>
      <c r="M60" s="16" t="inlineStr">
        <is>
          <t>1 hours</t>
        </is>
      </c>
      <c r="N60" s="16" t="inlineStr">
        <is>
          <t xml:space="preserve">          7K            11K             4K</t>
        </is>
      </c>
      <c r="O60" s="16" t="inlineStr">
        <is>
          <t>66qku7XnxE3yb5WjTmfKEpL2wNpPH7gFPgkuiaSvpump</t>
        </is>
      </c>
      <c r="P60" s="16">
        <f>HYPERLINK("https://photon-sol.tinyastro.io/en/lp/66qku7XnxE3yb5WjTmfKEpL2wNpPH7gFPgkuiaSvpump?handle=676050794bc1b1657a56b", "View")</f>
        <v/>
      </c>
    </row>
    <row r="61">
      <c r="A61" s="19" t="inlineStr">
        <is>
          <t>WoTF</t>
        </is>
      </c>
      <c r="B61" s="20" t="n">
        <v>431873</v>
      </c>
      <c r="C61" s="20" t="n">
        <v>431873</v>
      </c>
      <c r="D61" s="20" t="inlineStr">
        <is>
          <t>0.000330</t>
        </is>
      </c>
      <c r="E61" s="20" t="inlineStr">
        <is>
          <t>9.000 SOL</t>
        </is>
      </c>
      <c r="F61" s="20" t="inlineStr">
        <is>
          <t>6.159 SOL</t>
        </is>
      </c>
      <c r="G61" s="21" t="inlineStr">
        <is>
          <t>-2.841 SOL</t>
        </is>
      </c>
      <c r="H61" s="21" t="inlineStr">
        <is>
          <t>-31.57%</t>
        </is>
      </c>
      <c r="I61" s="20" t="inlineStr">
        <is>
          <t>N/A</t>
        </is>
      </c>
      <c r="J61" s="20" t="n">
        <v>3</v>
      </c>
      <c r="K61" s="20" t="n">
        <v>3</v>
      </c>
      <c r="L61" s="20" t="inlineStr">
        <is>
          <t>20.10.2024 18:43:51</t>
        </is>
      </c>
      <c r="M61" s="20" t="inlineStr">
        <is>
          <t>20 hours</t>
        </is>
      </c>
      <c r="N61" s="20" t="inlineStr">
        <is>
          <t xml:space="preserve">          3M             5M           253K</t>
        </is>
      </c>
      <c r="O61" s="20" t="inlineStr">
        <is>
          <t>yJcC48AWnaFQxb4CfZY6U19aQr3Pw6RKVhuGCLVpump</t>
        </is>
      </c>
      <c r="P61" s="20">
        <f>HYPERLINK("https://dexscreener.com/solana/yJcC48AWnaFQxb4CfZY6U19aQr3Pw6RKVhuGCLVpump", "View")</f>
        <v/>
      </c>
    </row>
    <row r="62">
      <c r="A62" s="15" t="inlineStr">
        <is>
          <t>PURPLE</t>
        </is>
      </c>
      <c r="B62" s="16" t="n">
        <v>6930129</v>
      </c>
      <c r="C62" s="16" t="n">
        <v>6930129</v>
      </c>
      <c r="D62" s="16" t="inlineStr">
        <is>
          <t>0.000220</t>
        </is>
      </c>
      <c r="E62" s="16" t="inlineStr">
        <is>
          <t>1.022 SOL</t>
        </is>
      </c>
      <c r="F62" s="16" t="inlineStr">
        <is>
          <t>3.499 SOL</t>
        </is>
      </c>
      <c r="G62" s="23" t="inlineStr">
        <is>
          <t>2.477 SOL</t>
        </is>
      </c>
      <c r="H62" s="23" t="inlineStr">
        <is>
          <t>242.29%</t>
        </is>
      </c>
      <c r="I62" s="16" t="inlineStr">
        <is>
          <t>N/A</t>
        </is>
      </c>
      <c r="J62" s="16" t="n">
        <v>1</v>
      </c>
      <c r="K62" s="16" t="n">
        <v>3</v>
      </c>
      <c r="L62" s="16" t="inlineStr">
        <is>
          <t>20.10.2024 02:35:41</t>
        </is>
      </c>
      <c r="M62" s="16" t="inlineStr">
        <is>
          <t>3 hours</t>
        </is>
      </c>
      <c r="N62" s="16" t="inlineStr">
        <is>
          <t xml:space="preserve">         26K            63K             4K</t>
        </is>
      </c>
      <c r="O62" s="16" t="inlineStr">
        <is>
          <t>p97uYAretppULL42J1rPFbzKxDENybJM6KeRRv2pump</t>
        </is>
      </c>
      <c r="P62" s="16">
        <f>HYPERLINK("https://photon-sol.tinyastro.io/en/lp/p97uYAretppULL42J1rPFbzKxDENybJM6KeRRv2pump?handle=676050794bc1b1657a56b", "View")</f>
        <v/>
      </c>
    </row>
    <row r="63">
      <c r="A63" s="19" t="inlineStr">
        <is>
          <t>tini</t>
        </is>
      </c>
      <c r="B63" s="20" t="n">
        <v>1784105</v>
      </c>
      <c r="C63" s="20" t="n">
        <v>1784105</v>
      </c>
      <c r="D63" s="20" t="inlineStr">
        <is>
          <t>0.000110</t>
        </is>
      </c>
      <c r="E63" s="20" t="inlineStr">
        <is>
          <t>1.000 SOL</t>
        </is>
      </c>
      <c r="F63" s="20" t="inlineStr">
        <is>
          <t>0.496 SOL</t>
        </is>
      </c>
      <c r="G63" s="24" t="inlineStr">
        <is>
          <t>-0.504 SOL</t>
        </is>
      </c>
      <c r="H63" s="24" t="inlineStr">
        <is>
          <t>-50.43%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20.10.2024 02:34:12</t>
        </is>
      </c>
      <c r="M63" s="18" t="inlineStr">
        <is>
          <t>18 sec</t>
        </is>
      </c>
      <c r="N63" s="20" t="inlineStr">
        <is>
          <t xml:space="preserve">         98K            49K             5K</t>
        </is>
      </c>
      <c r="O63" s="20" t="inlineStr">
        <is>
          <t>2Bvd4cNBFfmvEMGDz9bW2NrCaFpyAFEh4HGmMrm5pump</t>
        </is>
      </c>
      <c r="P63" s="20">
        <f>HYPERLINK("https://dexscreener.com/solana/2Bvd4cNBFfmvEMGDz9bW2NrCaFpyAFEh4HGmMrm5pump", "View")</f>
        <v/>
      </c>
    </row>
    <row r="64">
      <c r="A64" s="15" t="inlineStr">
        <is>
          <t>BLUE</t>
        </is>
      </c>
      <c r="B64" s="16" t="n">
        <v>5706050</v>
      </c>
      <c r="C64" s="16" t="n">
        <v>5706050</v>
      </c>
      <c r="D64" s="16" t="inlineStr">
        <is>
          <t>0.000110</t>
        </is>
      </c>
      <c r="E64" s="16" t="inlineStr">
        <is>
          <t>1.022 SOL</t>
        </is>
      </c>
      <c r="F64" s="16" t="inlineStr">
        <is>
          <t>0.613 SOL</t>
        </is>
      </c>
      <c r="G64" s="21" t="inlineStr">
        <is>
          <t>-0.409 SOL</t>
        </is>
      </c>
      <c r="H64" s="21" t="inlineStr">
        <is>
          <t>-40.03%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20.10.2024 00:49:39</t>
        </is>
      </c>
      <c r="M64" s="16" t="inlineStr">
        <is>
          <t>5 min</t>
        </is>
      </c>
      <c r="N64" s="16" t="inlineStr">
        <is>
          <t xml:space="preserve">        N/A           N/A           N/A</t>
        </is>
      </c>
      <c r="O64" s="16" t="inlineStr">
        <is>
          <t>FnCHsZT7K3TVzEtDkcsfwxodPrfnkdCNq4cqd9Yopump</t>
        </is>
      </c>
      <c r="P64" s="16">
        <f>HYPERLINK("https://photon-sol.tinyastro.io/en/lp/FnCHsZT7K3TVzEtDkcsfwxodPrfnkdCNq4cqd9Yopump?handle=676050794bc1b1657a56b", "View")</f>
        <v/>
      </c>
    </row>
    <row r="65">
      <c r="A65" s="19" t="inlineStr">
        <is>
          <t>WIP</t>
        </is>
      </c>
      <c r="B65" s="20" t="n">
        <v>18568755</v>
      </c>
      <c r="C65" s="20" t="n">
        <v>18568755</v>
      </c>
      <c r="D65" s="20" t="inlineStr">
        <is>
          <t>0.000280</t>
        </is>
      </c>
      <c r="E65" s="20" t="inlineStr">
        <is>
          <t>1.989 SOL</t>
        </is>
      </c>
      <c r="F65" s="20" t="inlineStr">
        <is>
          <t>18.339 SOL</t>
        </is>
      </c>
      <c r="G65" s="23" t="inlineStr">
        <is>
          <t>16.350 SOL</t>
        </is>
      </c>
      <c r="H65" s="23" t="inlineStr">
        <is>
          <t>822.07%</t>
        </is>
      </c>
      <c r="I65" s="20" t="inlineStr">
        <is>
          <t>N/A</t>
        </is>
      </c>
      <c r="J65" s="20" t="n">
        <v>2</v>
      </c>
      <c r="K65" s="20" t="n">
        <v>3</v>
      </c>
      <c r="L65" s="20" t="inlineStr">
        <is>
          <t>19.10.2024 23:33:34</t>
        </is>
      </c>
      <c r="M65" s="20" t="inlineStr">
        <is>
          <t>39 min</t>
        </is>
      </c>
      <c r="N65" s="20" t="inlineStr">
        <is>
          <t xml:space="preserve">         19K            11K             5K</t>
        </is>
      </c>
      <c r="O65" s="20" t="inlineStr">
        <is>
          <t>4fXwvQXU2GFSkoqBEUxSkUrfwMKkBiumiUVhJv6Bpump</t>
        </is>
      </c>
      <c r="P65" s="20">
        <f>HYPERLINK("https://photon-sol.tinyastro.io/en/lp/4fXwvQXU2GFSkoqBEUxSkUrfwMKkBiumiUVhJv6Bpump?handle=676050794bc1b1657a56b", "View")</f>
        <v/>
      </c>
    </row>
    <row r="66">
      <c r="A66" s="15" t="inlineStr">
        <is>
          <t>RSS</t>
        </is>
      </c>
      <c r="B66" s="16" t="n">
        <v>2462466</v>
      </c>
      <c r="C66" s="16" t="n">
        <v>2462466</v>
      </c>
      <c r="D66" s="16" t="inlineStr">
        <is>
          <t>0.000110</t>
        </is>
      </c>
      <c r="E66" s="16" t="inlineStr">
        <is>
          <t>3.000 SOL</t>
        </is>
      </c>
      <c r="F66" s="16" t="inlineStr">
        <is>
          <t>3.333 SOL</t>
        </is>
      </c>
      <c r="G66" s="22" t="inlineStr">
        <is>
          <t>0.333 SOL</t>
        </is>
      </c>
      <c r="H66" s="22" t="inlineStr">
        <is>
          <t>11.10%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18.10.2024 21:40:20</t>
        </is>
      </c>
      <c r="M66" s="16" t="inlineStr">
        <is>
          <t>8 hours</t>
        </is>
      </c>
      <c r="N66" s="16" t="inlineStr">
        <is>
          <t xml:space="preserve">        214K           214K            35K</t>
        </is>
      </c>
      <c r="O66" s="16" t="inlineStr">
        <is>
          <t>59VfmRtycwEmfLvjZKybjRZMvhUkcbBVzt8zKqGDJ3Dn</t>
        </is>
      </c>
      <c r="P66" s="16">
        <f>HYPERLINK("https://dexscreener.com/solana/59VfmRtycwEmfLvjZKybjRZMvhUkcbBVzt8zKqGDJ3Dn", "View")</f>
        <v/>
      </c>
    </row>
    <row r="67">
      <c r="A67" s="19" t="inlineStr">
        <is>
          <t>KART</t>
        </is>
      </c>
      <c r="B67" s="20" t="n">
        <v>3691103</v>
      </c>
      <c r="C67" s="20" t="n">
        <v>3691103</v>
      </c>
      <c r="D67" s="20" t="inlineStr">
        <is>
          <t>0.000110</t>
        </is>
      </c>
      <c r="E67" s="20" t="inlineStr">
        <is>
          <t>1.000 SOL</t>
        </is>
      </c>
      <c r="F67" s="20" t="inlineStr">
        <is>
          <t>0.918 SOL</t>
        </is>
      </c>
      <c r="G67" s="21" t="inlineStr">
        <is>
          <t>-0.082 SOL</t>
        </is>
      </c>
      <c r="H67" s="21" t="inlineStr">
        <is>
          <t>-8.18%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18.10.2024 18:35:28</t>
        </is>
      </c>
      <c r="M67" s="20" t="inlineStr">
        <is>
          <t>7 min</t>
        </is>
      </c>
      <c r="N67" s="20" t="inlineStr">
        <is>
          <t xml:space="preserve">         47K            44K             4K</t>
        </is>
      </c>
      <c r="O67" s="20" t="inlineStr">
        <is>
          <t>9ZtMKWWji4kYjvqD961bvEf7fx2RMsxmkAa65BZHpump</t>
        </is>
      </c>
      <c r="P67" s="20">
        <f>HYPERLINK("https://dexscreener.com/solana/9ZtMKWWji4kYjvqD961bvEf7fx2RMsxmkAa65BZHpump", "View")</f>
        <v/>
      </c>
    </row>
    <row r="68">
      <c r="A68" s="15" t="inlineStr">
        <is>
          <t>RACIST</t>
        </is>
      </c>
      <c r="B68" s="16" t="n">
        <v>27697347</v>
      </c>
      <c r="C68" s="16" t="n">
        <v>27697347</v>
      </c>
      <c r="D68" s="16" t="inlineStr">
        <is>
          <t>0.000330</t>
        </is>
      </c>
      <c r="E68" s="16" t="inlineStr">
        <is>
          <t>2.042 SOL</t>
        </is>
      </c>
      <c r="F68" s="16" t="inlineStr">
        <is>
          <t>9.091 SOL</t>
        </is>
      </c>
      <c r="G68" s="23" t="inlineStr">
        <is>
          <t>7.048 SOL</t>
        </is>
      </c>
      <c r="H68" s="23" t="inlineStr">
        <is>
          <t>345.09%</t>
        </is>
      </c>
      <c r="I68" s="16" t="inlineStr">
        <is>
          <t>N/A</t>
        </is>
      </c>
      <c r="J68" s="16" t="n">
        <v>1</v>
      </c>
      <c r="K68" s="16" t="n">
        <v>5</v>
      </c>
      <c r="L68" s="16" t="inlineStr">
        <is>
          <t>18.10.2024 18:27:58</t>
        </is>
      </c>
      <c r="M68" s="16" t="inlineStr">
        <is>
          <t>1 days</t>
        </is>
      </c>
      <c r="N68" s="16" t="inlineStr">
        <is>
          <t xml:space="preserve">         12K            93K             5K</t>
        </is>
      </c>
      <c r="O68" s="16" t="inlineStr">
        <is>
          <t>ABMUvC3bBkfZX21dpVjRXxvvM3aofnr3beA5wsPZpump</t>
        </is>
      </c>
      <c r="P68" s="16">
        <f>HYPERLINK("https://photon-sol.tinyastro.io/en/lp/ABMUvC3bBkfZX21dpVjRXxvvM3aofnr3beA5wsPZpump?handle=676050794bc1b1657a56b", "View")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133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HYPERLINK("https://gmgn.ai/sol/address/Cm2aqELkVtJ1mzhjicqsdpTMBMF4oSufPgC7fkiknFfm", "GMGN")</f>
        <v/>
      </c>
    </row>
    <row r="2">
      <c r="A2" s="3" t="inlineStr">
        <is>
          <t>Cm2aqELkVtJ1mzhjicqsdpTMBMF4oSufPgC7fkiknFfm</t>
        </is>
      </c>
      <c r="B2" s="3" t="inlineStr">
        <is>
          <t>62.46 SOL</t>
        </is>
      </c>
      <c r="C2" s="3" t="inlineStr">
        <is>
          <t>33%</t>
        </is>
      </c>
      <c r="D2" s="3" t="inlineStr">
        <is>
          <t>43%</t>
        </is>
      </c>
      <c r="E2" s="3" t="inlineStr">
        <is>
          <t>43.06 SOL</t>
        </is>
      </c>
      <c r="F2" s="3" t="inlineStr">
        <is>
          <t>0 (0%)</t>
        </is>
      </c>
      <c r="G2" s="3" t="inlineStr">
        <is>
          <t>0 (0%)</t>
        </is>
      </c>
      <c r="H2" s="3" t="n">
        <v>114</v>
      </c>
      <c r="I2" s="3" t="n">
        <v>9</v>
      </c>
      <c r="J2" s="3" t="inlineStr">
        <is>
          <t>89 days</t>
        </is>
      </c>
      <c r="K2" s="3" t="inlineStr">
        <is>
          <t>38 min</t>
        </is>
      </c>
      <c r="L2" s="3" t="n">
        <v>36</v>
      </c>
      <c r="M2" s="3" t="n">
        <v>66</v>
      </c>
      <c r="N2" s="3">
        <f>HYPERLINK("https://solscan.io/account/Cm2aqELkVtJ1mzhjicqsdpTMBMF4oSufPgC7fkiknFfm", "Solscan")</f>
        <v/>
      </c>
    </row>
    <row r="3">
      <c r="A3" s="6" t="inlineStr">
        <is>
          <t>Median ROI</t>
        </is>
      </c>
      <c r="B3" s="5" t="inlineStr">
        <is>
          <t>-34.09%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HYPERLINK("https://birdeye.so/profile/Cm2aqELkVtJ1mzhjicqsdpTMBMF4oSufPgC7fkiknFfm", "Birdeye")</f>
        <v/>
      </c>
    </row>
    <row r="4">
      <c r="A4" s="6" t="inlineStr">
        <is>
          <t>Rockets percent</t>
        </is>
      </c>
      <c r="B4" s="3" t="inlineStr">
        <is>
          <t>14%</t>
        </is>
      </c>
      <c r="C4" s="3" t="inlineStr"/>
      <c r="D4" s="3" t="inlineStr">
        <is>
          <t>5%</t>
        </is>
      </c>
      <c r="E4" s="3" t="inlineStr">
        <is>
          <t>5.23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97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13</v>
      </c>
      <c r="D10" s="6" t="n">
        <v>8</v>
      </c>
      <c r="E10" s="6" t="n">
        <v>14</v>
      </c>
      <c r="F10" s="6" t="n">
        <v>30</v>
      </c>
      <c r="G10" s="6" t="n">
        <v>46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2.6%</t>
        </is>
      </c>
      <c r="C11" s="6" t="inlineStr">
        <is>
          <t>11.4%</t>
        </is>
      </c>
      <c r="D11" s="6" t="inlineStr">
        <is>
          <t>7.0%</t>
        </is>
      </c>
      <c r="E11" s="6" t="inlineStr">
        <is>
          <t>12.3%</t>
        </is>
      </c>
      <c r="F11" s="6" t="inlineStr">
        <is>
          <t>26.3%</t>
        </is>
      </c>
      <c r="G11" s="6" t="inlineStr">
        <is>
          <t>40.4%</t>
        </is>
      </c>
      <c r="H11" s="3" t="n"/>
      <c r="I11" s="3" t="inlineStr">
        <is>
          <t>5k-30k</t>
        </is>
      </c>
      <c r="J11" s="3" t="inlineStr">
        <is>
          <t>20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51.4 SOL</t>
        </is>
      </c>
      <c r="C12" s="6" t="inlineStr">
        <is>
          <t>19.9 SOL</t>
        </is>
      </c>
      <c r="D12" s="6" t="inlineStr">
        <is>
          <t>7.2 SOL</t>
        </is>
      </c>
      <c r="E12" s="6" t="inlineStr">
        <is>
          <t>2.0 SOL</t>
        </is>
      </c>
      <c r="F12" s="6" t="inlineStr">
        <is>
          <t>-10.8 SOL</t>
        </is>
      </c>
      <c r="G12" s="6" t="inlineStr">
        <is>
          <t>-26.8 SOL</t>
        </is>
      </c>
      <c r="H12" s="3" t="n"/>
      <c r="I12" s="3" t="inlineStr">
        <is>
          <t>30k-100k</t>
        </is>
      </c>
      <c r="J12" s="3" t="inlineStr">
        <is>
          <t>21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40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175.5K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Tenebro</t>
        </is>
      </c>
      <c r="B20" s="16" t="n">
        <v>64403</v>
      </c>
      <c r="C20" s="16" t="n">
        <v>0</v>
      </c>
      <c r="D20" s="16" t="inlineStr">
        <is>
          <t>0.003720</t>
        </is>
      </c>
      <c r="E20" s="16" t="inlineStr">
        <is>
          <t>1.000 SOL</t>
        </is>
      </c>
      <c r="F20" s="16" t="inlineStr">
        <is>
          <t>0.000 SOL</t>
        </is>
      </c>
      <c r="G20" s="17" t="inlineStr">
        <is>
          <t>-1.004 SOL</t>
        </is>
      </c>
      <c r="H20" s="17" t="inlineStr">
        <is>
          <t>0.00%</t>
        </is>
      </c>
      <c r="I20" s="16" t="inlineStr">
        <is>
          <t>64,403</t>
        </is>
      </c>
      <c r="J20" s="16" t="n">
        <v>1</v>
      </c>
      <c r="K20" s="16" t="n">
        <v>0</v>
      </c>
      <c r="L20" s="16" t="inlineStr">
        <is>
          <t>30.10.2024 21:22:32</t>
        </is>
      </c>
      <c r="M20" s="18" t="inlineStr">
        <is>
          <t>0 sec</t>
        </is>
      </c>
      <c r="N20" s="16" t="inlineStr">
        <is>
          <t xml:space="preserve">          3M             3M             2M</t>
        </is>
      </c>
      <c r="O20" s="16" t="inlineStr">
        <is>
          <t>9GBByfZfB9MksLKBqs25GCSHpncB3PsikPkLuZMzpump</t>
        </is>
      </c>
      <c r="P20" s="16">
        <f>HYPERLINK("https://dexscreener.com/solana/9GBByfZfB9MksLKBqs25GCSHpncB3PsikPkLuZMzpump", "View")</f>
        <v/>
      </c>
    </row>
    <row r="21">
      <c r="A21" s="19" t="inlineStr">
        <is>
          <t>RPG</t>
        </is>
      </c>
      <c r="B21" s="20" t="n">
        <v>1745461</v>
      </c>
      <c r="C21" s="20" t="n">
        <v>1745461</v>
      </c>
      <c r="D21" s="20" t="inlineStr">
        <is>
          <t>0.012070</t>
        </is>
      </c>
      <c r="E21" s="20" t="inlineStr">
        <is>
          <t>1.000 SOL</t>
        </is>
      </c>
      <c r="F21" s="20" t="inlineStr">
        <is>
          <t>2.487 SOL</t>
        </is>
      </c>
      <c r="G21" s="23" t="inlineStr">
        <is>
          <t>1.474 SOL</t>
        </is>
      </c>
      <c r="H21" s="23" t="inlineStr">
        <is>
          <t>145.69%</t>
        </is>
      </c>
      <c r="I21" s="20" t="inlineStr">
        <is>
          <t>N/A</t>
        </is>
      </c>
      <c r="J21" s="20" t="n">
        <v>1</v>
      </c>
      <c r="K21" s="20" t="n">
        <v>2</v>
      </c>
      <c r="L21" s="20" t="inlineStr">
        <is>
          <t>30.10.2024 19:09:47</t>
        </is>
      </c>
      <c r="M21" s="20" t="inlineStr">
        <is>
          <t>12 min</t>
        </is>
      </c>
      <c r="N21" s="20" t="inlineStr">
        <is>
          <t xml:space="preserve">        100K           176K           266K</t>
        </is>
      </c>
      <c r="O21" s="20" t="inlineStr">
        <is>
          <t>5TAJy6JhnXpQUgRWyFJeQtZeMv3XkcWTKe5W4zDJpump</t>
        </is>
      </c>
      <c r="P21" s="20">
        <f>HYPERLINK("https://dexscreener.com/solana/5TAJy6JhnXpQUgRWyFJeQtZeMv3XkcWTKe5W4zDJpump", "View")</f>
        <v/>
      </c>
    </row>
    <row r="22">
      <c r="A22" s="15" t="inlineStr">
        <is>
          <t>EARL</t>
        </is>
      </c>
      <c r="B22" s="16" t="n">
        <v>1020125</v>
      </c>
      <c r="C22" s="16" t="n">
        <v>1020125</v>
      </c>
      <c r="D22" s="16" t="inlineStr">
        <is>
          <t>0.007920</t>
        </is>
      </c>
      <c r="E22" s="16" t="inlineStr">
        <is>
          <t>1.000 SOL</t>
        </is>
      </c>
      <c r="F22" s="16" t="inlineStr">
        <is>
          <t>0.808 SOL</t>
        </is>
      </c>
      <c r="G22" s="21" t="inlineStr">
        <is>
          <t>-0.200 SOL</t>
        </is>
      </c>
      <c r="H22" s="21" t="inlineStr">
        <is>
          <t>-19.83%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18:49:43</t>
        </is>
      </c>
      <c r="M22" s="16" t="inlineStr">
        <is>
          <t>3 min</t>
        </is>
      </c>
      <c r="N22" s="16" t="inlineStr">
        <is>
          <t xml:space="preserve">        172K           139K           732K</t>
        </is>
      </c>
      <c r="O22" s="16" t="inlineStr">
        <is>
          <t>BjjvKX5k7gQoGRmvQAA5WMr7EkQ2cirGTSGxAznDpump</t>
        </is>
      </c>
      <c r="P22" s="16">
        <f>HYPERLINK("https://dexscreener.com/solana/BjjvKX5k7gQoGRmvQAA5WMr7EkQ2cirGTSGxAznDpump", "View")</f>
        <v/>
      </c>
    </row>
    <row r="23">
      <c r="A23" s="19" t="inlineStr">
        <is>
          <t>LEGION</t>
        </is>
      </c>
      <c r="B23" s="20" t="n">
        <v>3433396</v>
      </c>
      <c r="C23" s="20" t="n">
        <v>3433396</v>
      </c>
      <c r="D23" s="20" t="inlineStr">
        <is>
          <t>0.007590</t>
        </is>
      </c>
      <c r="E23" s="20" t="inlineStr">
        <is>
          <t>1.005 SOL</t>
        </is>
      </c>
      <c r="F23" s="20" t="inlineStr">
        <is>
          <t>0.528 SOL</t>
        </is>
      </c>
      <c r="G23" s="21" t="inlineStr">
        <is>
          <t>-0.485 SOL</t>
        </is>
      </c>
      <c r="H23" s="21" t="inlineStr">
        <is>
          <t>-47.88%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18:08:02</t>
        </is>
      </c>
      <c r="M23" s="20" t="inlineStr">
        <is>
          <t>22 min</t>
        </is>
      </c>
      <c r="N23" s="20" t="inlineStr">
        <is>
          <t xml:space="preserve">         51K            26K            19K</t>
        </is>
      </c>
      <c r="O23" s="20" t="inlineStr">
        <is>
          <t>F3UQRejD18QxwQfNxHpXiRYsnJnWYv5g3xDkpFV4pump</t>
        </is>
      </c>
      <c r="P23" s="20">
        <f>HYPERLINK("https://photon-sol.tinyastro.io/en/lp/F3UQRejD18QxwQfNxHpXiRYsnJnWYv5g3xDkpFV4pump?handle=676050794bc1b1657a56b", "View")</f>
        <v/>
      </c>
    </row>
    <row r="24">
      <c r="A24" s="15" t="inlineStr">
        <is>
          <t>floop</t>
        </is>
      </c>
      <c r="B24" s="16" t="n">
        <v>559990</v>
      </c>
      <c r="C24" s="16" t="n">
        <v>559990</v>
      </c>
      <c r="D24" s="16" t="inlineStr">
        <is>
          <t>0.016160</t>
        </is>
      </c>
      <c r="E24" s="16" t="inlineStr">
        <is>
          <t>5.000 SOL</t>
        </is>
      </c>
      <c r="F24" s="16" t="inlineStr">
        <is>
          <t>8.269 SOL</t>
        </is>
      </c>
      <c r="G24" s="23" t="inlineStr">
        <is>
          <t>3.252 SOL</t>
        </is>
      </c>
      <c r="H24" s="23" t="inlineStr">
        <is>
          <t>64.84%</t>
        </is>
      </c>
      <c r="I24" s="16" t="inlineStr">
        <is>
          <t>N/A</t>
        </is>
      </c>
      <c r="J24" s="16" t="n">
        <v>1</v>
      </c>
      <c r="K24" s="16" t="n">
        <v>3</v>
      </c>
      <c r="L24" s="16" t="inlineStr">
        <is>
          <t>30.10.2024 17:49:30</t>
        </is>
      </c>
      <c r="M24" s="16" t="inlineStr">
        <is>
          <t>21 min</t>
        </is>
      </c>
      <c r="N24" s="16" t="inlineStr">
        <is>
          <t xml:space="preserve">          2M           775K            31K</t>
        </is>
      </c>
      <c r="O24" s="16" t="inlineStr">
        <is>
          <t>BbQbAoML7FJTyk45N9hXdp883NzB8WvHFCesEeAppump</t>
        </is>
      </c>
      <c r="P24" s="16">
        <f>HYPERLINK("https://dexscreener.com/solana/BbQbAoML7FJTyk45N9hXdp883NzB8WvHFCesEeAppump", "View")</f>
        <v/>
      </c>
    </row>
    <row r="25">
      <c r="A25" s="19" t="inlineStr">
        <is>
          <t>XENO</t>
        </is>
      </c>
      <c r="B25" s="20" t="n">
        <v>76639</v>
      </c>
      <c r="C25" s="20" t="n">
        <v>57479</v>
      </c>
      <c r="D25" s="20" t="inlineStr">
        <is>
          <t>0.012070</t>
        </is>
      </c>
      <c r="E25" s="20" t="inlineStr">
        <is>
          <t>1.000 SOL</t>
        </is>
      </c>
      <c r="F25" s="20" t="inlineStr">
        <is>
          <t>1.742 SOL</t>
        </is>
      </c>
      <c r="G25" s="23" t="inlineStr">
        <is>
          <t>0.730 SOL</t>
        </is>
      </c>
      <c r="H25" s="23" t="inlineStr">
        <is>
          <t>72.12%</t>
        </is>
      </c>
      <c r="I25" s="20" t="inlineStr">
        <is>
          <t>N/A</t>
        </is>
      </c>
      <c r="J25" s="20" t="n">
        <v>1</v>
      </c>
      <c r="K25" s="20" t="n">
        <v>2</v>
      </c>
      <c r="L25" s="20" t="inlineStr">
        <is>
          <t>30.10.2024 17:33:06</t>
        </is>
      </c>
      <c r="M25" s="20" t="inlineStr">
        <is>
          <t>55 min</t>
        </is>
      </c>
      <c r="N25" s="20" t="inlineStr">
        <is>
          <t xml:space="preserve">          2M             5M             4M</t>
        </is>
      </c>
      <c r="O25" s="20" t="inlineStr">
        <is>
          <t>Db7ZUaWTThwZy7bVhjn5Dda8D3fbbAhihcxPV4m9pump</t>
        </is>
      </c>
      <c r="P25" s="20">
        <f>HYPERLINK("https://dexscreener.com/solana/Db7ZUaWTThwZy7bVhjn5Dda8D3fbbAhihcxPV4m9pump", "View")</f>
        <v/>
      </c>
    </row>
    <row r="26">
      <c r="A26" s="15" t="inlineStr">
        <is>
          <t>CRYSTALS</t>
        </is>
      </c>
      <c r="B26" s="16" t="n">
        <v>9244300</v>
      </c>
      <c r="C26" s="16" t="n">
        <v>6471010</v>
      </c>
      <c r="D26" s="16" t="inlineStr">
        <is>
          <t>0.007460</t>
        </is>
      </c>
      <c r="E26" s="16" t="inlineStr">
        <is>
          <t>1.005 SOL</t>
        </is>
      </c>
      <c r="F26" s="16" t="inlineStr">
        <is>
          <t>0.009 SOL</t>
        </is>
      </c>
      <c r="G26" s="24" t="inlineStr">
        <is>
          <t>-1.004 SOL</t>
        </is>
      </c>
      <c r="H26" s="24" t="inlineStr">
        <is>
          <t>-99.14%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30.10.2024 17:01:35</t>
        </is>
      </c>
      <c r="M26" s="16" t="inlineStr">
        <is>
          <t>9 min</t>
        </is>
      </c>
      <c r="N26" s="16" t="inlineStr">
        <is>
          <t xml:space="preserve">         19K           N/A             6K</t>
        </is>
      </c>
      <c r="O26" s="16" t="inlineStr">
        <is>
          <t>9WnwzfYZbjfdJsm1s81Vn9rSV7THiKBNnhAyGBMCpump</t>
        </is>
      </c>
      <c r="P26" s="16">
        <f>HYPERLINK("https://photon-sol.tinyastro.io/en/lp/9WnwzfYZbjfdJsm1s81Vn9rSV7THiKBNnhAyGBMCpump?handle=676050794bc1b1657a56b", "View")</f>
        <v/>
      </c>
    </row>
    <row r="27">
      <c r="A27" s="19" t="inlineStr">
        <is>
          <t>MRBEAST</t>
        </is>
      </c>
      <c r="B27" s="20" t="n">
        <v>2806279</v>
      </c>
      <c r="C27" s="20" t="n">
        <v>2806279</v>
      </c>
      <c r="D27" s="20" t="inlineStr">
        <is>
          <t>0.020320</t>
        </is>
      </c>
      <c r="E27" s="20" t="inlineStr">
        <is>
          <t>2.000 SOL</t>
        </is>
      </c>
      <c r="F27" s="20" t="inlineStr">
        <is>
          <t>2.386 SOL</t>
        </is>
      </c>
      <c r="G27" s="22" t="inlineStr">
        <is>
          <t>0.366 SOL</t>
        </is>
      </c>
      <c r="H27" s="22" t="inlineStr">
        <is>
          <t>18.12%</t>
        </is>
      </c>
      <c r="I27" s="20" t="inlineStr">
        <is>
          <t>N/A</t>
        </is>
      </c>
      <c r="J27" s="20" t="n">
        <v>2</v>
      </c>
      <c r="K27" s="20" t="n">
        <v>3</v>
      </c>
      <c r="L27" s="20" t="inlineStr">
        <is>
          <t>30.10.2024 15:21:10</t>
        </is>
      </c>
      <c r="M27" s="20" t="inlineStr">
        <is>
          <t>12 min</t>
        </is>
      </c>
      <c r="N27" s="20" t="inlineStr">
        <is>
          <t xml:space="preserve">         86K           155K            12K</t>
        </is>
      </c>
      <c r="O27" s="20" t="inlineStr">
        <is>
          <t>54DMrvFXRR6yNXum3gSCLcSi9ebTGpJ5ZLFUWmN1pump</t>
        </is>
      </c>
      <c r="P27" s="20">
        <f>HYPERLINK("https://dexscreener.com/solana/54DMrvFXRR6yNXum3gSCLcSi9ebTGpJ5ZLFUWmN1pump", "View")</f>
        <v/>
      </c>
    </row>
    <row r="28">
      <c r="A28" s="15" t="inlineStr">
        <is>
          <t>Never</t>
        </is>
      </c>
      <c r="B28" s="16" t="n">
        <v>881334</v>
      </c>
      <c r="C28" s="16" t="n">
        <v>749134</v>
      </c>
      <c r="D28" s="16" t="inlineStr">
        <is>
          <t>0.007920</t>
        </is>
      </c>
      <c r="E28" s="16" t="inlineStr">
        <is>
          <t>1.000 SOL</t>
        </is>
      </c>
      <c r="F28" s="16" t="inlineStr">
        <is>
          <t>0.421 SOL</t>
        </is>
      </c>
      <c r="G28" s="24" t="inlineStr">
        <is>
          <t>-0.586 SOL</t>
        </is>
      </c>
      <c r="H28" s="24" t="inlineStr">
        <is>
          <t>-58.19%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30.10.2024 15:12:12</t>
        </is>
      </c>
      <c r="M28" s="16" t="inlineStr">
        <is>
          <t>17 hours</t>
        </is>
      </c>
      <c r="N28" s="16" t="inlineStr">
        <is>
          <t xml:space="preserve">        198K           198K            86K</t>
        </is>
      </c>
      <c r="O28" s="16" t="inlineStr">
        <is>
          <t>9nj92MjhAKKYyVmoNKeqN7rVDre6H49MuBq8XMmUpump</t>
        </is>
      </c>
      <c r="P28" s="16">
        <f>HYPERLINK("https://dexscreener.com/solana/9nj92MjhAKKYyVmoNKeqN7rVDre6H49MuBq8XMmUpump", "View")</f>
        <v/>
      </c>
    </row>
    <row r="29">
      <c r="A29" s="19" t="inlineStr">
        <is>
          <t>degenai</t>
        </is>
      </c>
      <c r="B29" s="20" t="n">
        <v>52449</v>
      </c>
      <c r="C29" s="20" t="n">
        <v>49827</v>
      </c>
      <c r="D29" s="20" t="inlineStr">
        <is>
          <t>0.007500</t>
        </is>
      </c>
      <c r="E29" s="20" t="inlineStr">
        <is>
          <t>1.000 SOL</t>
        </is>
      </c>
      <c r="F29" s="20" t="inlineStr">
        <is>
          <t>2.407 SOL</t>
        </is>
      </c>
      <c r="G29" s="23" t="inlineStr">
        <is>
          <t>1.400 SOL</t>
        </is>
      </c>
      <c r="H29" s="23" t="inlineStr">
        <is>
          <t>138.93%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30.10.2024 15:10:38</t>
        </is>
      </c>
      <c r="M29" s="20" t="inlineStr">
        <is>
          <t>8 days</t>
        </is>
      </c>
      <c r="N29" s="20" t="inlineStr">
        <is>
          <t xml:space="preserve">          3M             3M             7M</t>
        </is>
      </c>
      <c r="O29" s="20" t="inlineStr">
        <is>
          <t>Gu3LDkn7Vx3bmCzLafYNKcDxv2mH7YN44NJZFXnypump</t>
        </is>
      </c>
      <c r="P29" s="20">
        <f>HYPERLINK("https://dexscreener.com/solana/Gu3LDkn7Vx3bmCzLafYNKcDxv2mH7YN44NJZFXnypump", "View")</f>
        <v/>
      </c>
    </row>
    <row r="30">
      <c r="A30" s="15" t="inlineStr">
        <is>
          <t>SGF</t>
        </is>
      </c>
      <c r="B30" s="16" t="n">
        <v>6995651</v>
      </c>
      <c r="C30" s="16" t="n">
        <v>6995651</v>
      </c>
      <c r="D30" s="16" t="inlineStr">
        <is>
          <t>0.007360</t>
        </is>
      </c>
      <c r="E30" s="16" t="inlineStr">
        <is>
          <t>1.005 SOL</t>
        </is>
      </c>
      <c r="F30" s="16" t="inlineStr">
        <is>
          <t>0.007 SOL</t>
        </is>
      </c>
      <c r="G30" s="24" t="inlineStr">
        <is>
          <t>-1.006 SOL</t>
        </is>
      </c>
      <c r="H30" s="24" t="inlineStr">
        <is>
          <t>-99.31%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30.10.2024 02:32:12</t>
        </is>
      </c>
      <c r="M30" s="16" t="inlineStr">
        <is>
          <t>6 min</t>
        </is>
      </c>
      <c r="N30" s="16" t="inlineStr">
        <is>
          <t xml:space="preserve">         25K           N/A             6K</t>
        </is>
      </c>
      <c r="O30" s="16" t="inlineStr">
        <is>
          <t>B5J2Vqf3Ur2xQHNuLK6BvKkyVgCXXudjCVnDX4cGpump</t>
        </is>
      </c>
      <c r="P30" s="16">
        <f>HYPERLINK("https://photon-sol.tinyastro.io/en/lp/B5J2Vqf3Ur2xQHNuLK6BvKkyVgCXXudjCVnDX4cGpump?handle=676050794bc1b1657a56b", "View")</f>
        <v/>
      </c>
    </row>
    <row r="31">
      <c r="A31" s="19" t="inlineStr">
        <is>
          <t>RAPE</t>
        </is>
      </c>
      <c r="B31" s="20" t="n">
        <v>62469827</v>
      </c>
      <c r="C31" s="20" t="n">
        <v>62469827</v>
      </c>
      <c r="D31" s="20" t="inlineStr">
        <is>
          <t>0.018030</t>
        </is>
      </c>
      <c r="E31" s="20" t="inlineStr">
        <is>
          <t>2.013 SOL</t>
        </is>
      </c>
      <c r="F31" s="20" t="inlineStr">
        <is>
          <t>0.020 SOL</t>
        </is>
      </c>
      <c r="G31" s="24" t="inlineStr">
        <is>
          <t>-2.011 SOL</t>
        </is>
      </c>
      <c r="H31" s="24" t="inlineStr">
        <is>
          <t>-99.02%</t>
        </is>
      </c>
      <c r="I31" s="20" t="inlineStr">
        <is>
          <t>N/A</t>
        </is>
      </c>
      <c r="J31" s="20" t="n">
        <v>2</v>
      </c>
      <c r="K31" s="20" t="n">
        <v>2</v>
      </c>
      <c r="L31" s="20" t="inlineStr">
        <is>
          <t>30.10.2024 01:43:44</t>
        </is>
      </c>
      <c r="M31" s="20" t="inlineStr">
        <is>
          <t>12 min</t>
        </is>
      </c>
      <c r="N31" s="20" t="inlineStr">
        <is>
          <t xml:space="preserve">          5K           N/A             5K</t>
        </is>
      </c>
      <c r="O31" s="20" t="inlineStr">
        <is>
          <t>82Czws9EHvr61AH1giuwQFmFAb8uZqpc8pWgUZv8pump</t>
        </is>
      </c>
      <c r="P31" s="20">
        <f>HYPERLINK("https://photon-sol.tinyastro.io/en/lp/82Czws9EHvr61AH1giuwQFmFAb8uZqpc8pWgUZv8pump?handle=676050794bc1b1657a56b", "View")</f>
        <v/>
      </c>
    </row>
    <row r="32">
      <c r="A32" s="15" t="inlineStr">
        <is>
          <t>TOKEN</t>
        </is>
      </c>
      <c r="B32" s="16" t="n">
        <v>10509877</v>
      </c>
      <c r="C32" s="16" t="n">
        <v>7356914</v>
      </c>
      <c r="D32" s="16" t="inlineStr">
        <is>
          <t>0.011760</t>
        </is>
      </c>
      <c r="E32" s="16" t="inlineStr">
        <is>
          <t>1.005 SOL</t>
        </is>
      </c>
      <c r="F32" s="16" t="inlineStr">
        <is>
          <t>1.843 SOL</t>
        </is>
      </c>
      <c r="G32" s="23" t="inlineStr">
        <is>
          <t>0.826 SOL</t>
        </is>
      </c>
      <c r="H32" s="23" t="inlineStr">
        <is>
          <t>81.21%</t>
        </is>
      </c>
      <c r="I32" s="16" t="inlineStr">
        <is>
          <t>N/A</t>
        </is>
      </c>
      <c r="J32" s="16" t="n">
        <v>1</v>
      </c>
      <c r="K32" s="16" t="n">
        <v>2</v>
      </c>
      <c r="L32" s="16" t="inlineStr">
        <is>
          <t>30.10.2024 01:43:06</t>
        </is>
      </c>
      <c r="M32" s="16" t="inlineStr">
        <is>
          <t>10 min</t>
        </is>
      </c>
      <c r="N32" s="16" t="inlineStr">
        <is>
          <t xml:space="preserve">         18K            39K             5K</t>
        </is>
      </c>
      <c r="O32" s="16" t="inlineStr">
        <is>
          <t>fiTFpLNw8Zkxaneb8hxHHtbJRRF7715GFXpGKmcpump</t>
        </is>
      </c>
      <c r="P32" s="16">
        <f>HYPERLINK("https://photon-sol.tinyastro.io/en/lp/fiTFpLNw8Zkxaneb8hxHHtbJRRF7715GFXpGKmcpump?handle=676050794bc1b1657a56b", "View")</f>
        <v/>
      </c>
    </row>
    <row r="33">
      <c r="A33" s="19" t="inlineStr">
        <is>
          <t>Rex</t>
        </is>
      </c>
      <c r="B33" s="20" t="n">
        <v>104677</v>
      </c>
      <c r="C33" s="20" t="n">
        <v>104677</v>
      </c>
      <c r="D33" s="20" t="inlineStr">
        <is>
          <t>0.007920</t>
        </is>
      </c>
      <c r="E33" s="20" t="inlineStr">
        <is>
          <t>1.000 SOL</t>
        </is>
      </c>
      <c r="F33" s="20" t="inlineStr">
        <is>
          <t>0.775 SOL</t>
        </is>
      </c>
      <c r="G33" s="21" t="inlineStr">
        <is>
          <t>-0.233 SOL</t>
        </is>
      </c>
      <c r="H33" s="21" t="inlineStr">
        <is>
          <t>-23.09%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29.10.2024 23:23:33</t>
        </is>
      </c>
      <c r="M33" s="20" t="inlineStr">
        <is>
          <t>22 min</t>
        </is>
      </c>
      <c r="N33" s="20" t="inlineStr">
        <is>
          <t xml:space="preserve">          2M             1M           585K</t>
        </is>
      </c>
      <c r="O33" s="20" t="inlineStr">
        <is>
          <t>Hm4dVV7PtackAn2ePAv4kPNVxfhFahxndCJHCYqdpump</t>
        </is>
      </c>
      <c r="P33" s="20">
        <f>HYPERLINK("https://dexscreener.com/solana/Hm4dVV7PtackAn2ePAv4kPNVxfhFahxndCJHCYqdpump", "View")</f>
        <v/>
      </c>
    </row>
    <row r="34">
      <c r="A34" s="15" t="inlineStr">
        <is>
          <t>TBAG</t>
        </is>
      </c>
      <c r="B34" s="16" t="n">
        <v>1275774</v>
      </c>
      <c r="C34" s="16" t="n">
        <v>1275774</v>
      </c>
      <c r="D34" s="16" t="inlineStr">
        <is>
          <t>0.007920</t>
        </is>
      </c>
      <c r="E34" s="16" t="inlineStr">
        <is>
          <t>1.000 SOL</t>
        </is>
      </c>
      <c r="F34" s="16" t="inlineStr">
        <is>
          <t>1.238 SOL</t>
        </is>
      </c>
      <c r="G34" s="22" t="inlineStr">
        <is>
          <t>0.230 SOL</t>
        </is>
      </c>
      <c r="H34" s="22" t="inlineStr">
        <is>
          <t>22.84%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29.10.2024 21:22:45</t>
        </is>
      </c>
      <c r="M34" s="16" t="inlineStr">
        <is>
          <t>5 min</t>
        </is>
      </c>
      <c r="N34" s="16" t="inlineStr">
        <is>
          <t xml:space="preserve">        137K           170K            11K</t>
        </is>
      </c>
      <c r="O34" s="16" t="inlineStr">
        <is>
          <t>HnVFB1Ezy3Pz6zBgkSqLBLQBTgPhkjBynpCRD18Xpump</t>
        </is>
      </c>
      <c r="P34" s="16">
        <f>HYPERLINK("https://dexscreener.com/solana/HnVFB1Ezy3Pz6zBgkSqLBLQBTgPhkjBynpCRD18Xpump", "View")</f>
        <v/>
      </c>
    </row>
    <row r="35">
      <c r="A35" s="19" t="inlineStr">
        <is>
          <t>Animal</t>
        </is>
      </c>
      <c r="B35" s="20" t="n">
        <v>283490</v>
      </c>
      <c r="C35" s="20" t="n">
        <v>262228</v>
      </c>
      <c r="D35" s="20" t="inlineStr">
        <is>
          <t>0.016220</t>
        </is>
      </c>
      <c r="E35" s="20" t="inlineStr">
        <is>
          <t>1.000 SOL</t>
        </is>
      </c>
      <c r="F35" s="20" t="inlineStr">
        <is>
          <t>3.560 SOL</t>
        </is>
      </c>
      <c r="G35" s="23" t="inlineStr">
        <is>
          <t>2.544 SOL</t>
        </is>
      </c>
      <c r="H35" s="23" t="inlineStr">
        <is>
          <t>250.30%</t>
        </is>
      </c>
      <c r="I35" s="20" t="inlineStr">
        <is>
          <t>N/A</t>
        </is>
      </c>
      <c r="J35" s="20" t="n">
        <v>1</v>
      </c>
      <c r="K35" s="20" t="n">
        <v>3</v>
      </c>
      <c r="L35" s="20" t="inlineStr">
        <is>
          <t>29.10.2024 18:59:15</t>
        </is>
      </c>
      <c r="M35" s="20" t="inlineStr">
        <is>
          <t>1 hours</t>
        </is>
      </c>
      <c r="N35" s="20" t="inlineStr">
        <is>
          <t xml:space="preserve">        620K           620K            47K</t>
        </is>
      </c>
      <c r="O35" s="20" t="inlineStr">
        <is>
          <t>33aY2XDYFfbANyBKGiAGUb7kYb4sY9SqPcUZPrwRpump</t>
        </is>
      </c>
      <c r="P35" s="20">
        <f>HYPERLINK("https://dexscreener.com/solana/33aY2XDYFfbANyBKGiAGUb7kYb4sY9SqPcUZPrwRpump", "View")</f>
        <v/>
      </c>
    </row>
    <row r="36">
      <c r="A36" s="15" t="inlineStr">
        <is>
          <t>FRIDGE</t>
        </is>
      </c>
      <c r="B36" s="16" t="n">
        <v>625973</v>
      </c>
      <c r="C36" s="16" t="n">
        <v>590762</v>
      </c>
      <c r="D36" s="16" t="inlineStr">
        <is>
          <t>0.018850</t>
        </is>
      </c>
      <c r="E36" s="16" t="inlineStr">
        <is>
          <t>1.000 SOL</t>
        </is>
      </c>
      <c r="F36" s="16" t="inlineStr">
        <is>
          <t>6.466 SOL</t>
        </is>
      </c>
      <c r="G36" s="23" t="inlineStr">
        <is>
          <t>5.447 SOL</t>
        </is>
      </c>
      <c r="H36" s="23" t="inlineStr">
        <is>
          <t>534.63%</t>
        </is>
      </c>
      <c r="I36" s="16" t="inlineStr">
        <is>
          <t>N/A</t>
        </is>
      </c>
      <c r="J36" s="16" t="n">
        <v>1</v>
      </c>
      <c r="K36" s="16" t="n">
        <v>4</v>
      </c>
      <c r="L36" s="16" t="inlineStr">
        <is>
          <t>29.10.2024 18:59:09</t>
        </is>
      </c>
      <c r="M36" s="16" t="inlineStr">
        <is>
          <t>13 hours</t>
        </is>
      </c>
      <c r="N36" s="16" t="inlineStr">
        <is>
          <t xml:space="preserve">        281K             1M             2M</t>
        </is>
      </c>
      <c r="O36" s="16" t="inlineStr">
        <is>
          <t>EswvJvhPy8A8rWPdLJ5ATYW6cY5x483oS4QWWroZpump</t>
        </is>
      </c>
      <c r="P36" s="16">
        <f>HYPERLINK("https://dexscreener.com/solana/EswvJvhPy8A8rWPdLJ5ATYW6cY5x483oS4QWWroZpump", "View")</f>
        <v/>
      </c>
    </row>
    <row r="37">
      <c r="A37" s="19" t="inlineStr">
        <is>
          <t>Mewssiah</t>
        </is>
      </c>
      <c r="B37" s="20" t="n">
        <v>8397345</v>
      </c>
      <c r="C37" s="20" t="n">
        <v>8397345</v>
      </c>
      <c r="D37" s="20" t="inlineStr">
        <is>
          <t>0.007630</t>
        </is>
      </c>
      <c r="E37" s="20" t="inlineStr">
        <is>
          <t>1.005 SOL</t>
        </is>
      </c>
      <c r="F37" s="20" t="inlineStr">
        <is>
          <t>0.624 SOL</t>
        </is>
      </c>
      <c r="G37" s="21" t="inlineStr">
        <is>
          <t>-0.389 SOL</t>
        </is>
      </c>
      <c r="H37" s="21" t="inlineStr">
        <is>
          <t>-38.39%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29.10.2024 17:31:25</t>
        </is>
      </c>
      <c r="M37" s="20" t="inlineStr">
        <is>
          <t>7 min</t>
        </is>
      </c>
      <c r="N37" s="20" t="inlineStr">
        <is>
          <t xml:space="preserve">         21K            21K             3K</t>
        </is>
      </c>
      <c r="O37" s="20" t="inlineStr">
        <is>
          <t>GMkExiTnMSrnS1KtYgpd7uVypCwdztjMptkazhJWpump</t>
        </is>
      </c>
      <c r="P37" s="20">
        <f>HYPERLINK("https://photon-sol.tinyastro.io/en/lp/GMkExiTnMSrnS1KtYgpd7uVypCwdztjMptkazhJWpump?handle=676050794bc1b1657a56b", "View")</f>
        <v/>
      </c>
    </row>
    <row r="38">
      <c r="A38" s="15" t="inlineStr">
        <is>
          <t>NOGAMBLING</t>
        </is>
      </c>
      <c r="B38" s="16" t="n">
        <v>445259</v>
      </c>
      <c r="C38" s="16" t="n">
        <v>445259</v>
      </c>
      <c r="D38" s="16" t="inlineStr">
        <is>
          <t>0.012070</t>
        </is>
      </c>
      <c r="E38" s="16" t="inlineStr">
        <is>
          <t>1.000 SOL</t>
        </is>
      </c>
      <c r="F38" s="16" t="inlineStr">
        <is>
          <t>1.920 SOL</t>
        </is>
      </c>
      <c r="G38" s="23" t="inlineStr">
        <is>
          <t>0.908 SOL</t>
        </is>
      </c>
      <c r="H38" s="23" t="inlineStr">
        <is>
          <t>89.76%</t>
        </is>
      </c>
      <c r="I38" s="16" t="inlineStr">
        <is>
          <t>N/A</t>
        </is>
      </c>
      <c r="J38" s="16" t="n">
        <v>1</v>
      </c>
      <c r="K38" s="16" t="n">
        <v>2</v>
      </c>
      <c r="L38" s="16" t="inlineStr">
        <is>
          <t>29.10.2024 17:15:44</t>
        </is>
      </c>
      <c r="M38" s="16" t="inlineStr">
        <is>
          <t>1 hours</t>
        </is>
      </c>
      <c r="N38" s="16" t="inlineStr">
        <is>
          <t xml:space="preserve">        395K           699K           506K</t>
        </is>
      </c>
      <c r="O38" s="16" t="inlineStr">
        <is>
          <t>2odHeumkiJx46YyNHeZvDjMwsoNhpAgFQuipT96npump</t>
        </is>
      </c>
      <c r="P38" s="16">
        <f>HYPERLINK("https://dexscreener.com/solana/2odHeumkiJx46YyNHeZvDjMwsoNhpAgFQuipT96npump", "View")</f>
        <v/>
      </c>
    </row>
    <row r="39">
      <c r="A39" s="19" t="inlineStr">
        <is>
          <t>ddog</t>
        </is>
      </c>
      <c r="B39" s="20" t="n">
        <v>607709</v>
      </c>
      <c r="C39" s="20" t="n">
        <v>607709</v>
      </c>
      <c r="D39" s="20" t="inlineStr">
        <is>
          <t>0.010010</t>
        </is>
      </c>
      <c r="E39" s="20" t="inlineStr">
        <is>
          <t>1.000 SOL</t>
        </is>
      </c>
      <c r="F39" s="20" t="inlineStr">
        <is>
          <t>0.682 SOL</t>
        </is>
      </c>
      <c r="G39" s="21" t="inlineStr">
        <is>
          <t>-0.328 SOL</t>
        </is>
      </c>
      <c r="H39" s="21" t="inlineStr">
        <is>
          <t>-32.47%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29.10.2024 16:47:00</t>
        </is>
      </c>
      <c r="M39" s="20" t="inlineStr">
        <is>
          <t>8 min</t>
        </is>
      </c>
      <c r="N39" s="20" t="inlineStr">
        <is>
          <t xml:space="preserve">        290K           197K             8K</t>
        </is>
      </c>
      <c r="O39" s="20" t="inlineStr">
        <is>
          <t>EJdD2Tx4MWzbhjMRAHpTPt7xHTr9wKyDqQtnXH2wpump</t>
        </is>
      </c>
      <c r="P39" s="20">
        <f>HYPERLINK("https://dexscreener.com/solana/EJdD2Tx4MWzbhjMRAHpTPt7xHTr9wKyDqQtnXH2wpump", "View")</f>
        <v/>
      </c>
    </row>
    <row r="40">
      <c r="A40" s="15" t="inlineStr">
        <is>
          <t>Santino</t>
        </is>
      </c>
      <c r="B40" s="16" t="n">
        <v>690072</v>
      </c>
      <c r="C40" s="16" t="n">
        <v>690072</v>
      </c>
      <c r="D40" s="16" t="inlineStr">
        <is>
          <t>0.010540</t>
        </is>
      </c>
      <c r="E40" s="16" t="inlineStr">
        <is>
          <t>5.000 SOL</t>
        </is>
      </c>
      <c r="F40" s="16" t="inlineStr">
        <is>
          <t>4.142 SOL</t>
        </is>
      </c>
      <c r="G40" s="21" t="inlineStr">
        <is>
          <t>-0.868 SOL</t>
        </is>
      </c>
      <c r="H40" s="21" t="inlineStr">
        <is>
          <t>-17.33%</t>
        </is>
      </c>
      <c r="I40" s="16" t="inlineStr">
        <is>
          <t>N/A</t>
        </is>
      </c>
      <c r="J40" s="16" t="n">
        <v>1</v>
      </c>
      <c r="K40" s="16" t="n">
        <v>2</v>
      </c>
      <c r="L40" s="16" t="inlineStr">
        <is>
          <t>29.10.2024 04:52:07</t>
        </is>
      </c>
      <c r="M40" s="16" t="inlineStr">
        <is>
          <t>40 min</t>
        </is>
      </c>
      <c r="N40" s="16" t="inlineStr">
        <is>
          <t xml:space="preserve">          1M           834K           544K</t>
        </is>
      </c>
      <c r="O40" s="16" t="inlineStr">
        <is>
          <t>Fof1DyVSYiQGCnT3uTbmq8kQMPdwL35x1bD82NaTs9mM</t>
        </is>
      </c>
      <c r="P40" s="16">
        <f>HYPERLINK("https://dexscreener.com/solana/Fof1DyVSYiQGCnT3uTbmq8kQMPdwL35x1bD82NaTs9mM", "View")</f>
        <v/>
      </c>
    </row>
    <row r="41">
      <c r="A41" s="19" t="inlineStr">
        <is>
          <t>PMAIRCA</t>
        </is>
      </c>
      <c r="B41" s="20" t="n">
        <v>19175636</v>
      </c>
      <c r="C41" s="20" t="n">
        <v>19175636</v>
      </c>
      <c r="D41" s="20" t="inlineStr">
        <is>
          <t>0.008120</t>
        </is>
      </c>
      <c r="E41" s="20" t="inlineStr">
        <is>
          <t>1.007 SOL</t>
        </is>
      </c>
      <c r="F41" s="20" t="inlineStr">
        <is>
          <t>0.561 SOL</t>
        </is>
      </c>
      <c r="G41" s="21" t="inlineStr">
        <is>
          <t>-0.454 SOL</t>
        </is>
      </c>
      <c r="H41" s="21" t="inlineStr">
        <is>
          <t>-44.69%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29.10.2024 04:51:28</t>
        </is>
      </c>
      <c r="M41" s="20" t="inlineStr">
        <is>
          <t>45 min</t>
        </is>
      </c>
      <c r="N41" s="20" t="inlineStr">
        <is>
          <t xml:space="preserve">          9K             5K             5K</t>
        </is>
      </c>
      <c r="O41" s="20" t="inlineStr">
        <is>
          <t>7t1U9VQcEoh2ELez69Aw2BqWZQGUqP1zFNjNnM6ypump</t>
        </is>
      </c>
      <c r="P41" s="20">
        <f>HYPERLINK("https://photon-sol.tinyastro.io/en/lp/7t1U9VQcEoh2ELez69Aw2BqWZQGUqP1zFNjNnM6ypump?handle=676050794bc1b1657a56b", "View")</f>
        <v/>
      </c>
    </row>
    <row r="42">
      <c r="A42" s="15" t="inlineStr">
        <is>
          <t>LUCE</t>
        </is>
      </c>
      <c r="B42" s="16" t="n">
        <v>3954</v>
      </c>
      <c r="C42" s="16" t="n">
        <v>0</v>
      </c>
      <c r="D42" s="16" t="inlineStr">
        <is>
          <t>0.003340</t>
        </is>
      </c>
      <c r="E42" s="16" t="inlineStr">
        <is>
          <t>1.000 SOL</t>
        </is>
      </c>
      <c r="F42" s="16" t="inlineStr">
        <is>
          <t>0.000 SOL</t>
        </is>
      </c>
      <c r="G42" s="17" t="inlineStr">
        <is>
          <t>-1.003 SOL</t>
        </is>
      </c>
      <c r="H42" s="17" t="inlineStr">
        <is>
          <t>0.00%</t>
        </is>
      </c>
      <c r="I42" s="16" t="inlineStr">
        <is>
          <t>3,954</t>
        </is>
      </c>
      <c r="J42" s="16" t="n">
        <v>1</v>
      </c>
      <c r="K42" s="16" t="n">
        <v>0</v>
      </c>
      <c r="L42" s="16" t="inlineStr">
        <is>
          <t>29.10.2024 04:05:26</t>
        </is>
      </c>
      <c r="M42" s="18" t="inlineStr">
        <is>
          <t>0 sec</t>
        </is>
      </c>
      <c r="N42" s="16" t="inlineStr">
        <is>
          <t xml:space="preserve">         44M            44M            57M</t>
        </is>
      </c>
      <c r="O42" s="16" t="inlineStr">
        <is>
          <t>CBdCxKo9QavR9hfShgpEBG3zekorAeD7W1jfq2o3pump</t>
        </is>
      </c>
      <c r="P42" s="16">
        <f>HYPERLINK("https://dexscreener.com/solana/CBdCxKo9QavR9hfShgpEBG3zekorAeD7W1jfq2o3pump", "View")</f>
        <v/>
      </c>
    </row>
    <row r="43">
      <c r="A43" s="19" t="inlineStr">
        <is>
          <t>JohnAI</t>
        </is>
      </c>
      <c r="B43" s="20" t="n">
        <v>2013633</v>
      </c>
      <c r="C43" s="20" t="n">
        <v>1711588</v>
      </c>
      <c r="D43" s="20" t="inlineStr">
        <is>
          <t>0.006720</t>
        </is>
      </c>
      <c r="E43" s="20" t="inlineStr">
        <is>
          <t>0.205 SOL</t>
        </is>
      </c>
      <c r="F43" s="20" t="inlineStr">
        <is>
          <t>1.265 SOL</t>
        </is>
      </c>
      <c r="G43" s="23" t="inlineStr">
        <is>
          <t>1.053 SOL</t>
        </is>
      </c>
      <c r="H43" s="23" t="inlineStr">
        <is>
          <t>497.21%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28.10.2024 20:49:16</t>
        </is>
      </c>
      <c r="M43" s="20" t="inlineStr">
        <is>
          <t>3 hours</t>
        </is>
      </c>
      <c r="N43" s="20" t="inlineStr">
        <is>
          <t xml:space="preserve">         18K            18K            22K</t>
        </is>
      </c>
      <c r="O43" s="20" t="inlineStr">
        <is>
          <t>3WbARz9yrrPeNvxYTAqodqgmxsTS1fceKcuzep2Apump</t>
        </is>
      </c>
      <c r="P43" s="20">
        <f>HYPERLINK("https://photon-sol.tinyastro.io/en/lp/3WbARz9yrrPeNvxYTAqodqgmxsTS1fceKcuzep2Apump?handle=676050794bc1b1657a56b", "View")</f>
        <v/>
      </c>
    </row>
    <row r="44">
      <c r="A44" s="15" t="inlineStr">
        <is>
          <t>MORDUK</t>
        </is>
      </c>
      <c r="B44" s="16" t="n">
        <v>366944</v>
      </c>
      <c r="C44" s="16" t="n">
        <v>366944</v>
      </c>
      <c r="D44" s="16" t="inlineStr">
        <is>
          <t>0.010540</t>
        </is>
      </c>
      <c r="E44" s="16" t="inlineStr">
        <is>
          <t>1.000 SOL</t>
        </is>
      </c>
      <c r="F44" s="16" t="inlineStr">
        <is>
          <t>0.768 SOL</t>
        </is>
      </c>
      <c r="G44" s="21" t="inlineStr">
        <is>
          <t>-0.243 SOL</t>
        </is>
      </c>
      <c r="H44" s="21" t="inlineStr">
        <is>
          <t>-24.04%</t>
        </is>
      </c>
      <c r="I44" s="16" t="inlineStr">
        <is>
          <t>N/A</t>
        </is>
      </c>
      <c r="J44" s="16" t="n">
        <v>1</v>
      </c>
      <c r="K44" s="16" t="n">
        <v>2</v>
      </c>
      <c r="L44" s="16" t="inlineStr">
        <is>
          <t>28.10.2024 20:49:02</t>
        </is>
      </c>
      <c r="M44" s="16" t="inlineStr">
        <is>
          <t>1 hours</t>
        </is>
      </c>
      <c r="N44" s="16" t="inlineStr">
        <is>
          <t xml:space="preserve">        470K           470K            92K</t>
        </is>
      </c>
      <c r="O44" s="16" t="inlineStr">
        <is>
          <t>FS3GYZEzE3zS1NdtCRfzrtc2fY7SWxk91b8Z843vpump</t>
        </is>
      </c>
      <c r="P44" s="16">
        <f>HYPERLINK("https://dexscreener.com/solana/FS3GYZEzE3zS1NdtCRfzrtc2fY7SWxk91b8Z843vpump", "View")</f>
        <v/>
      </c>
    </row>
    <row r="45">
      <c r="A45" s="19" t="inlineStr">
        <is>
          <t>GCRAI</t>
        </is>
      </c>
      <c r="B45" s="20" t="n">
        <v>1159434</v>
      </c>
      <c r="C45" s="20" t="n">
        <v>915953</v>
      </c>
      <c r="D45" s="20" t="inlineStr">
        <is>
          <t>0.013610</t>
        </is>
      </c>
      <c r="E45" s="20" t="inlineStr">
        <is>
          <t>1.000 SOL</t>
        </is>
      </c>
      <c r="F45" s="20" t="inlineStr">
        <is>
          <t>4.448 SOL</t>
        </is>
      </c>
      <c r="G45" s="23" t="inlineStr">
        <is>
          <t>3.434 SOL</t>
        </is>
      </c>
      <c r="H45" s="23" t="inlineStr">
        <is>
          <t>338.80%</t>
        </is>
      </c>
      <c r="I45" s="20" t="inlineStr">
        <is>
          <t>N/A</t>
        </is>
      </c>
      <c r="J45" s="20" t="n">
        <v>1</v>
      </c>
      <c r="K45" s="20" t="n">
        <v>2</v>
      </c>
      <c r="L45" s="20" t="inlineStr">
        <is>
          <t>28.10.2024 05:24:47</t>
        </is>
      </c>
      <c r="M45" s="20" t="inlineStr">
        <is>
          <t>2 hours</t>
        </is>
      </c>
      <c r="N45" s="20" t="inlineStr">
        <is>
          <t xml:space="preserve">        151K           643K            39K</t>
        </is>
      </c>
      <c r="O45" s="20" t="inlineStr">
        <is>
          <t>71gSnDo5vqite4mVpbKnaqoa6FsuXpamn8jCYZsApump</t>
        </is>
      </c>
      <c r="P45" s="20">
        <f>HYPERLINK("https://dexscreener.com/solana/71gSnDo5vqite4mVpbKnaqoa6FsuXpamn8jCYZsApump", "View")</f>
        <v/>
      </c>
    </row>
    <row r="46">
      <c r="A46" s="15" t="inlineStr">
        <is>
          <t>TDICK</t>
        </is>
      </c>
      <c r="B46" s="16" t="n">
        <v>1066359</v>
      </c>
      <c r="C46" s="16" t="n">
        <v>0</v>
      </c>
      <c r="D46" s="16" t="inlineStr">
        <is>
          <t>0.003130</t>
        </is>
      </c>
      <c r="E46" s="16" t="inlineStr">
        <is>
          <t>0.205 SOL</t>
        </is>
      </c>
      <c r="F46" s="16" t="inlineStr">
        <is>
          <t>0.000 SOL</t>
        </is>
      </c>
      <c r="G46" s="17" t="inlineStr">
        <is>
          <t>-0.208 SOL</t>
        </is>
      </c>
      <c r="H46" s="17" t="inlineStr">
        <is>
          <t>0.00%</t>
        </is>
      </c>
      <c r="I46" s="16" t="inlineStr">
        <is>
          <t>1,066,359</t>
        </is>
      </c>
      <c r="J46" s="16" t="n">
        <v>1</v>
      </c>
      <c r="K46" s="16" t="n">
        <v>0</v>
      </c>
      <c r="L46" s="16" t="inlineStr">
        <is>
          <t>28.10.2024 03:21:59</t>
        </is>
      </c>
      <c r="M46" s="18" t="inlineStr">
        <is>
          <t>0 sec</t>
        </is>
      </c>
      <c r="N46" s="16" t="inlineStr">
        <is>
          <t xml:space="preserve">         33K            33K             6K</t>
        </is>
      </c>
      <c r="O46" s="16" t="inlineStr">
        <is>
          <t>7d8KoPHrEVCu4m8Wn6ZqrjGNbW2PNrTShXCnyaCvpump</t>
        </is>
      </c>
      <c r="P46" s="16">
        <f>HYPERLINK("https://photon-sol.tinyastro.io/en/lp/7d8KoPHrEVCu4m8Wn6ZqrjGNbW2PNrTShXCnyaCvpump?handle=676050794bc1b1657a56b", "View")</f>
        <v/>
      </c>
    </row>
    <row r="47">
      <c r="A47" s="19" t="inlineStr">
        <is>
          <t>eliza</t>
        </is>
      </c>
      <c r="B47" s="20" t="n">
        <v>225213</v>
      </c>
      <c r="C47" s="20" t="n">
        <v>225213</v>
      </c>
      <c r="D47" s="20" t="inlineStr">
        <is>
          <t>0.006920</t>
        </is>
      </c>
      <c r="E47" s="20" t="inlineStr">
        <is>
          <t>1.000 SOL</t>
        </is>
      </c>
      <c r="F47" s="20" t="inlineStr">
        <is>
          <t>0.676 SOL</t>
        </is>
      </c>
      <c r="G47" s="21" t="inlineStr">
        <is>
          <t>-0.331 SOL</t>
        </is>
      </c>
      <c r="H47" s="21" t="inlineStr">
        <is>
          <t>-32.90%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27.10.2024 01:50:23</t>
        </is>
      </c>
      <c r="M47" s="20" t="inlineStr">
        <is>
          <t>9 min</t>
        </is>
      </c>
      <c r="N47" s="20" t="inlineStr">
        <is>
          <t xml:space="preserve">        780K           527K            59K</t>
        </is>
      </c>
      <c r="O47" s="20" t="inlineStr">
        <is>
          <t>4qe5LzsmEJwr2rusq2Q4tvtEB1wdtpH6CokuCmAKpump</t>
        </is>
      </c>
      <c r="P47" s="20">
        <f>HYPERLINK("https://dexscreener.com/solana/4qe5LzsmEJwr2rusq2Q4tvtEB1wdtpH6CokuCmAKpump", "View")</f>
        <v/>
      </c>
    </row>
    <row r="48">
      <c r="A48" s="15" t="inlineStr">
        <is>
          <t>Wiz</t>
        </is>
      </c>
      <c r="B48" s="16" t="n">
        <v>466363</v>
      </c>
      <c r="C48" s="16" t="n">
        <v>396408</v>
      </c>
      <c r="D48" s="16" t="inlineStr">
        <is>
          <t>0.010500</t>
        </is>
      </c>
      <c r="E48" s="16" t="inlineStr">
        <is>
          <t>1.000 SOL</t>
        </is>
      </c>
      <c r="F48" s="16" t="inlineStr">
        <is>
          <t>1.176 SOL</t>
        </is>
      </c>
      <c r="G48" s="22" t="inlineStr">
        <is>
          <t>0.166 SOL</t>
        </is>
      </c>
      <c r="H48" s="22" t="inlineStr">
        <is>
          <t>16.41%</t>
        </is>
      </c>
      <c r="I48" s="16" t="inlineStr">
        <is>
          <t>N/A</t>
        </is>
      </c>
      <c r="J48" s="16" t="n">
        <v>1</v>
      </c>
      <c r="K48" s="16" t="n">
        <v>2</v>
      </c>
      <c r="L48" s="16" t="inlineStr">
        <is>
          <t>27.10.2024 01:43:59</t>
        </is>
      </c>
      <c r="M48" s="16" t="inlineStr">
        <is>
          <t>3 hours</t>
        </is>
      </c>
      <c r="N48" s="16" t="inlineStr">
        <is>
          <t xml:space="preserve">        376K           446K           486K</t>
        </is>
      </c>
      <c r="O48" s="16" t="inlineStr">
        <is>
          <t>2TobzM4NNpEvyVAEpFC8AkxJGBHz8fFgMksK1gBy5dub</t>
        </is>
      </c>
      <c r="P48" s="16">
        <f>HYPERLINK("https://dexscreener.com/solana/2TobzM4NNpEvyVAEpFC8AkxJGBHz8fFgMksK1gBy5dub", "View")</f>
        <v/>
      </c>
    </row>
    <row r="49">
      <c r="A49" s="19" t="inlineStr">
        <is>
          <t>👰</t>
        </is>
      </c>
      <c r="B49" s="20" t="n">
        <v>2526370</v>
      </c>
      <c r="C49" s="20" t="n">
        <v>2526370</v>
      </c>
      <c r="D49" s="20" t="inlineStr">
        <is>
          <t>0.006610</t>
        </is>
      </c>
      <c r="E49" s="20" t="inlineStr">
        <is>
          <t>0.205 SOL</t>
        </is>
      </c>
      <c r="F49" s="20" t="inlineStr">
        <is>
          <t>0.002 SOL</t>
        </is>
      </c>
      <c r="G49" s="24" t="inlineStr">
        <is>
          <t>-0.209 SOL</t>
        </is>
      </c>
      <c r="H49" s="24" t="inlineStr">
        <is>
          <t>-98.94%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26.10.2024 02:29:26</t>
        </is>
      </c>
      <c r="M49" s="20" t="inlineStr">
        <is>
          <t>16 min</t>
        </is>
      </c>
      <c r="N49" s="20" t="inlineStr">
        <is>
          <t xml:space="preserve">         14K           N/A             5K</t>
        </is>
      </c>
      <c r="O49" s="20" t="inlineStr">
        <is>
          <t>Fo2ZFUu88YmLYRRGqv4zVtMMLuKMZS1KwAWDQKWjpump</t>
        </is>
      </c>
      <c r="P49" s="20">
        <f>HYPERLINK("https://photon-sol.tinyastro.io/en/lp/Fo2ZFUu88YmLYRRGqv4zVtMMLuKMZS1KwAWDQKWjpump?handle=676050794bc1b1657a56b", "View")</f>
        <v/>
      </c>
    </row>
    <row r="50">
      <c r="A50" s="15" t="inlineStr">
        <is>
          <t>Toly</t>
        </is>
      </c>
      <c r="B50" s="16" t="n">
        <v>2795795</v>
      </c>
      <c r="C50" s="16" t="n">
        <v>2795795</v>
      </c>
      <c r="D50" s="16" t="inlineStr">
        <is>
          <t>0.006920</t>
        </is>
      </c>
      <c r="E50" s="16" t="inlineStr">
        <is>
          <t>1.000 SOL</t>
        </is>
      </c>
      <c r="F50" s="16" t="inlineStr">
        <is>
          <t>0.561 SOL</t>
        </is>
      </c>
      <c r="G50" s="21" t="inlineStr">
        <is>
          <t>-0.446 SOL</t>
        </is>
      </c>
      <c r="H50" s="21" t="inlineStr">
        <is>
          <t>-44.28%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24.10.2024 22:44:22</t>
        </is>
      </c>
      <c r="M50" s="16" t="inlineStr">
        <is>
          <t>6 min</t>
        </is>
      </c>
      <c r="N50" s="16" t="inlineStr">
        <is>
          <t xml:space="preserve">         63K            35K            15K</t>
        </is>
      </c>
      <c r="O50" s="16" t="inlineStr">
        <is>
          <t>8LRpgKZU7e1ckqo6qFMCVmhHNRUAAwu1Nfkc37StXCRs</t>
        </is>
      </c>
      <c r="P50" s="16">
        <f>HYPERLINK("https://dexscreener.com/solana/8LRpgKZU7e1ckqo6qFMCVmhHNRUAAwu1Nfkc37StXCRs", "View")</f>
        <v/>
      </c>
    </row>
    <row r="51">
      <c r="A51" s="19" t="inlineStr">
        <is>
          <t>test</t>
        </is>
      </c>
      <c r="B51" s="20" t="n">
        <v>78720</v>
      </c>
      <c r="C51" s="20" t="n">
        <v>78720</v>
      </c>
      <c r="D51" s="20" t="inlineStr">
        <is>
          <t>0.006950</t>
        </is>
      </c>
      <c r="E51" s="20" t="inlineStr">
        <is>
          <t>1.000 SOL</t>
        </is>
      </c>
      <c r="F51" s="20" t="inlineStr">
        <is>
          <t>0.339 SOL</t>
        </is>
      </c>
      <c r="G51" s="24" t="inlineStr">
        <is>
          <t>-0.668 SOL</t>
        </is>
      </c>
      <c r="H51" s="24" t="inlineStr">
        <is>
          <t>-66.36%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24.10.2024 22:33:41</t>
        </is>
      </c>
      <c r="M51" s="20" t="inlineStr">
        <is>
          <t>30 min</t>
        </is>
      </c>
      <c r="N51" s="20" t="inlineStr">
        <is>
          <t xml:space="preserve">          2M             2M            16K</t>
        </is>
      </c>
      <c r="O51" s="20" t="inlineStr">
        <is>
          <t>451zhKaaoX9jt68s5rWpmSKp8uKSu9LZwNmsj5XLpump</t>
        </is>
      </c>
      <c r="P51" s="20">
        <f>HYPERLINK("https://dexscreener.com/solana/451zhKaaoX9jt68s5rWpmSKp8uKSu9LZwNmsj5XLpump", "View")</f>
        <v/>
      </c>
    </row>
    <row r="52">
      <c r="A52" s="15" t="inlineStr">
        <is>
          <t>OGTERMINAL</t>
        </is>
      </c>
      <c r="B52" s="16" t="n">
        <v>2889210</v>
      </c>
      <c r="C52" s="16" t="n">
        <v>2889210</v>
      </c>
      <c r="D52" s="16" t="inlineStr">
        <is>
          <t>0.006740</t>
        </is>
      </c>
      <c r="E52" s="16" t="inlineStr">
        <is>
          <t>1.005 SOL</t>
        </is>
      </c>
      <c r="F52" s="16" t="inlineStr">
        <is>
          <t>0.559 SOL</t>
        </is>
      </c>
      <c r="G52" s="21" t="inlineStr">
        <is>
          <t>-0.452 SOL</t>
        </is>
      </c>
      <c r="H52" s="21" t="inlineStr">
        <is>
          <t>-44.71%</t>
        </is>
      </c>
      <c r="I52" s="16" t="inlineStr">
        <is>
          <t>N/A</t>
        </is>
      </c>
      <c r="J52" s="16" t="n">
        <v>1</v>
      </c>
      <c r="K52" s="16" t="n">
        <v>1</v>
      </c>
      <c r="L52" s="16" t="inlineStr">
        <is>
          <t>24.10.2024 20:34:40</t>
        </is>
      </c>
      <c r="M52" s="16" t="inlineStr">
        <is>
          <t>9 min</t>
        </is>
      </c>
      <c r="N52" s="16" t="inlineStr">
        <is>
          <t xml:space="preserve">         61K            61K             4K</t>
        </is>
      </c>
      <c r="O52" s="16" t="inlineStr">
        <is>
          <t>G7P4CFMSavbFfMjxVxR46UDHwtHomnBd7MzJyLu3pump</t>
        </is>
      </c>
      <c r="P52" s="16">
        <f>HYPERLINK("https://photon-sol.tinyastro.io/en/lp/G7P4CFMSavbFfMjxVxR46UDHwtHomnBd7MzJyLu3pump?handle=676050794bc1b1657a56b", "View")</f>
        <v/>
      </c>
    </row>
    <row r="53">
      <c r="A53" s="19" t="inlineStr">
        <is>
          <t>TOM</t>
        </is>
      </c>
      <c r="B53" s="20" t="n">
        <v>4548441</v>
      </c>
      <c r="C53" s="20" t="n">
        <v>4548441</v>
      </c>
      <c r="D53" s="20" t="inlineStr">
        <is>
          <t>0.006620</t>
        </is>
      </c>
      <c r="E53" s="20" t="inlineStr">
        <is>
          <t>0.505 SOL</t>
        </is>
      </c>
      <c r="F53" s="20" t="inlineStr">
        <is>
          <t>0.004 SOL</t>
        </is>
      </c>
      <c r="G53" s="24" t="inlineStr">
        <is>
          <t>-0.507 SOL</t>
        </is>
      </c>
      <c r="H53" s="24" t="inlineStr">
        <is>
          <t>-99.17%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24.10.2024 20:08:14</t>
        </is>
      </c>
      <c r="M53" s="20" t="inlineStr">
        <is>
          <t>3 min</t>
        </is>
      </c>
      <c r="N53" s="20" t="inlineStr">
        <is>
          <t xml:space="preserve">         19K           N/A             4K</t>
        </is>
      </c>
      <c r="O53" s="20" t="inlineStr">
        <is>
          <t>Hu4hrnzCjeg4CWWyXvdfwsXNHU4yPFvJJPdmX7JGpump</t>
        </is>
      </c>
      <c r="P53" s="20">
        <f>HYPERLINK("https://photon-sol.tinyastro.io/en/lp/Hu4hrnzCjeg4CWWyXvdfwsXNHU4yPFvJJPdmX7JGpump?handle=676050794bc1b1657a56b", "View")</f>
        <v/>
      </c>
    </row>
    <row r="54">
      <c r="A54" s="15" t="inlineStr">
        <is>
          <t>MPAT</t>
        </is>
      </c>
      <c r="B54" s="16" t="n">
        <v>4364368</v>
      </c>
      <c r="C54" s="16" t="n">
        <v>4364368</v>
      </c>
      <c r="D54" s="16" t="inlineStr">
        <is>
          <t>0.010350</t>
        </is>
      </c>
      <c r="E54" s="16" t="inlineStr">
        <is>
          <t>1.005 SOL</t>
        </is>
      </c>
      <c r="F54" s="16" t="inlineStr">
        <is>
          <t>2.387 SOL</t>
        </is>
      </c>
      <c r="G54" s="23" t="inlineStr">
        <is>
          <t>1.371 SOL</t>
        </is>
      </c>
      <c r="H54" s="23" t="inlineStr">
        <is>
          <t>135.06%</t>
        </is>
      </c>
      <c r="I54" s="16" t="inlineStr">
        <is>
          <t>N/A</t>
        </is>
      </c>
      <c r="J54" s="16" t="n">
        <v>1</v>
      </c>
      <c r="K54" s="16" t="n">
        <v>2</v>
      </c>
      <c r="L54" s="16" t="inlineStr">
        <is>
          <t>24.10.2024 18:41:11</t>
        </is>
      </c>
      <c r="M54" s="16" t="inlineStr">
        <is>
          <t>42 min</t>
        </is>
      </c>
      <c r="N54" s="16" t="inlineStr">
        <is>
          <t xml:space="preserve">         40K            40K            23K</t>
        </is>
      </c>
      <c r="O54" s="16" t="inlineStr">
        <is>
          <t>5erQKZrsPgemDfuLVDMNcB4J85pPmDD78Zp1gsiWpump</t>
        </is>
      </c>
      <c r="P54" s="16">
        <f>HYPERLINK("https://photon-sol.tinyastro.io/en/lp/5erQKZrsPgemDfuLVDMNcB4J85pPmDD78Zp1gsiWpump?handle=676050794bc1b1657a56b", "View")</f>
        <v/>
      </c>
    </row>
    <row r="55">
      <c r="A55" s="19" t="inlineStr">
        <is>
          <t>aindian</t>
        </is>
      </c>
      <c r="B55" s="20" t="n">
        <v>26493919</v>
      </c>
      <c r="C55" s="20" t="n">
        <v>26493919</v>
      </c>
      <c r="D55" s="20" t="inlineStr">
        <is>
          <t>0.010150</t>
        </is>
      </c>
      <c r="E55" s="20" t="inlineStr">
        <is>
          <t>1.007 SOL</t>
        </is>
      </c>
      <c r="F55" s="20" t="inlineStr">
        <is>
          <t>0.011 SOL</t>
        </is>
      </c>
      <c r="G55" s="24" t="inlineStr">
        <is>
          <t>-1.006 SOL</t>
        </is>
      </c>
      <c r="H55" s="24" t="inlineStr">
        <is>
          <t>-98.87%</t>
        </is>
      </c>
      <c r="I55" s="20" t="inlineStr">
        <is>
          <t>N/A</t>
        </is>
      </c>
      <c r="J55" s="20" t="n">
        <v>1</v>
      </c>
      <c r="K55" s="20" t="n">
        <v>2</v>
      </c>
      <c r="L55" s="20" t="inlineStr">
        <is>
          <t>24.10.2024 18:05:42</t>
        </is>
      </c>
      <c r="M55" s="20" t="inlineStr">
        <is>
          <t>49 min</t>
        </is>
      </c>
      <c r="N55" s="20" t="inlineStr">
        <is>
          <t xml:space="preserve">          7K           N/A             6K</t>
        </is>
      </c>
      <c r="O55" s="20" t="inlineStr">
        <is>
          <t>98R6q67jbc2WcGAkdV8bD1WbtXyrXZ1ceiM61LCnpump</t>
        </is>
      </c>
      <c r="P55" s="20">
        <f>HYPERLINK("https://photon-sol.tinyastro.io/en/lp/98R6q67jbc2WcGAkdV8bD1WbtXyrXZ1ceiM61LCnpump?handle=676050794bc1b1657a56b", "View")</f>
        <v/>
      </c>
    </row>
    <row r="56">
      <c r="A56" s="15" t="inlineStr">
        <is>
          <t>McColi</t>
        </is>
      </c>
      <c r="B56" s="16" t="n">
        <v>11707782</v>
      </c>
      <c r="C56" s="16" t="n">
        <v>11707782</v>
      </c>
      <c r="D56" s="16" t="inlineStr">
        <is>
          <t>0.006620</t>
        </is>
      </c>
      <c r="E56" s="16" t="inlineStr">
        <is>
          <t>0.505 SOL</t>
        </is>
      </c>
      <c r="F56" s="16" t="inlineStr">
        <is>
          <t>0.005 SOL</t>
        </is>
      </c>
      <c r="G56" s="24" t="inlineStr">
        <is>
          <t>-0.506 SOL</t>
        </is>
      </c>
      <c r="H56" s="24" t="inlineStr">
        <is>
          <t>-98.97%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24.10.2024 16:04:19</t>
        </is>
      </c>
      <c r="M56" s="16" t="inlineStr">
        <is>
          <t>44 min</t>
        </is>
      </c>
      <c r="N56" s="16" t="inlineStr">
        <is>
          <t xml:space="preserve">          7K           N/A             5K</t>
        </is>
      </c>
      <c r="O56" s="16" t="inlineStr">
        <is>
          <t>BGtsquJNAJBtn4rPyJdXBETEwcDB9LFWAP2WQkKFpump</t>
        </is>
      </c>
      <c r="P56" s="16">
        <f>HYPERLINK("https://photon-sol.tinyastro.io/en/lp/BGtsquJNAJBtn4rPyJdXBETEwcDB9LFWAP2WQkKFpump?handle=676050794bc1b1657a56b", "View")</f>
        <v/>
      </c>
    </row>
    <row r="57">
      <c r="A57" s="19" t="inlineStr">
        <is>
          <t>Cat</t>
        </is>
      </c>
      <c r="B57" s="20" t="n">
        <v>2256122</v>
      </c>
      <c r="C57" s="20" t="n">
        <v>2256122</v>
      </c>
      <c r="D57" s="20" t="inlineStr">
        <is>
          <t>0.006910</t>
        </is>
      </c>
      <c r="E57" s="20" t="inlineStr">
        <is>
          <t>1.000 SOL</t>
        </is>
      </c>
      <c r="F57" s="20" t="inlineStr">
        <is>
          <t>0.810 SOL</t>
        </is>
      </c>
      <c r="G57" s="21" t="inlineStr">
        <is>
          <t>-0.197 SOL</t>
        </is>
      </c>
      <c r="H57" s="21" t="inlineStr">
        <is>
          <t>-19.59%</t>
        </is>
      </c>
      <c r="I57" s="20" t="inlineStr">
        <is>
          <t>N/A</t>
        </is>
      </c>
      <c r="J57" s="20" t="n">
        <v>1</v>
      </c>
      <c r="K57" s="20" t="n">
        <v>1</v>
      </c>
      <c r="L57" s="20" t="inlineStr">
        <is>
          <t>24.10.2024 03:30:56</t>
        </is>
      </c>
      <c r="M57" s="20" t="inlineStr">
        <is>
          <t>3 min</t>
        </is>
      </c>
      <c r="N57" s="20" t="inlineStr">
        <is>
          <t xml:space="preserve">         77K            63K             5K</t>
        </is>
      </c>
      <c r="O57" s="20" t="inlineStr">
        <is>
          <t>8qkVr6Bcsty7tZdzWDj5tJdmSCUBnDzjZq1DnDENpump</t>
        </is>
      </c>
      <c r="P57" s="20">
        <f>HYPERLINK("https://dexscreener.com/solana/8qkVr6Bcsty7tZdzWDj5tJdmSCUBnDzjZq1DnDENpump", "View")</f>
        <v/>
      </c>
    </row>
    <row r="58">
      <c r="A58" s="15" t="inlineStr">
        <is>
          <t>CLAUD</t>
        </is>
      </c>
      <c r="B58" s="16" t="n">
        <v>3022481</v>
      </c>
      <c r="C58" s="16" t="n">
        <v>3022481</v>
      </c>
      <c r="D58" s="16" t="inlineStr">
        <is>
          <t>0.010010</t>
        </is>
      </c>
      <c r="E58" s="16" t="inlineStr">
        <is>
          <t>1.001 SOL</t>
        </is>
      </c>
      <c r="F58" s="16" t="inlineStr">
        <is>
          <t>0.664 SOL</t>
        </is>
      </c>
      <c r="G58" s="21" t="inlineStr">
        <is>
          <t>-0.347 SOL</t>
        </is>
      </c>
      <c r="H58" s="21" t="inlineStr">
        <is>
          <t>-34.31%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24.10.2024 03:30:51</t>
        </is>
      </c>
      <c r="M58" s="16" t="inlineStr">
        <is>
          <t>1 min</t>
        </is>
      </c>
      <c r="N58" s="16" t="inlineStr">
        <is>
          <t xml:space="preserve">        N/A           N/A           N/A</t>
        </is>
      </c>
      <c r="O58" s="16" t="inlineStr">
        <is>
          <t>5hUvWQmLXBSZPTm6E2x95fhSMj5AuAaYXZr5LAau5yYg</t>
        </is>
      </c>
      <c r="P58" s="16">
        <f>HYPERLINK("https://photon-sol.tinyastro.io/en/lp/5hUvWQmLXBSZPTm6E2x95fhSMj5AuAaYXZr5LAau5yYg?handle=676050794bc1b1657a56b", "View")</f>
        <v/>
      </c>
    </row>
    <row r="59">
      <c r="A59" s="19" t="inlineStr">
        <is>
          <t>bop</t>
        </is>
      </c>
      <c r="B59" s="20" t="n">
        <v>62993659</v>
      </c>
      <c r="C59" s="20" t="n">
        <v>62993659</v>
      </c>
      <c r="D59" s="20" t="inlineStr">
        <is>
          <t>0.008550</t>
        </is>
      </c>
      <c r="E59" s="20" t="inlineStr">
        <is>
          <t>5.502 SOL</t>
        </is>
      </c>
      <c r="F59" s="20" t="inlineStr">
        <is>
          <t>0.020 SOL</t>
        </is>
      </c>
      <c r="G59" s="24" t="inlineStr">
        <is>
          <t>-5.490 SOL</t>
        </is>
      </c>
      <c r="H59" s="24" t="inlineStr">
        <is>
          <t>-99.63%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23.10.2024 22:19:27</t>
        </is>
      </c>
      <c r="M59" s="20" t="inlineStr">
        <is>
          <t>1 days</t>
        </is>
      </c>
      <c r="N59" s="20" t="inlineStr">
        <is>
          <t xml:space="preserve">         16K            16K             5K</t>
        </is>
      </c>
      <c r="O59" s="20" t="inlineStr">
        <is>
          <t>Hgsbup8esL7ATAojF1zQ3uNqiuE5mHwy4TDpB5iEE4DU</t>
        </is>
      </c>
      <c r="P59" s="20">
        <f>HYPERLINK("https://photon-sol.tinyastro.io/en/lp/Hgsbup8esL7ATAojF1zQ3uNqiuE5mHwy4TDpB5iEE4DU?handle=676050794bc1b1657a56b", "View")</f>
        <v/>
      </c>
    </row>
    <row r="60">
      <c r="A60" s="15" t="inlineStr">
        <is>
          <t>DOTS</t>
        </is>
      </c>
      <c r="B60" s="16" t="n">
        <v>304795</v>
      </c>
      <c r="C60" s="16" t="n">
        <v>304795</v>
      </c>
      <c r="D60" s="16" t="inlineStr">
        <is>
          <t>0.006950</t>
        </is>
      </c>
      <c r="E60" s="16" t="inlineStr">
        <is>
          <t>1.000 SOL</t>
        </is>
      </c>
      <c r="F60" s="16" t="inlineStr">
        <is>
          <t>0.669 SOL</t>
        </is>
      </c>
      <c r="G60" s="21" t="inlineStr">
        <is>
          <t>-0.338 SOL</t>
        </is>
      </c>
      <c r="H60" s="21" t="inlineStr">
        <is>
          <t>-33.58%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23.10.2024 22:15:26</t>
        </is>
      </c>
      <c r="M60" s="16" t="inlineStr">
        <is>
          <t>6 min</t>
        </is>
      </c>
      <c r="N60" s="16" t="inlineStr">
        <is>
          <t xml:space="preserve">        576K           384K            25K</t>
        </is>
      </c>
      <c r="O60" s="16" t="inlineStr">
        <is>
          <t>HTYdC5YeGTZ88NA9h1WKzzamoXDcjRGxsjaeq4qjpump</t>
        </is>
      </c>
      <c r="P60" s="16">
        <f>HYPERLINK("https://dexscreener.com/solana/HTYdC5YeGTZ88NA9h1WKzzamoXDcjRGxsjaeq4qjpump", "View")</f>
        <v/>
      </c>
    </row>
    <row r="61">
      <c r="A61" s="19" t="inlineStr">
        <is>
          <t>FurryAI</t>
        </is>
      </c>
      <c r="B61" s="20" t="n">
        <v>439611</v>
      </c>
      <c r="C61" s="20" t="n">
        <v>421563</v>
      </c>
      <c r="D61" s="20" t="inlineStr">
        <is>
          <t>0.014080</t>
        </is>
      </c>
      <c r="E61" s="20" t="inlineStr">
        <is>
          <t>2.000 SOL</t>
        </is>
      </c>
      <c r="F61" s="20" t="inlineStr">
        <is>
          <t>1.636 SOL</t>
        </is>
      </c>
      <c r="G61" s="21" t="inlineStr">
        <is>
          <t>-0.378 SOL</t>
        </is>
      </c>
      <c r="H61" s="21" t="inlineStr">
        <is>
          <t>-18.78%</t>
        </is>
      </c>
      <c r="I61" s="20" t="inlineStr">
        <is>
          <t>N/A</t>
        </is>
      </c>
      <c r="J61" s="20" t="n">
        <v>2</v>
      </c>
      <c r="K61" s="20" t="n">
        <v>2</v>
      </c>
      <c r="L61" s="20" t="inlineStr">
        <is>
          <t>23.10.2024 19:32:46</t>
        </is>
      </c>
      <c r="M61" s="20" t="inlineStr">
        <is>
          <t>26 min</t>
        </is>
      </c>
      <c r="N61" s="20" t="inlineStr">
        <is>
          <t xml:space="preserve">        973K           678K            19K</t>
        </is>
      </c>
      <c r="O61" s="20" t="inlineStr">
        <is>
          <t>9LfMC4nKssr3wg1iAdBPXt97AQ1sFJBLVdP8UDHmpump</t>
        </is>
      </c>
      <c r="P61" s="20">
        <f>HYPERLINK("https://dexscreener.com/solana/9LfMC4nKssr3wg1iAdBPXt97AQ1sFJBLVdP8UDHmpump", "View")</f>
        <v/>
      </c>
    </row>
    <row r="62">
      <c r="A62" s="15" t="inlineStr">
        <is>
          <t>GOATS</t>
        </is>
      </c>
      <c r="B62" s="16" t="n">
        <v>494893</v>
      </c>
      <c r="C62" s="16" t="n">
        <v>494893</v>
      </c>
      <c r="D62" s="16" t="inlineStr">
        <is>
          <t>0.006920</t>
        </is>
      </c>
      <c r="E62" s="16" t="inlineStr">
        <is>
          <t>1.000 SOL</t>
        </is>
      </c>
      <c r="F62" s="16" t="inlineStr">
        <is>
          <t>0.336 SOL</t>
        </is>
      </c>
      <c r="G62" s="24" t="inlineStr">
        <is>
          <t>-0.671 SOL</t>
        </is>
      </c>
      <c r="H62" s="24" t="inlineStr">
        <is>
          <t>-66.68%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23.10.2024 19:15:42</t>
        </is>
      </c>
      <c r="M62" s="16" t="inlineStr">
        <is>
          <t>5 min</t>
        </is>
      </c>
      <c r="N62" s="16" t="inlineStr">
        <is>
          <t xml:space="preserve">        355K           119K             6K</t>
        </is>
      </c>
      <c r="O62" s="16" t="inlineStr">
        <is>
          <t>6vfibQzTCFHXWnR4W2pz7uZFVxX4MC6fJBbMp3cDpump</t>
        </is>
      </c>
      <c r="P62" s="16">
        <f>HYPERLINK("https://dexscreener.com/solana/6vfibQzTCFHXWnR4W2pz7uZFVxX4MC6fJBbMp3cDpump", "View")</f>
        <v/>
      </c>
    </row>
    <row r="63">
      <c r="A63" s="19" t="inlineStr">
        <is>
          <t>PSTAR</t>
        </is>
      </c>
      <c r="B63" s="20" t="n">
        <v>33665</v>
      </c>
      <c r="C63" s="20" t="n">
        <v>33665</v>
      </c>
      <c r="D63" s="20" t="inlineStr">
        <is>
          <t>0.006890</t>
        </is>
      </c>
      <c r="E63" s="20" t="inlineStr">
        <is>
          <t>1.000 SOL</t>
        </is>
      </c>
      <c r="F63" s="20" t="inlineStr">
        <is>
          <t>0.719 SOL</t>
        </is>
      </c>
      <c r="G63" s="21" t="inlineStr">
        <is>
          <t>-0.288 SOL</t>
        </is>
      </c>
      <c r="H63" s="21" t="inlineStr">
        <is>
          <t>-28.59%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23.10.2024 17:50:37</t>
        </is>
      </c>
      <c r="M63" s="20" t="inlineStr">
        <is>
          <t>24 min</t>
        </is>
      </c>
      <c r="N63" s="20" t="inlineStr">
        <is>
          <t xml:space="preserve">          5M             4M            35K</t>
        </is>
      </c>
      <c r="O63" s="20" t="inlineStr">
        <is>
          <t>8Z2h8VsYqUoExZNwrtGQ1LQiHru6nnUsPSpvCwNapump</t>
        </is>
      </c>
      <c r="P63" s="20">
        <f>HYPERLINK("https://dexscreener.com/solana/8Z2h8VsYqUoExZNwrtGQ1LQiHru6nnUsPSpvCwNapump", "View")</f>
        <v/>
      </c>
    </row>
    <row r="64">
      <c r="A64" s="15" t="inlineStr">
        <is>
          <t>flux</t>
        </is>
      </c>
      <c r="B64" s="16" t="n">
        <v>217093</v>
      </c>
      <c r="C64" s="16" t="n">
        <v>217093</v>
      </c>
      <c r="D64" s="16" t="inlineStr">
        <is>
          <t>0.010540</t>
        </is>
      </c>
      <c r="E64" s="16" t="inlineStr">
        <is>
          <t>1.000 SOL</t>
        </is>
      </c>
      <c r="F64" s="16" t="inlineStr">
        <is>
          <t>1.304 SOL</t>
        </is>
      </c>
      <c r="G64" s="22" t="inlineStr">
        <is>
          <t>0.294 SOL</t>
        </is>
      </c>
      <c r="H64" s="22" t="inlineStr">
        <is>
          <t>29.07%</t>
        </is>
      </c>
      <c r="I64" s="16" t="inlineStr">
        <is>
          <t>N/A</t>
        </is>
      </c>
      <c r="J64" s="16" t="n">
        <v>1</v>
      </c>
      <c r="K64" s="16" t="n">
        <v>2</v>
      </c>
      <c r="L64" s="16" t="inlineStr">
        <is>
          <t>23.10.2024 17:27:21</t>
        </is>
      </c>
      <c r="M64" s="16" t="inlineStr">
        <is>
          <t>1 hours</t>
        </is>
      </c>
      <c r="N64" s="16" t="inlineStr">
        <is>
          <t xml:space="preserve">        809K           809K            17K</t>
        </is>
      </c>
      <c r="O64" s="16" t="inlineStr">
        <is>
          <t>3xhDkG9BgTBnwM5D3PACpJxwtmJ1Py9LzpvmkD67pump</t>
        </is>
      </c>
      <c r="P64" s="16">
        <f>HYPERLINK("https://dexscreener.com/solana/3xhDkG9BgTBnwM5D3PACpJxwtmJ1Py9LzpvmkD67pump", "View")</f>
        <v/>
      </c>
    </row>
    <row r="65">
      <c r="A65" s="19" t="inlineStr">
        <is>
          <t>$LYNX</t>
        </is>
      </c>
      <c r="B65" s="20" t="n">
        <v>63261</v>
      </c>
      <c r="C65" s="20" t="n">
        <v>63261</v>
      </c>
      <c r="D65" s="20" t="inlineStr">
        <is>
          <t>0.010530</t>
        </is>
      </c>
      <c r="E65" s="20" t="inlineStr">
        <is>
          <t>1.000 SOL</t>
        </is>
      </c>
      <c r="F65" s="20" t="inlineStr">
        <is>
          <t>0.340 SOL</t>
        </is>
      </c>
      <c r="G65" s="24" t="inlineStr">
        <is>
          <t>-0.670 SOL</t>
        </is>
      </c>
      <c r="H65" s="24" t="inlineStr">
        <is>
          <t>-66.34%</t>
        </is>
      </c>
      <c r="I65" s="20" t="inlineStr">
        <is>
          <t>N/A</t>
        </is>
      </c>
      <c r="J65" s="20" t="n">
        <v>1</v>
      </c>
      <c r="K65" s="20" t="n">
        <v>2</v>
      </c>
      <c r="L65" s="20" t="inlineStr">
        <is>
          <t>23.10.2024 00:00:20</t>
        </is>
      </c>
      <c r="M65" s="20" t="inlineStr">
        <is>
          <t>51 min</t>
        </is>
      </c>
      <c r="N65" s="20" t="inlineStr">
        <is>
          <t xml:space="preserve">          3M             3M            21K</t>
        </is>
      </c>
      <c r="O65" s="20" t="inlineStr">
        <is>
          <t>HYTWunEns5k3CBBrr8gTJjNqA93avuEPB3RB1Kud3MWg</t>
        </is>
      </c>
      <c r="P65" s="20">
        <f>HYPERLINK("https://dexscreener.com/solana/HYTWunEns5k3CBBrr8gTJjNqA93avuEPB3RB1Kud3MWg", "View")</f>
        <v/>
      </c>
    </row>
    <row r="66">
      <c r="A66" s="15" t="inlineStr">
        <is>
          <t>Hypnos</t>
        </is>
      </c>
      <c r="B66" s="16" t="n">
        <v>1087320</v>
      </c>
      <c r="C66" s="16" t="n">
        <v>1087320</v>
      </c>
      <c r="D66" s="16" t="inlineStr">
        <is>
          <t>0.006950</t>
        </is>
      </c>
      <c r="E66" s="16" t="inlineStr">
        <is>
          <t>1.000 SOL</t>
        </is>
      </c>
      <c r="F66" s="16" t="inlineStr">
        <is>
          <t>0.870 SOL</t>
        </is>
      </c>
      <c r="G66" s="21" t="inlineStr">
        <is>
          <t>-0.137 SOL</t>
        </is>
      </c>
      <c r="H66" s="21" t="inlineStr">
        <is>
          <t>-13.62%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22.10.2024 22:18:06</t>
        </is>
      </c>
      <c r="M66" s="16" t="inlineStr">
        <is>
          <t>23 min</t>
        </is>
      </c>
      <c r="N66" s="16" t="inlineStr">
        <is>
          <t xml:space="preserve">        162K           141K             7K</t>
        </is>
      </c>
      <c r="O66" s="16" t="inlineStr">
        <is>
          <t>HoCWaomS3AYW2wooARY8WySCdHxywzx5owmxotn7pump</t>
        </is>
      </c>
      <c r="P66" s="16">
        <f>HYPERLINK("https://dexscreener.com/solana/HoCWaomS3AYW2wooARY8WySCdHxywzx5owmxotn7pump", "View")</f>
        <v/>
      </c>
    </row>
    <row r="67">
      <c r="A67" s="19" t="inlineStr">
        <is>
          <t>TRAIMP</t>
        </is>
      </c>
      <c r="B67" s="20" t="n">
        <v>178540</v>
      </c>
      <c r="C67" s="20" t="n">
        <v>178540</v>
      </c>
      <c r="D67" s="20" t="inlineStr">
        <is>
          <t>0.006950</t>
        </is>
      </c>
      <c r="E67" s="20" t="inlineStr">
        <is>
          <t>1.000 SOL</t>
        </is>
      </c>
      <c r="F67" s="20" t="inlineStr">
        <is>
          <t>0.941 SOL</t>
        </is>
      </c>
      <c r="G67" s="21" t="inlineStr">
        <is>
          <t>-0.066 SOL</t>
        </is>
      </c>
      <c r="H67" s="21" t="inlineStr">
        <is>
          <t>-6.52%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22.10.2024 21:43:13</t>
        </is>
      </c>
      <c r="M67" s="20" t="inlineStr">
        <is>
          <t>3 min</t>
        </is>
      </c>
      <c r="N67" s="20" t="inlineStr">
        <is>
          <t xml:space="preserve">        984K           926K           222K</t>
        </is>
      </c>
      <c r="O67" s="20" t="inlineStr">
        <is>
          <t>TrUPjEqGpUph6sMJX8C3yYja9u4RcVUGTCkGG4xLrjG</t>
        </is>
      </c>
      <c r="P67" s="20">
        <f>HYPERLINK("https://dexscreener.com/solana/TrUPjEqGpUph6sMJX8C3yYja9u4RcVUGTCkGG4xLrjG", "View")</f>
        <v/>
      </c>
    </row>
    <row r="68">
      <c r="A68" s="15" t="inlineStr">
        <is>
          <t>Miya</t>
        </is>
      </c>
      <c r="B68" s="16" t="n">
        <v>2604044</v>
      </c>
      <c r="C68" s="16" t="n">
        <v>2604044</v>
      </c>
      <c r="D68" s="16" t="inlineStr">
        <is>
          <t>0.011950</t>
        </is>
      </c>
      <c r="E68" s="16" t="inlineStr">
        <is>
          <t>5.000 SOL</t>
        </is>
      </c>
      <c r="F68" s="16" t="inlineStr">
        <is>
          <t>5.132 SOL</t>
        </is>
      </c>
      <c r="G68" s="22" t="inlineStr">
        <is>
          <t>0.120 SOL</t>
        </is>
      </c>
      <c r="H68" s="22" t="inlineStr">
        <is>
          <t>2.40%</t>
        </is>
      </c>
      <c r="I68" s="16" t="inlineStr">
        <is>
          <t>N/A</t>
        </is>
      </c>
      <c r="J68" s="16" t="n">
        <v>1</v>
      </c>
      <c r="K68" s="16" t="n">
        <v>2</v>
      </c>
      <c r="L68" s="16" t="inlineStr">
        <is>
          <t>22.10.2024 21:33:35</t>
        </is>
      </c>
      <c r="M68" s="16" t="inlineStr">
        <is>
          <t>24 min</t>
        </is>
      </c>
      <c r="N68" s="16" t="inlineStr">
        <is>
          <t xml:space="preserve">        330K           330K           237K</t>
        </is>
      </c>
      <c r="O68" s="16" t="inlineStr">
        <is>
          <t>964ssiZnVnZJrjCDvCbBuwgsozW13gmGtJdPWTAwpump</t>
        </is>
      </c>
      <c r="P68" s="16">
        <f>HYPERLINK("https://dexscreener.com/solana/964ssiZnVnZJrjCDvCbBuwgsozW13gmGtJdPWTAwpump", "View")</f>
        <v/>
      </c>
    </row>
    <row r="69">
      <c r="A69" s="19" t="inlineStr">
        <is>
          <t>AI</t>
        </is>
      </c>
      <c r="B69" s="20" t="n">
        <v>7112167</v>
      </c>
      <c r="C69" s="20" t="n">
        <v>7112167</v>
      </c>
      <c r="D69" s="20" t="inlineStr">
        <is>
          <t>0.006930</t>
        </is>
      </c>
      <c r="E69" s="20" t="inlineStr">
        <is>
          <t>5.000 SOL</t>
        </is>
      </c>
      <c r="F69" s="20" t="inlineStr">
        <is>
          <t>2.784 SOL</t>
        </is>
      </c>
      <c r="G69" s="21" t="inlineStr">
        <is>
          <t>-2.222 SOL</t>
        </is>
      </c>
      <c r="H69" s="21" t="inlineStr">
        <is>
          <t>-44.39%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22.10.2024 20:32:05</t>
        </is>
      </c>
      <c r="M69" s="20" t="inlineStr">
        <is>
          <t>1 min</t>
        </is>
      </c>
      <c r="N69" s="20" t="inlineStr">
        <is>
          <t xml:space="preserve">        123K            68K             7K</t>
        </is>
      </c>
      <c r="O69" s="20" t="inlineStr">
        <is>
          <t>7dkTdfNjiGDd1QAvwhTJGTFoWZRsPGn23YSaiRK7pump</t>
        </is>
      </c>
      <c r="P69" s="20">
        <f>HYPERLINK("https://dexscreener.com/solana/7dkTdfNjiGDd1QAvwhTJGTFoWZRsPGn23YSaiRK7pump", "View")</f>
        <v/>
      </c>
    </row>
    <row r="70">
      <c r="A70" s="15" t="inlineStr">
        <is>
          <t>POP</t>
        </is>
      </c>
      <c r="B70" s="16" t="n">
        <v>3365092</v>
      </c>
      <c r="C70" s="16" t="n">
        <v>0</v>
      </c>
      <c r="D70" s="16" t="inlineStr">
        <is>
          <t>0.003150</t>
        </is>
      </c>
      <c r="E70" s="16" t="inlineStr">
        <is>
          <t>1.005 SOL</t>
        </is>
      </c>
      <c r="F70" s="16" t="inlineStr">
        <is>
          <t>0.000 SOL</t>
        </is>
      </c>
      <c r="G70" s="17" t="inlineStr">
        <is>
          <t>-1.008 SOL</t>
        </is>
      </c>
      <c r="H70" s="17" t="inlineStr">
        <is>
          <t>0.00%</t>
        </is>
      </c>
      <c r="I70" s="16" t="inlineStr">
        <is>
          <t>3,365,092</t>
        </is>
      </c>
      <c r="J70" s="16" t="n">
        <v>1</v>
      </c>
      <c r="K70" s="16" t="n">
        <v>0</v>
      </c>
      <c r="L70" s="16" t="inlineStr">
        <is>
          <t>22.10.2024 19:09:43</t>
        </is>
      </c>
      <c r="M70" s="18" t="inlineStr">
        <is>
          <t>0 sec</t>
        </is>
      </c>
      <c r="N70" s="16" t="inlineStr">
        <is>
          <t xml:space="preserve">         53K            53K             6K</t>
        </is>
      </c>
      <c r="O70" s="16" t="inlineStr">
        <is>
          <t>7RvLBy3MdTVqEE5Eces1izuJzYTzvNYkgWQPnp2Dpump</t>
        </is>
      </c>
      <c r="P70" s="16">
        <f>HYPERLINK("https://photon-sol.tinyastro.io/en/lp/7RvLBy3MdTVqEE5Eces1izuJzYTzvNYkgWQPnp2Dpump?handle=676050794bc1b1657a56b", "View")</f>
        <v/>
      </c>
    </row>
    <row r="71">
      <c r="A71" s="19" t="inlineStr">
        <is>
          <t>LILMIQUELA</t>
        </is>
      </c>
      <c r="B71" s="20" t="n">
        <v>1130091</v>
      </c>
      <c r="C71" s="20" t="n">
        <v>1130091</v>
      </c>
      <c r="D71" s="20" t="inlineStr">
        <is>
          <t>0.006950</t>
        </is>
      </c>
      <c r="E71" s="20" t="inlineStr">
        <is>
          <t>1.000 SOL</t>
        </is>
      </c>
      <c r="F71" s="20" t="inlineStr">
        <is>
          <t>1.134 SOL</t>
        </is>
      </c>
      <c r="G71" s="22" t="inlineStr">
        <is>
          <t>0.127 SOL</t>
        </is>
      </c>
      <c r="H71" s="22" t="inlineStr">
        <is>
          <t>12.62%</t>
        </is>
      </c>
      <c r="I71" s="20" t="inlineStr">
        <is>
          <t>N/A</t>
        </is>
      </c>
      <c r="J71" s="20" t="n">
        <v>1</v>
      </c>
      <c r="K71" s="20" t="n">
        <v>1</v>
      </c>
      <c r="L71" s="20" t="inlineStr">
        <is>
          <t>22.10.2024 18:27:53</t>
        </is>
      </c>
      <c r="M71" s="20" t="inlineStr">
        <is>
          <t>8 min</t>
        </is>
      </c>
      <c r="N71" s="20" t="inlineStr">
        <is>
          <t xml:space="preserve">        155K           176K            15K</t>
        </is>
      </c>
      <c r="O71" s="20" t="inlineStr">
        <is>
          <t>6yDq43NrbnGeVChQv9iPqcAP3uNCc5K459nLeMYbpump</t>
        </is>
      </c>
      <c r="P71" s="20">
        <f>HYPERLINK("https://dexscreener.com/solana/6yDq43NrbnGeVChQv9iPqcAP3uNCc5K459nLeMYbpump", "View")</f>
        <v/>
      </c>
    </row>
    <row r="72">
      <c r="A72" s="15" t="inlineStr">
        <is>
          <t>Bee</t>
        </is>
      </c>
      <c r="B72" s="16" t="n">
        <v>831600</v>
      </c>
      <c r="C72" s="16" t="n">
        <v>831600</v>
      </c>
      <c r="D72" s="16" t="inlineStr">
        <is>
          <t>0.006930</t>
        </is>
      </c>
      <c r="E72" s="16" t="inlineStr">
        <is>
          <t>1.000 SOL</t>
        </is>
      </c>
      <c r="F72" s="16" t="inlineStr">
        <is>
          <t>0.353 SOL</t>
        </is>
      </c>
      <c r="G72" s="24" t="inlineStr">
        <is>
          <t>-0.654 SOL</t>
        </is>
      </c>
      <c r="H72" s="24" t="inlineStr">
        <is>
          <t>-64.92%</t>
        </is>
      </c>
      <c r="I72" s="16" t="inlineStr">
        <is>
          <t>N/A</t>
        </is>
      </c>
      <c r="J72" s="16" t="n">
        <v>1</v>
      </c>
      <c r="K72" s="16" t="n">
        <v>1</v>
      </c>
      <c r="L72" s="16" t="inlineStr">
        <is>
          <t>22.10.2024 18:15:55</t>
        </is>
      </c>
      <c r="M72" s="16" t="inlineStr">
        <is>
          <t>1 min</t>
        </is>
      </c>
      <c r="N72" s="16" t="inlineStr">
        <is>
          <t xml:space="preserve">        211K            74K             6K</t>
        </is>
      </c>
      <c r="O72" s="16" t="inlineStr">
        <is>
          <t>3Ns9ZzFUANXw6CZJfpF9Qye322oWLyuZHQADAzT8pump</t>
        </is>
      </c>
      <c r="P72" s="16">
        <f>HYPERLINK("https://dexscreener.com/solana/3Ns9ZzFUANXw6CZJfpF9Qye322oWLyuZHQADAzT8pump", "View")</f>
        <v/>
      </c>
    </row>
    <row r="73">
      <c r="A73" s="19" t="inlineStr">
        <is>
          <t>fun</t>
        </is>
      </c>
      <c r="B73" s="20" t="n">
        <v>28825</v>
      </c>
      <c r="C73" s="20" t="n">
        <v>28825</v>
      </c>
      <c r="D73" s="20" t="inlineStr">
        <is>
          <t>0.015550</t>
        </is>
      </c>
      <c r="E73" s="20" t="inlineStr">
        <is>
          <t>1.000 SOL</t>
        </is>
      </c>
      <c r="F73" s="20" t="inlineStr">
        <is>
          <t>1.671 SOL</t>
        </is>
      </c>
      <c r="G73" s="23" t="inlineStr">
        <is>
          <t>0.655 SOL</t>
        </is>
      </c>
      <c r="H73" s="23" t="inlineStr">
        <is>
          <t>64.53%</t>
        </is>
      </c>
      <c r="I73" s="20" t="inlineStr">
        <is>
          <t>N/A</t>
        </is>
      </c>
      <c r="J73" s="20" t="n">
        <v>1</v>
      </c>
      <c r="K73" s="20" t="n">
        <v>3</v>
      </c>
      <c r="L73" s="20" t="inlineStr">
        <is>
          <t>22.10.2024 04:44:42</t>
        </is>
      </c>
      <c r="M73" s="20" t="inlineStr">
        <is>
          <t>1 hours</t>
        </is>
      </c>
      <c r="N73" s="20" t="inlineStr">
        <is>
          <t xml:space="preserve">          6M             9M           325K</t>
        </is>
      </c>
      <c r="O73" s="20" t="inlineStr">
        <is>
          <t>9MnKTgwFyXJgnZumHGT9NdHuzm98ACjkNwpLniLhpump</t>
        </is>
      </c>
      <c r="P73" s="20">
        <f>HYPERLINK("https://dexscreener.com/solana/9MnKTgwFyXJgnZumHGT9NdHuzm98ACjkNwpLniLhpump", "View")</f>
        <v/>
      </c>
    </row>
    <row r="74">
      <c r="A74" s="15" t="inlineStr">
        <is>
          <t>CTO</t>
        </is>
      </c>
      <c r="B74" s="16" t="n">
        <v>6702735</v>
      </c>
      <c r="C74" s="16" t="n">
        <v>6702735</v>
      </c>
      <c r="D74" s="16" t="inlineStr">
        <is>
          <t>0.013950</t>
        </is>
      </c>
      <c r="E74" s="16" t="inlineStr">
        <is>
          <t>1.005 SOL</t>
        </is>
      </c>
      <c r="F74" s="16" t="inlineStr">
        <is>
          <t>4.265 SOL</t>
        </is>
      </c>
      <c r="G74" s="23" t="inlineStr">
        <is>
          <t>3.246 SOL</t>
        </is>
      </c>
      <c r="H74" s="23" t="inlineStr">
        <is>
          <t>318.50%</t>
        </is>
      </c>
      <c r="I74" s="16" t="inlineStr">
        <is>
          <t>N/A</t>
        </is>
      </c>
      <c r="J74" s="16" t="n">
        <v>1</v>
      </c>
      <c r="K74" s="16" t="n">
        <v>3</v>
      </c>
      <c r="L74" s="16" t="inlineStr">
        <is>
          <t>22.10.2024 04:09:13</t>
        </is>
      </c>
      <c r="M74" s="16" t="inlineStr">
        <is>
          <t>21 min</t>
        </is>
      </c>
      <c r="N74" s="16" t="inlineStr">
        <is>
          <t xml:space="preserve">         26K            47K             4K</t>
        </is>
      </c>
      <c r="O74" s="16" t="inlineStr">
        <is>
          <t>Pw2JrtJAdZTvRkNqZVKCSzT1q23pdgoLrH86zMVpump</t>
        </is>
      </c>
      <c r="P74" s="16">
        <f>HYPERLINK("https://photon-sol.tinyastro.io/en/lp/Pw2JrtJAdZTvRkNqZVKCSzT1q23pdgoLrH86zMVpump?handle=676050794bc1b1657a56b", "View")</f>
        <v/>
      </c>
    </row>
    <row r="75">
      <c r="A75" s="19" t="inlineStr">
        <is>
          <t>Nganoo</t>
        </is>
      </c>
      <c r="B75" s="20" t="n">
        <v>2549375</v>
      </c>
      <c r="C75" s="20" t="n">
        <v>2549375</v>
      </c>
      <c r="D75" s="20" t="inlineStr">
        <is>
          <t>0.006950</t>
        </is>
      </c>
      <c r="E75" s="20" t="inlineStr">
        <is>
          <t>1.000 SOL</t>
        </is>
      </c>
      <c r="F75" s="20" t="inlineStr">
        <is>
          <t>0.549 SOL</t>
        </is>
      </c>
      <c r="G75" s="21" t="inlineStr">
        <is>
          <t>-0.458 SOL</t>
        </is>
      </c>
      <c r="H75" s="21" t="inlineStr">
        <is>
          <t>-45.47%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22.10.2024 04:08:42</t>
        </is>
      </c>
      <c r="M75" s="20" t="inlineStr">
        <is>
          <t>1 min</t>
        </is>
      </c>
      <c r="N75" s="20" t="inlineStr">
        <is>
          <t xml:space="preserve">         75K            42K            11K</t>
        </is>
      </c>
      <c r="O75" s="20" t="inlineStr">
        <is>
          <t>FdZAU6YvPLWUysQhRoZBEG1fWvfqtDmefBKFtezK2KHR</t>
        </is>
      </c>
      <c r="P75" s="20">
        <f>HYPERLINK("https://dexscreener.com/solana/FdZAU6YvPLWUysQhRoZBEG1fWvfqtDmefBKFtezK2KHR", "View")</f>
        <v/>
      </c>
    </row>
    <row r="76">
      <c r="A76" s="15" t="inlineStr">
        <is>
          <t>$ZYN</t>
        </is>
      </c>
      <c r="B76" s="16" t="n">
        <v>2429826</v>
      </c>
      <c r="C76" s="16" t="n">
        <v>2429826</v>
      </c>
      <c r="D76" s="16" t="inlineStr">
        <is>
          <t>0.006010</t>
        </is>
      </c>
      <c r="E76" s="16" t="inlineStr">
        <is>
          <t>0.500 SOL</t>
        </is>
      </c>
      <c r="F76" s="16" t="inlineStr">
        <is>
          <t>0.233 SOL</t>
        </is>
      </c>
      <c r="G76" s="24" t="inlineStr">
        <is>
          <t>-0.273 SOL</t>
        </is>
      </c>
      <c r="H76" s="24" t="inlineStr">
        <is>
          <t>-54.01%</t>
        </is>
      </c>
      <c r="I76" s="16" t="inlineStr">
        <is>
          <t>N/A</t>
        </is>
      </c>
      <c r="J76" s="16" t="n">
        <v>1</v>
      </c>
      <c r="K76" s="16" t="n">
        <v>2</v>
      </c>
      <c r="L76" s="16" t="inlineStr">
        <is>
          <t>22.10.2024 03:59:19</t>
        </is>
      </c>
      <c r="M76" s="16" t="inlineStr">
        <is>
          <t>2 months</t>
        </is>
      </c>
      <c r="N76" s="16" t="inlineStr">
        <is>
          <t xml:space="preserve">         37K            21K             3K</t>
        </is>
      </c>
      <c r="O76" s="16" t="inlineStr">
        <is>
          <t>99yYtjZET9xjcV8hxQKFYQYNPojy9exRD6b6KcApump</t>
        </is>
      </c>
      <c r="P76" s="16">
        <f>HYPERLINK("https://dexscreener.com/solana/99yYtjZET9xjcV8hxQKFYQYNPojy9exRD6b6KcApump", "View")</f>
        <v/>
      </c>
    </row>
    <row r="77">
      <c r="A77" s="19" t="inlineStr">
        <is>
          <t>yap</t>
        </is>
      </c>
      <c r="B77" s="20" t="n">
        <v>21431</v>
      </c>
      <c r="C77" s="20" t="n">
        <v>19287</v>
      </c>
      <c r="D77" s="20" t="inlineStr">
        <is>
          <t>0.006920</t>
        </is>
      </c>
      <c r="E77" s="20" t="inlineStr">
        <is>
          <t>1.000 SOL</t>
        </is>
      </c>
      <c r="F77" s="20" t="inlineStr">
        <is>
          <t>0.689 SOL</t>
        </is>
      </c>
      <c r="G77" s="21" t="inlineStr">
        <is>
          <t>-0.318 SOL</t>
        </is>
      </c>
      <c r="H77" s="21" t="inlineStr">
        <is>
          <t>-31.57%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21.10.2024 21:13:27</t>
        </is>
      </c>
      <c r="M77" s="20" t="inlineStr">
        <is>
          <t>3 hours</t>
        </is>
      </c>
      <c r="N77" s="20" t="inlineStr">
        <is>
          <t xml:space="preserve">          8M             6M           866K</t>
        </is>
      </c>
      <c r="O77" s="20" t="inlineStr">
        <is>
          <t>3gcdoCBQMKAFVopsQ377X7JhkcNPg9fwPY4eW46Apump</t>
        </is>
      </c>
      <c r="P77" s="20">
        <f>HYPERLINK("https://dexscreener.com/solana/3gcdoCBQMKAFVopsQ377X7JhkcNPg9fwPY4eW46Apump", "View")</f>
        <v/>
      </c>
    </row>
    <row r="78">
      <c r="A78" s="15" t="inlineStr">
        <is>
          <t xml:space="preserve">Penia </t>
        </is>
      </c>
      <c r="B78" s="16" t="n">
        <v>734158</v>
      </c>
      <c r="C78" s="16" t="n">
        <v>734158</v>
      </c>
      <c r="D78" s="16" t="inlineStr">
        <is>
          <t>0.006910</t>
        </is>
      </c>
      <c r="E78" s="16" t="inlineStr">
        <is>
          <t>1.000 SOL</t>
        </is>
      </c>
      <c r="F78" s="16" t="inlineStr">
        <is>
          <t>0.660 SOL</t>
        </is>
      </c>
      <c r="G78" s="21" t="inlineStr">
        <is>
          <t>-0.347 SOL</t>
        </is>
      </c>
      <c r="H78" s="21" t="inlineStr">
        <is>
          <t>-34.45%</t>
        </is>
      </c>
      <c r="I78" s="16" t="inlineStr">
        <is>
          <t>N/A</t>
        </is>
      </c>
      <c r="J78" s="16" t="n">
        <v>1</v>
      </c>
      <c r="K78" s="16" t="n">
        <v>1</v>
      </c>
      <c r="L78" s="16" t="inlineStr">
        <is>
          <t>21.10.2024 21:12:54</t>
        </is>
      </c>
      <c r="M78" s="16" t="inlineStr">
        <is>
          <t>1 hours</t>
        </is>
      </c>
      <c r="N78" s="16" t="inlineStr">
        <is>
          <t xml:space="preserve">        239K           158K            12K</t>
        </is>
      </c>
      <c r="O78" s="16" t="inlineStr">
        <is>
          <t>6QWTF7nbZaLWd63WpRkigEgJ6bHrTHtoXGy2zjsqpump</t>
        </is>
      </c>
      <c r="P78" s="16">
        <f>HYPERLINK("https://dexscreener.com/solana/6QWTF7nbZaLWd63WpRkigEgJ6bHrTHtoXGy2zjsqpump", "View")</f>
        <v/>
      </c>
    </row>
    <row r="79">
      <c r="A79" s="19" t="inlineStr">
        <is>
          <t>$slop</t>
        </is>
      </c>
      <c r="B79" s="20" t="n">
        <v>62370</v>
      </c>
      <c r="C79" s="20" t="n">
        <v>62370</v>
      </c>
      <c r="D79" s="20" t="inlineStr">
        <is>
          <t>0.019090</t>
        </is>
      </c>
      <c r="E79" s="20" t="inlineStr">
        <is>
          <t>2.000 SOL</t>
        </is>
      </c>
      <c r="F79" s="20" t="inlineStr">
        <is>
          <t>4.043 SOL</t>
        </is>
      </c>
      <c r="G79" s="23" t="inlineStr">
        <is>
          <t>2.024 SOL</t>
        </is>
      </c>
      <c r="H79" s="23" t="inlineStr">
        <is>
          <t>100.26%</t>
        </is>
      </c>
      <c r="I79" s="20" t="inlineStr">
        <is>
          <t>N/A</t>
        </is>
      </c>
      <c r="J79" s="20" t="n">
        <v>2</v>
      </c>
      <c r="K79" s="20" t="n">
        <v>3</v>
      </c>
      <c r="L79" s="20" t="inlineStr">
        <is>
          <t>21.10.2024 05:38:21</t>
        </is>
      </c>
      <c r="M79" s="20" t="inlineStr">
        <is>
          <t>4 hours</t>
        </is>
      </c>
      <c r="N79" s="20" t="inlineStr">
        <is>
          <t xml:space="preserve">          4M            13M             3M</t>
        </is>
      </c>
      <c r="O79" s="20" t="inlineStr">
        <is>
          <t>FqvtZ2UFR9we82Ni4LeacC1zyTiQ77usDo31DUokpump</t>
        </is>
      </c>
      <c r="P79" s="20">
        <f>HYPERLINK("https://dexscreener.com/solana/FqvtZ2UFR9we82Ni4LeacC1zyTiQ77usDo31DUokpump", "View")</f>
        <v/>
      </c>
    </row>
    <row r="80">
      <c r="A80" s="15" t="inlineStr">
        <is>
          <t>MCNIGLET</t>
        </is>
      </c>
      <c r="B80" s="16" t="n">
        <v>6245533</v>
      </c>
      <c r="C80" s="16" t="n">
        <v>6245533</v>
      </c>
      <c r="D80" s="16" t="inlineStr">
        <is>
          <t>0.010010</t>
        </is>
      </c>
      <c r="E80" s="16" t="inlineStr">
        <is>
          <t>0.407 SOL</t>
        </is>
      </c>
      <c r="F80" s="16" t="inlineStr">
        <is>
          <t>0.297 SOL</t>
        </is>
      </c>
      <c r="G80" s="21" t="inlineStr">
        <is>
          <t>-0.120 SOL</t>
        </is>
      </c>
      <c r="H80" s="21" t="inlineStr">
        <is>
          <t>-28.76%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21.10.2024 01:40:24</t>
        </is>
      </c>
      <c r="M80" s="16" t="inlineStr">
        <is>
          <t>30 min</t>
        </is>
      </c>
      <c r="N80" s="16" t="inlineStr">
        <is>
          <t xml:space="preserve">         12K             9K             6K</t>
        </is>
      </c>
      <c r="O80" s="16" t="inlineStr">
        <is>
          <t>ABr74KYM9NeEJTpd82aCbjDPnqEp91EZRHj8JSLBpump</t>
        </is>
      </c>
      <c r="P80" s="16">
        <f>HYPERLINK("https://photon-sol.tinyastro.io/en/lp/ABr74KYM9NeEJTpd82aCbjDPnqEp91EZRHj8JSLBpump?handle=676050794bc1b1657a56b", "View")</f>
        <v/>
      </c>
    </row>
    <row r="81">
      <c r="A81" s="19" t="inlineStr">
        <is>
          <t>morty</t>
        </is>
      </c>
      <c r="B81" s="20" t="n">
        <v>139136</v>
      </c>
      <c r="C81" s="20" t="n">
        <v>139136</v>
      </c>
      <c r="D81" s="20" t="inlineStr">
        <is>
          <t>0.010010</t>
        </is>
      </c>
      <c r="E81" s="20" t="inlineStr">
        <is>
          <t>0.400 SOL</t>
        </is>
      </c>
      <c r="F81" s="20" t="inlineStr">
        <is>
          <t>0.221 SOL</t>
        </is>
      </c>
      <c r="G81" s="21" t="inlineStr">
        <is>
          <t>-0.189 SOL</t>
        </is>
      </c>
      <c r="H81" s="21" t="inlineStr">
        <is>
          <t>-46.21%</t>
        </is>
      </c>
      <c r="I81" s="20" t="inlineStr">
        <is>
          <t>N/A</t>
        </is>
      </c>
      <c r="J81" s="20" t="n">
        <v>1</v>
      </c>
      <c r="K81" s="20" t="n">
        <v>1</v>
      </c>
      <c r="L81" s="20" t="inlineStr">
        <is>
          <t>21.10.2024 01:10:21</t>
        </is>
      </c>
      <c r="M81" s="20" t="inlineStr">
        <is>
          <t>58 min</t>
        </is>
      </c>
      <c r="N81" s="20" t="inlineStr">
        <is>
          <t xml:space="preserve">        504K           504K             9K</t>
        </is>
      </c>
      <c r="O81" s="20" t="inlineStr">
        <is>
          <t>BMJKL7brPC8dNf45JYCuh46ekNUkygpKMcen6xAXpump</t>
        </is>
      </c>
      <c r="P81" s="20">
        <f>HYPERLINK("https://dexscreener.com/solana/BMJKL7brPC8dNf45JYCuh46ekNUkygpKMcen6xAXpump", "View")</f>
        <v/>
      </c>
    </row>
    <row r="82">
      <c r="A82" s="15" t="inlineStr">
        <is>
          <t>CCRU</t>
        </is>
      </c>
      <c r="B82" s="16" t="n">
        <v>19949</v>
      </c>
      <c r="C82" s="16" t="n">
        <v>19949</v>
      </c>
      <c r="D82" s="16" t="inlineStr">
        <is>
          <t>0.008340</t>
        </is>
      </c>
      <c r="E82" s="16" t="inlineStr">
        <is>
          <t>1.000 SOL</t>
        </is>
      </c>
      <c r="F82" s="16" t="inlineStr">
        <is>
          <t>0.667 SOL</t>
        </is>
      </c>
      <c r="G82" s="21" t="inlineStr">
        <is>
          <t>-0.341 SOL</t>
        </is>
      </c>
      <c r="H82" s="21" t="inlineStr">
        <is>
          <t>-33.87%</t>
        </is>
      </c>
      <c r="I82" s="16" t="inlineStr">
        <is>
          <t>N/A</t>
        </is>
      </c>
      <c r="J82" s="16" t="n">
        <v>1</v>
      </c>
      <c r="K82" s="16" t="n">
        <v>1</v>
      </c>
      <c r="L82" s="16" t="inlineStr">
        <is>
          <t>20.10.2024 08:44:05</t>
        </is>
      </c>
      <c r="M82" s="16" t="inlineStr">
        <is>
          <t>1 hours</t>
        </is>
      </c>
      <c r="N82" s="16" t="inlineStr">
        <is>
          <t xml:space="preserve">          9M             9M           141K</t>
        </is>
      </c>
      <c r="O82" s="16" t="inlineStr">
        <is>
          <t>BVoFXcjNSQ8fHGNc2aeS52rLXwag52PHK2aQJsrkpump</t>
        </is>
      </c>
      <c r="P82" s="16">
        <f>HYPERLINK("https://dexscreener.com/solana/BVoFXcjNSQ8fHGNc2aeS52rLXwag52PHK2aQJsrkpump", "View")</f>
        <v/>
      </c>
    </row>
    <row r="83">
      <c r="A83" s="19" t="inlineStr">
        <is>
          <t>EOC</t>
        </is>
      </c>
      <c r="B83" s="20" t="n">
        <v>2319767</v>
      </c>
      <c r="C83" s="20" t="n">
        <v>2319767</v>
      </c>
      <c r="D83" s="20" t="inlineStr">
        <is>
          <t>0.010010</t>
        </is>
      </c>
      <c r="E83" s="20" t="inlineStr">
        <is>
          <t>0.207 SOL</t>
        </is>
      </c>
      <c r="F83" s="20" t="inlineStr">
        <is>
          <t>0.285 SOL</t>
        </is>
      </c>
      <c r="G83" s="22" t="inlineStr">
        <is>
          <t>0.068 SOL</t>
        </is>
      </c>
      <c r="H83" s="22" t="inlineStr">
        <is>
          <t>31.20%</t>
        </is>
      </c>
      <c r="I83" s="20" t="inlineStr">
        <is>
          <t>N/A</t>
        </is>
      </c>
      <c r="J83" s="20" t="n">
        <v>1</v>
      </c>
      <c r="K83" s="20" t="n">
        <v>1</v>
      </c>
      <c r="L83" s="20" t="inlineStr">
        <is>
          <t>20.10.2024 06:48:11</t>
        </is>
      </c>
      <c r="M83" s="20" t="inlineStr">
        <is>
          <t>1 min</t>
        </is>
      </c>
      <c r="N83" s="20" t="inlineStr">
        <is>
          <t xml:space="preserve">         16K            21K             5K</t>
        </is>
      </c>
      <c r="O83" s="20" t="inlineStr">
        <is>
          <t>2MFsjHpFU1WRW4StBXsdZqk3zBerLHBnBhXneFH8pump</t>
        </is>
      </c>
      <c r="P83" s="20">
        <f>HYPERLINK("https://photon-sol.tinyastro.io/en/lp/2MFsjHpFU1WRW4StBXsdZqk3zBerLHBnBhXneFH8pump?handle=676050794bc1b1657a56b", "View")</f>
        <v/>
      </c>
    </row>
    <row r="84">
      <c r="A84" s="15" t="inlineStr">
        <is>
          <t>GNON</t>
        </is>
      </c>
      <c r="B84" s="16" t="n">
        <v>103391</v>
      </c>
      <c r="C84" s="16" t="n">
        <v>99514</v>
      </c>
      <c r="D84" s="16" t="inlineStr">
        <is>
          <t>0.014780</t>
        </is>
      </c>
      <c r="E84" s="16" t="inlineStr">
        <is>
          <t>0.200 SOL</t>
        </is>
      </c>
      <c r="F84" s="16" t="inlineStr">
        <is>
          <t>43.369 SOL</t>
        </is>
      </c>
      <c r="G84" s="23" t="inlineStr">
        <is>
          <t>43.154 SOL</t>
        </is>
      </c>
      <c r="H84" s="23" t="inlineStr">
        <is>
          <t>20092.40%</t>
        </is>
      </c>
      <c r="I84" s="16" t="inlineStr">
        <is>
          <t>N/A</t>
        </is>
      </c>
      <c r="J84" s="16" t="n">
        <v>1</v>
      </c>
      <c r="K84" s="16" t="n">
        <v>3</v>
      </c>
      <c r="L84" s="16" t="inlineStr">
        <is>
          <t>19.10.2024 17:39:53</t>
        </is>
      </c>
      <c r="M84" s="16" t="inlineStr">
        <is>
          <t>1 days</t>
        </is>
      </c>
      <c r="N84" s="16" t="inlineStr">
        <is>
          <t xml:space="preserve">        338K           338K             4M</t>
        </is>
      </c>
      <c r="O84" s="16" t="inlineStr">
        <is>
          <t>HeJUFDxfJSzYFUuHLxkMqCgytU31G6mjP4wKviwqpump</t>
        </is>
      </c>
      <c r="P84" s="16">
        <f>HYPERLINK("https://dexscreener.com/solana/HeJUFDxfJSzYFUuHLxkMqCgytU31G6mjP4wKviwqpump", "View")</f>
        <v/>
      </c>
    </row>
    <row r="85">
      <c r="A85" s="19" t="inlineStr">
        <is>
          <t>MOLITA</t>
        </is>
      </c>
      <c r="B85" s="20" t="n">
        <v>1633892</v>
      </c>
      <c r="C85" s="20" t="n">
        <v>0</v>
      </c>
      <c r="D85" s="20" t="inlineStr">
        <is>
          <t>0.005000</t>
        </is>
      </c>
      <c r="E85" s="20" t="inlineStr">
        <is>
          <t>0.200 SOL</t>
        </is>
      </c>
      <c r="F85" s="20" t="inlineStr">
        <is>
          <t>0.000 SOL</t>
        </is>
      </c>
      <c r="G85" s="17" t="inlineStr">
        <is>
          <t>-0.205 SOL</t>
        </is>
      </c>
      <c r="H85" s="17" t="inlineStr">
        <is>
          <t>0.00%</t>
        </is>
      </c>
      <c r="I85" s="20" t="inlineStr">
        <is>
          <t>1,633,892</t>
        </is>
      </c>
      <c r="J85" s="20" t="n">
        <v>1</v>
      </c>
      <c r="K85" s="20" t="n">
        <v>0</v>
      </c>
      <c r="L85" s="20" t="inlineStr">
        <is>
          <t>18.10.2024 22:43:45</t>
        </is>
      </c>
      <c r="M85" s="18" t="inlineStr">
        <is>
          <t>0 sec</t>
        </is>
      </c>
      <c r="N85" s="20" t="inlineStr">
        <is>
          <t xml:space="preserve">         21K            21K             4K</t>
        </is>
      </c>
      <c r="O85" s="20" t="inlineStr">
        <is>
          <t>FftrFmdB4uEDxWj7h6Xqrwn5ukk7cpTehq6xLLCcpump</t>
        </is>
      </c>
      <c r="P85" s="20">
        <f>HYPERLINK("https://dexscreener.com/solana/FftrFmdB4uEDxWj7h6Xqrwn5ukk7cpTehq6xLLCcpump", "View")</f>
        <v/>
      </c>
    </row>
    <row r="86">
      <c r="A86" t="inlineStr">
        <is>
          <t>Birb</t>
        </is>
      </c>
      <c r="B86" t="n">
        <v>4008215</v>
      </c>
      <c r="C86" t="n">
        <v>4008215</v>
      </c>
      <c r="D86" t="inlineStr">
        <is>
          <t>0.017700</t>
        </is>
      </c>
      <c r="E86" t="inlineStr">
        <is>
          <t>0.800 SOL</t>
        </is>
      </c>
      <c r="F86" t="inlineStr">
        <is>
          <t>1.317 SOL</t>
        </is>
      </c>
      <c r="G86" t="inlineStr">
        <is>
          <t>0.500 SOL</t>
        </is>
      </c>
      <c r="H86" t="inlineStr">
        <is>
          <t>61.12%</t>
        </is>
      </c>
      <c r="I86" t="inlineStr">
        <is>
          <t>N/A</t>
        </is>
      </c>
      <c r="J86" t="n">
        <v>2</v>
      </c>
      <c r="K86" t="n">
        <v>3</v>
      </c>
      <c r="L86" t="inlineStr">
        <is>
          <t>18.10.2024 03:19:08</t>
        </is>
      </c>
      <c r="M86" t="inlineStr">
        <is>
          <t>2 hours</t>
        </is>
      </c>
      <c r="N86" t="inlineStr">
        <is>
          <t xml:space="preserve">         19K            58K             5K</t>
        </is>
      </c>
      <c r="O86" t="inlineStr">
        <is>
          <t>4aXBgz6gWMWu9CK8UUHNsBUcF3CXxy9TwSF4fwGmpump</t>
        </is>
      </c>
      <c r="P86">
        <f>HYPERLINK("https://dexscreener.com/solana/4aXBgz6gWMWu9CK8UUHNsBUcF3CXxy9TwSF4fwGmpump", "View")</f>
        <v/>
      </c>
    </row>
    <row r="87">
      <c r="A87" s="19" t="n"/>
      <c r="B87" s="20" t="n"/>
      <c r="C87" s="20" t="n"/>
      <c r="D87" s="20" t="n"/>
      <c r="E87" s="20" t="n"/>
      <c r="F87" s="20" t="n"/>
      <c r="G87" s="23" t="n"/>
      <c r="H87" s="23" t="n"/>
      <c r="I87" s="20" t="n"/>
      <c r="J87" s="20" t="n"/>
      <c r="K87" s="20" t="n"/>
      <c r="L87" s="20" t="n"/>
      <c r="M87" s="20" t="n"/>
      <c r="N87" s="20" t="n"/>
      <c r="O87" s="20" t="n"/>
      <c r="P87" s="20" t="n"/>
    </row>
    <row r="88">
      <c r="A88" s="15" t="inlineStr">
        <is>
          <t>ogmilady</t>
        </is>
      </c>
      <c r="B88" s="16" t="n">
        <v>143968</v>
      </c>
      <c r="C88" s="16" t="n">
        <v>71984</v>
      </c>
      <c r="D88" s="16" t="inlineStr">
        <is>
          <t>0.006930</t>
        </is>
      </c>
      <c r="E88" s="16" t="inlineStr">
        <is>
          <t>0.200 SOL</t>
        </is>
      </c>
      <c r="F88" s="16" t="inlineStr">
        <is>
          <t>0.267 SOL</t>
        </is>
      </c>
      <c r="G88" s="22" t="inlineStr">
        <is>
          <t>0.060 SOL</t>
        </is>
      </c>
      <c r="H88" s="22" t="inlineStr">
        <is>
          <t>29.17%</t>
        </is>
      </c>
      <c r="I88" s="16" t="inlineStr">
        <is>
          <t>N/A</t>
        </is>
      </c>
      <c r="J88" s="16" t="n">
        <v>1</v>
      </c>
      <c r="K88" s="16" t="n">
        <v>1</v>
      </c>
      <c r="L88" s="16" t="inlineStr">
        <is>
          <t>18.10.2024 03:04:35</t>
        </is>
      </c>
      <c r="M88" s="16" t="inlineStr">
        <is>
          <t>2 hours</t>
        </is>
      </c>
      <c r="N88" s="16" t="inlineStr">
        <is>
          <t xml:space="preserve">        244K           244K            42K</t>
        </is>
      </c>
      <c r="O88" s="16" t="inlineStr">
        <is>
          <t>4AoUaXuSmTrq8jRktFkubqWkxSWXR4DqH8xNgek8pump</t>
        </is>
      </c>
      <c r="P88" s="16">
        <f>HYPERLINK("https://dexscreener.com/solana/4AoUaXuSmTrq8jRktFkubqWkxSWXR4DqH8xNgek8pump", "View")</f>
        <v/>
      </c>
    </row>
    <row r="89">
      <c r="A89" s="19" t="inlineStr">
        <is>
          <t>WD40</t>
        </is>
      </c>
      <c r="B89" s="20" t="n">
        <v>2194614</v>
      </c>
      <c r="C89" s="20" t="n">
        <v>1755691</v>
      </c>
      <c r="D89" s="20" t="inlineStr">
        <is>
          <t>0.008610</t>
        </is>
      </c>
      <c r="E89" s="20" t="inlineStr">
        <is>
          <t>0.207 SOL</t>
        </is>
      </c>
      <c r="F89" s="20" t="inlineStr">
        <is>
          <t>0.715 SOL</t>
        </is>
      </c>
      <c r="G89" s="23" t="inlineStr">
        <is>
          <t>0.499 SOL</t>
        </is>
      </c>
      <c r="H89" s="23" t="inlineStr">
        <is>
          <t>231.59%</t>
        </is>
      </c>
      <c r="I89" s="20" t="inlineStr">
        <is>
          <t>N/A</t>
        </is>
      </c>
      <c r="J89" s="20" t="n">
        <v>1</v>
      </c>
      <c r="K89" s="20" t="n">
        <v>1</v>
      </c>
      <c r="L89" s="20" t="inlineStr">
        <is>
          <t>16.10.2024 20:46:12</t>
        </is>
      </c>
      <c r="M89" s="20" t="inlineStr">
        <is>
          <t>40 min</t>
        </is>
      </c>
      <c r="N89" s="20" t="inlineStr">
        <is>
          <t xml:space="preserve">         16K            72K             6K</t>
        </is>
      </c>
      <c r="O89" s="20" t="inlineStr">
        <is>
          <t>AshCp63UfAaagrGmiuuMTAotvNeGUWwmnPSsqW7mpump</t>
        </is>
      </c>
      <c r="P89" s="20">
        <f>HYPERLINK("https://photon-sol.tinyastro.io/en/lp/AshCp63UfAaagrGmiuuMTAotvNeGUWwmnPSsqW7mpump?handle=676050794bc1b1657a56b", "View")</f>
        <v/>
      </c>
    </row>
    <row r="90">
      <c r="A90" s="15" t="inlineStr">
        <is>
          <t>stinkgen</t>
        </is>
      </c>
      <c r="B90" s="16" t="n">
        <v>58754</v>
      </c>
      <c r="C90" s="16" t="n">
        <v>58754</v>
      </c>
      <c r="D90" s="16" t="inlineStr">
        <is>
          <t>0.010510</t>
        </is>
      </c>
      <c r="E90" s="16" t="inlineStr">
        <is>
          <t>0.200 SOL</t>
        </is>
      </c>
      <c r="F90" s="16" t="inlineStr">
        <is>
          <t>0.540 SOL</t>
        </is>
      </c>
      <c r="G90" s="23" t="inlineStr">
        <is>
          <t>0.329 SOL</t>
        </is>
      </c>
      <c r="H90" s="23" t="inlineStr">
        <is>
          <t>156.28%</t>
        </is>
      </c>
      <c r="I90" s="16" t="inlineStr">
        <is>
          <t>N/A</t>
        </is>
      </c>
      <c r="J90" s="16" t="n">
        <v>1</v>
      </c>
      <c r="K90" s="16" t="n">
        <v>2</v>
      </c>
      <c r="L90" s="16" t="inlineStr">
        <is>
          <t>16.10.2024 18:56:52</t>
        </is>
      </c>
      <c r="M90" s="16" t="inlineStr">
        <is>
          <t>2 hours</t>
        </is>
      </c>
      <c r="N90" s="16" t="inlineStr">
        <is>
          <t xml:space="preserve">        597K           831K            18K</t>
        </is>
      </c>
      <c r="O90" s="16" t="inlineStr">
        <is>
          <t>5PHGgTLR82QS66HGbRrJDr6GxbgNFHLJ4fwJD3rdpump</t>
        </is>
      </c>
      <c r="P90" s="16">
        <f>HYPERLINK("https://dexscreener.com/solana/5PHGgTLR82QS66HGbRrJDr6GxbgNFHLJ4fwJD3rdpump", "View")</f>
        <v/>
      </c>
    </row>
    <row r="91">
      <c r="A91" s="19" t="inlineStr">
        <is>
          <t>CLANKER</t>
        </is>
      </c>
      <c r="B91" s="20" t="n">
        <v>40654</v>
      </c>
      <c r="C91" s="20" t="n">
        <v>24392</v>
      </c>
      <c r="D91" s="20" t="inlineStr">
        <is>
          <t>0.006950</t>
        </is>
      </c>
      <c r="E91" s="20" t="inlineStr">
        <is>
          <t>0.200 SOL</t>
        </is>
      </c>
      <c r="F91" s="20" t="inlineStr">
        <is>
          <t>0.220 SOL</t>
        </is>
      </c>
      <c r="G91" s="22" t="inlineStr">
        <is>
          <t>0.013 SOL</t>
        </is>
      </c>
      <c r="H91" s="22" t="inlineStr">
        <is>
          <t>6.32%</t>
        </is>
      </c>
      <c r="I91" s="20" t="inlineStr">
        <is>
          <t>N/A</t>
        </is>
      </c>
      <c r="J91" s="20" t="n">
        <v>1</v>
      </c>
      <c r="K91" s="20" t="n">
        <v>1</v>
      </c>
      <c r="L91" s="20" t="inlineStr">
        <is>
          <t>16.10.2024 18:35:12</t>
        </is>
      </c>
      <c r="M91" s="20" t="inlineStr">
        <is>
          <t>1 hours</t>
        </is>
      </c>
      <c r="N91" s="20" t="inlineStr">
        <is>
          <t xml:space="preserve">        864K             2M             3M</t>
        </is>
      </c>
      <c r="O91" s="20" t="inlineStr">
        <is>
          <t>3qq54YqAKG3TcrwNHXFSpMCWoL8gmMuPceJ4FG9npump</t>
        </is>
      </c>
      <c r="P91" s="20">
        <f>HYPERLINK("https://dexscreener.com/solana/3qq54YqAKG3TcrwNHXFSpMCWoL8gmMuPceJ4FG9npump", "View")</f>
        <v/>
      </c>
    </row>
    <row r="92">
      <c r="A92" s="15" t="inlineStr">
        <is>
          <t>CLIMP</t>
        </is>
      </c>
      <c r="B92" s="16" t="n">
        <v>103214</v>
      </c>
      <c r="C92" s="16" t="n">
        <v>45156</v>
      </c>
      <c r="D92" s="16" t="inlineStr">
        <is>
          <t>0.010550</t>
        </is>
      </c>
      <c r="E92" s="16" t="inlineStr">
        <is>
          <t>0.200 SOL</t>
        </is>
      </c>
      <c r="F92" s="16" t="inlineStr">
        <is>
          <t>0.335 SOL</t>
        </is>
      </c>
      <c r="G92" s="23" t="inlineStr">
        <is>
          <t>0.124 SOL</t>
        </is>
      </c>
      <c r="H92" s="23" t="inlineStr">
        <is>
          <t>59.09%</t>
        </is>
      </c>
      <c r="I92" s="16" t="inlineStr">
        <is>
          <t>N/A</t>
        </is>
      </c>
      <c r="J92" s="16" t="n">
        <v>1</v>
      </c>
      <c r="K92" s="16" t="n">
        <v>2</v>
      </c>
      <c r="L92" s="16" t="inlineStr">
        <is>
          <t>16.10.2024 18:33:31</t>
        </is>
      </c>
      <c r="M92" s="16" t="inlineStr">
        <is>
          <t>42 min</t>
        </is>
      </c>
      <c r="N92" s="16" t="inlineStr">
        <is>
          <t xml:space="preserve">        341K             1M            86K</t>
        </is>
      </c>
      <c r="O92" s="16" t="inlineStr">
        <is>
          <t>GQaDVLoi9xe2eQcKqC5c11vRxJWu5askVty1dmzmoy8k</t>
        </is>
      </c>
      <c r="P92" s="16">
        <f>HYPERLINK("https://dexscreener.com/solana/GQaDVLoi9xe2eQcKqC5c11vRxJWu5askVty1dmzmoy8k", "View")</f>
        <v/>
      </c>
    </row>
    <row r="93">
      <c r="A93" s="19" t="inlineStr">
        <is>
          <t>Gwost</t>
        </is>
      </c>
      <c r="B93" s="20" t="n">
        <v>8569421</v>
      </c>
      <c r="C93" s="20" t="n">
        <v>0</v>
      </c>
      <c r="D93" s="20" t="inlineStr">
        <is>
          <t>0.005000</t>
        </is>
      </c>
      <c r="E93" s="20" t="inlineStr">
        <is>
          <t>0.200 SOL</t>
        </is>
      </c>
      <c r="F93" s="20" t="inlineStr">
        <is>
          <t>0.000 SOL</t>
        </is>
      </c>
      <c r="G93" s="17" t="inlineStr">
        <is>
          <t>-0.205 SOL</t>
        </is>
      </c>
      <c r="H93" s="17" t="inlineStr">
        <is>
          <t>0.00%</t>
        </is>
      </c>
      <c r="I93" s="20" t="inlineStr">
        <is>
          <t>8,569,421</t>
        </is>
      </c>
      <c r="J93" s="20" t="n">
        <v>1</v>
      </c>
      <c r="K93" s="20" t="n">
        <v>0</v>
      </c>
      <c r="L93" s="20" t="inlineStr">
        <is>
          <t>15.10.2024 19:41:26</t>
        </is>
      </c>
      <c r="M93" s="18" t="inlineStr">
        <is>
          <t>0 sec</t>
        </is>
      </c>
      <c r="N93" s="20" t="inlineStr">
        <is>
          <t xml:space="preserve">        N/A           N/A           N/A</t>
        </is>
      </c>
      <c r="O93" s="20" t="inlineStr">
        <is>
          <t>HYLDrPKsaiYTyATJA6Cpq2SjndWNWmtDMahwGpkZQHAN</t>
        </is>
      </c>
      <c r="P93" s="20">
        <f>HYPERLINK("https://dexscreener.com/solana/HYLDrPKsaiYTyATJA6Cpq2SjndWNWmtDMahwGpkZQHAN", "View")</f>
        <v/>
      </c>
    </row>
    <row r="94">
      <c r="A94" s="15" t="inlineStr">
        <is>
          <t>ROSE</t>
        </is>
      </c>
      <c r="B94" s="16" t="n">
        <v>348829</v>
      </c>
      <c r="C94" s="16" t="n">
        <v>0</v>
      </c>
      <c r="D94" s="16" t="inlineStr">
        <is>
          <t>0.003320</t>
        </is>
      </c>
      <c r="E94" s="16" t="inlineStr">
        <is>
          <t>0.200 SOL</t>
        </is>
      </c>
      <c r="F94" s="16" t="inlineStr">
        <is>
          <t>0.000 SOL</t>
        </is>
      </c>
      <c r="G94" s="17" t="inlineStr">
        <is>
          <t>-0.203 SOL</t>
        </is>
      </c>
      <c r="H94" s="17" t="inlineStr">
        <is>
          <t>0.00%</t>
        </is>
      </c>
      <c r="I94" s="16" t="inlineStr">
        <is>
          <t>348,829</t>
        </is>
      </c>
      <c r="J94" s="16" t="n">
        <v>1</v>
      </c>
      <c r="K94" s="16" t="n">
        <v>0</v>
      </c>
      <c r="L94" s="16" t="inlineStr">
        <is>
          <t>14.10.2024 22:00:19</t>
        </is>
      </c>
      <c r="M94" s="18" t="inlineStr">
        <is>
          <t>0 sec</t>
        </is>
      </c>
      <c r="N94" s="16" t="inlineStr">
        <is>
          <t xml:space="preserve">        100K           100K             7K</t>
        </is>
      </c>
      <c r="O94" s="16" t="inlineStr">
        <is>
          <t>3WjPjxWwnbtDTKEMg1VC1z2HawcDmGq2ik3mP2Z6pump</t>
        </is>
      </c>
      <c r="P94" s="16">
        <f>HYPERLINK("https://dexscreener.com/solana/3WjPjxWwnbtDTKEMg1VC1z2HawcDmGq2ik3mP2Z6pump", "View")</f>
        <v/>
      </c>
    </row>
    <row r="95">
      <c r="A95" s="19" t="inlineStr">
        <is>
          <t>casino</t>
        </is>
      </c>
      <c r="B95" s="20" t="n">
        <v>39621</v>
      </c>
      <c r="C95" s="20" t="n">
        <v>0</v>
      </c>
      <c r="D95" s="20" t="inlineStr">
        <is>
          <t>0.003290</t>
        </is>
      </c>
      <c r="E95" s="20" t="inlineStr">
        <is>
          <t>0.200 SOL</t>
        </is>
      </c>
      <c r="F95" s="20" t="inlineStr">
        <is>
          <t>0.000 SOL</t>
        </is>
      </c>
      <c r="G95" s="17" t="inlineStr">
        <is>
          <t>-0.203 SOL</t>
        </is>
      </c>
      <c r="H95" s="17" t="inlineStr">
        <is>
          <t>0.00%</t>
        </is>
      </c>
      <c r="I95" s="20" t="inlineStr">
        <is>
          <t>39,621</t>
        </is>
      </c>
      <c r="J95" s="20" t="n">
        <v>1</v>
      </c>
      <c r="K95" s="20" t="n">
        <v>0</v>
      </c>
      <c r="L95" s="20" t="inlineStr">
        <is>
          <t>13.10.2024 23:15:33</t>
        </is>
      </c>
      <c r="M95" s="18" t="inlineStr">
        <is>
          <t>0 sec</t>
        </is>
      </c>
      <c r="N95" s="20" t="inlineStr">
        <is>
          <t xml:space="preserve">        887K           887K           152K</t>
        </is>
      </c>
      <c r="O95" s="20" t="inlineStr">
        <is>
          <t>H4iSABxCygF5caEvqZeVY4ELqqXAUBkMhGh1z4GEpump</t>
        </is>
      </c>
      <c r="P95" s="20">
        <f>HYPERLINK("https://dexscreener.com/solana/H4iSABxCygF5caEvqZeVY4ELqqXAUBkMhGh1z4GEpump", "View")</f>
        <v/>
      </c>
    </row>
    <row r="96">
      <c r="A96" s="15" t="inlineStr">
        <is>
          <t>SPX</t>
        </is>
      </c>
      <c r="B96" s="16" t="n">
        <v>79528</v>
      </c>
      <c r="C96" s="16" t="n">
        <v>0</v>
      </c>
      <c r="D96" s="16" t="inlineStr">
        <is>
          <t>0.003300</t>
        </is>
      </c>
      <c r="E96" s="16" t="inlineStr">
        <is>
          <t>0.300 SOL</t>
        </is>
      </c>
      <c r="F96" s="16" t="inlineStr">
        <is>
          <t>0.000 SOL</t>
        </is>
      </c>
      <c r="G96" s="17" t="inlineStr">
        <is>
          <t>-0.303 SOL</t>
        </is>
      </c>
      <c r="H96" s="17" t="inlineStr">
        <is>
          <t>0.00%</t>
        </is>
      </c>
      <c r="I96" s="16" t="inlineStr">
        <is>
          <t>79,528</t>
        </is>
      </c>
      <c r="J96" s="16" t="n">
        <v>1</v>
      </c>
      <c r="K96" s="16" t="n">
        <v>0</v>
      </c>
      <c r="L96" s="16" t="inlineStr">
        <is>
          <t>13.10.2024 03:47:25</t>
        </is>
      </c>
      <c r="M96" s="18" t="inlineStr">
        <is>
          <t>0 sec</t>
        </is>
      </c>
      <c r="N96" s="16" t="inlineStr">
        <is>
          <t xml:space="preserve">        661K           661K            37K</t>
        </is>
      </c>
      <c r="O96" s="16" t="inlineStr">
        <is>
          <t>DLkiy74Utib6mwrw42wkZf5g7doWXYezAgUvDApDPgCT</t>
        </is>
      </c>
      <c r="P96" s="16">
        <f>HYPERLINK("https://dexscreener.com/solana/DLkiy74Utib6mwrw42wkZf5g7doWXYezAgUvDApDPgCT", "View")</f>
        <v/>
      </c>
    </row>
    <row r="97">
      <c r="A97" s="19" t="inlineStr">
        <is>
          <t>🧲</t>
        </is>
      </c>
      <c r="B97" s="20" t="n">
        <v>7435</v>
      </c>
      <c r="C97" s="20" t="n">
        <v>0</v>
      </c>
      <c r="D97" s="20" t="inlineStr">
        <is>
          <t>0.003320</t>
        </is>
      </c>
      <c r="E97" s="20" t="inlineStr">
        <is>
          <t>0.400 SOL</t>
        </is>
      </c>
      <c r="F97" s="20" t="inlineStr">
        <is>
          <t>0.000 SOL</t>
        </is>
      </c>
      <c r="G97" s="17" t="inlineStr">
        <is>
          <t>-0.403 SOL</t>
        </is>
      </c>
      <c r="H97" s="17" t="inlineStr">
        <is>
          <t>0.00%</t>
        </is>
      </c>
      <c r="I97" s="20" t="inlineStr">
        <is>
          <t>7,435</t>
        </is>
      </c>
      <c r="J97" s="20" t="n">
        <v>1</v>
      </c>
      <c r="K97" s="20" t="n">
        <v>0</v>
      </c>
      <c r="L97" s="20" t="inlineStr">
        <is>
          <t>11.10.2024 23:14:36</t>
        </is>
      </c>
      <c r="M97" s="18" t="inlineStr">
        <is>
          <t>0 sec</t>
        </is>
      </c>
      <c r="N97" s="20" t="inlineStr">
        <is>
          <t xml:space="preserve">          9M             9M             1M</t>
        </is>
      </c>
      <c r="O97" s="20" t="inlineStr">
        <is>
          <t>8iWsK2WH3AGviQwAnt43zvc8yLy6QMUSuv8PK2A7pump</t>
        </is>
      </c>
      <c r="P97" s="20">
        <f>HYPERLINK("https://dexscreener.com/solana/8iWsK2WH3AGviQwAnt43zvc8yLy6QMUSuv8PK2A7pump", "View")</f>
        <v/>
      </c>
    </row>
    <row r="98">
      <c r="A98" s="15" t="inlineStr">
        <is>
          <t>GROYPER</t>
        </is>
      </c>
      <c r="B98" s="16" t="n">
        <v>280759</v>
      </c>
      <c r="C98" s="16" t="n">
        <v>0</v>
      </c>
      <c r="D98" s="16" t="inlineStr">
        <is>
          <t>0.003340</t>
        </is>
      </c>
      <c r="E98" s="16" t="inlineStr">
        <is>
          <t>0.200 SOL</t>
        </is>
      </c>
      <c r="F98" s="16" t="inlineStr">
        <is>
          <t>0.000 SOL</t>
        </is>
      </c>
      <c r="G98" s="17" t="inlineStr">
        <is>
          <t>-0.203 SOL</t>
        </is>
      </c>
      <c r="H98" s="17" t="inlineStr">
        <is>
          <t>0.00%</t>
        </is>
      </c>
      <c r="I98" s="16" t="inlineStr">
        <is>
          <t>280,759</t>
        </is>
      </c>
      <c r="J98" s="16" t="n">
        <v>1</v>
      </c>
      <c r="K98" s="16" t="n">
        <v>0</v>
      </c>
      <c r="L98" s="16" t="inlineStr">
        <is>
          <t>11.10.2024 15:39:13</t>
        </is>
      </c>
      <c r="M98" s="18" t="inlineStr">
        <is>
          <t>0 sec</t>
        </is>
      </c>
      <c r="N98" s="16" t="inlineStr">
        <is>
          <t xml:space="preserve">        125K           125K            18K</t>
        </is>
      </c>
      <c r="O98" s="16" t="inlineStr">
        <is>
          <t>A8zAEJTMgbe6bMXWxUaD9yUVaHtXfWjmuDHHXbUMpump</t>
        </is>
      </c>
      <c r="P98" s="16">
        <f>HYPERLINK("https://dexscreener.com/solana/A8zAEJTMgbe6bMXWxUaD9yUVaHtXfWjmuDHHXbUMpump", "View")</f>
        <v/>
      </c>
    </row>
    <row r="99">
      <c r="A99" s="19" t="inlineStr">
        <is>
          <t>squish</t>
        </is>
      </c>
      <c r="B99" s="20" t="n">
        <v>79604</v>
      </c>
      <c r="C99" s="20" t="n">
        <v>0</v>
      </c>
      <c r="D99" s="20" t="inlineStr">
        <is>
          <t>0.005000</t>
        </is>
      </c>
      <c r="E99" s="20" t="inlineStr">
        <is>
          <t>0.200 SOL</t>
        </is>
      </c>
      <c r="F99" s="20" t="inlineStr">
        <is>
          <t>0.000 SOL</t>
        </is>
      </c>
      <c r="G99" s="17" t="inlineStr">
        <is>
          <t>-0.205 SOL</t>
        </is>
      </c>
      <c r="H99" s="17" t="inlineStr">
        <is>
          <t>0.00%</t>
        </is>
      </c>
      <c r="I99" s="20" t="inlineStr">
        <is>
          <t>79,604</t>
        </is>
      </c>
      <c r="J99" s="20" t="n">
        <v>1</v>
      </c>
      <c r="K99" s="20" t="n">
        <v>0</v>
      </c>
      <c r="L99" s="20" t="inlineStr">
        <is>
          <t>09.10.2024 17:50:05</t>
        </is>
      </c>
      <c r="M99" s="18" t="inlineStr">
        <is>
          <t>0 sec</t>
        </is>
      </c>
      <c r="N99" s="20" t="inlineStr">
        <is>
          <t xml:space="preserve">        441K           441K            39K</t>
        </is>
      </c>
      <c r="O99" s="20" t="inlineStr">
        <is>
          <t>nZuEp76CPtVFy7SsRh9DhTin2uCEPceEnKbLaWcpump</t>
        </is>
      </c>
      <c r="P99" s="20">
        <f>HYPERLINK("https://dexscreener.com/solana/nZuEp76CPtVFy7SsRh9DhTin2uCEPceEnKbLaWcpump", "View")</f>
        <v/>
      </c>
    </row>
    <row r="100">
      <c r="A100" s="15" t="inlineStr">
        <is>
          <t>ChadGPT</t>
        </is>
      </c>
      <c r="B100" s="16" t="n">
        <v>135902</v>
      </c>
      <c r="C100" s="16" t="n">
        <v>0</v>
      </c>
      <c r="D100" s="16" t="inlineStr">
        <is>
          <t>0.005000</t>
        </is>
      </c>
      <c r="E100" s="16" t="inlineStr">
        <is>
          <t>0.200 SOL</t>
        </is>
      </c>
      <c r="F100" s="16" t="inlineStr">
        <is>
          <t>0.000 SOL</t>
        </is>
      </c>
      <c r="G100" s="17" t="inlineStr">
        <is>
          <t>-0.205 SOL</t>
        </is>
      </c>
      <c r="H100" s="17" t="inlineStr">
        <is>
          <t>0.00%</t>
        </is>
      </c>
      <c r="I100" s="16" t="inlineStr">
        <is>
          <t>135,902</t>
        </is>
      </c>
      <c r="J100" s="16" t="n">
        <v>1</v>
      </c>
      <c r="K100" s="16" t="n">
        <v>0</v>
      </c>
      <c r="L100" s="16" t="inlineStr">
        <is>
          <t>08.10.2024 21:13:26</t>
        </is>
      </c>
      <c r="M100" s="18" t="inlineStr">
        <is>
          <t>0 sec</t>
        </is>
      </c>
      <c r="N100" s="16" t="inlineStr">
        <is>
          <t xml:space="preserve">        238K           238K            24K</t>
        </is>
      </c>
      <c r="O100" s="16" t="inlineStr">
        <is>
          <t>62CGp1npmxMTuUA4p8kKrWeNj9TURu12MVgPPZwMpump</t>
        </is>
      </c>
      <c r="P100" s="16">
        <f>HYPERLINK("https://dexscreener.com/solana/62CGp1npmxMTuUA4p8kKrWeNj9TURu12MVgPPZwMpump", "View")</f>
        <v/>
      </c>
    </row>
    <row r="101">
      <c r="A101" s="19" t="inlineStr">
        <is>
          <t>DMG</t>
        </is>
      </c>
      <c r="B101" s="20" t="n">
        <v>32059</v>
      </c>
      <c r="C101" s="20" t="n">
        <v>0</v>
      </c>
      <c r="D101" s="20" t="inlineStr">
        <is>
          <t>0.003340</t>
        </is>
      </c>
      <c r="E101" s="20" t="inlineStr">
        <is>
          <t>0.200 SOL</t>
        </is>
      </c>
      <c r="F101" s="20" t="inlineStr">
        <is>
          <t>0.000 SOL</t>
        </is>
      </c>
      <c r="G101" s="17" t="inlineStr">
        <is>
          <t>-0.203 SOL</t>
        </is>
      </c>
      <c r="H101" s="17" t="inlineStr">
        <is>
          <t>0.00%</t>
        </is>
      </c>
      <c r="I101" s="20" t="inlineStr">
        <is>
          <t>32,059</t>
        </is>
      </c>
      <c r="J101" s="20" t="n">
        <v>1</v>
      </c>
      <c r="K101" s="20" t="n">
        <v>0</v>
      </c>
      <c r="L101" s="20" t="inlineStr">
        <is>
          <t>08.10.2024 19:02:25</t>
        </is>
      </c>
      <c r="M101" s="18" t="inlineStr">
        <is>
          <t>0 sec</t>
        </is>
      </c>
      <c r="N101" s="20" t="inlineStr">
        <is>
          <t xml:space="preserve">          1M             1M           316K</t>
        </is>
      </c>
      <c r="O101" s="20" t="inlineStr">
        <is>
          <t>GjjDzSuRzbzf8bQbcZR1RgEpPmmHKyTMqksQJhx5pump</t>
        </is>
      </c>
      <c r="P101" s="20">
        <f>HYPERLINK("https://dexscreener.com/solana/GjjDzSuRzbzf8bQbcZR1RgEpPmmHKyTMqksQJhx5pump", "View")</f>
        <v/>
      </c>
    </row>
    <row r="102">
      <c r="A102" s="15" t="inlineStr">
        <is>
          <t>WarCat</t>
        </is>
      </c>
      <c r="B102" s="16" t="n">
        <v>271109</v>
      </c>
      <c r="C102" s="16" t="n">
        <v>0</v>
      </c>
      <c r="D102" s="16" t="inlineStr">
        <is>
          <t>0.003030</t>
        </is>
      </c>
      <c r="E102" s="16" t="inlineStr">
        <is>
          <t>0.200 SOL</t>
        </is>
      </c>
      <c r="F102" s="16" t="inlineStr">
        <is>
          <t>0.000 SOL</t>
        </is>
      </c>
      <c r="G102" s="17" t="inlineStr">
        <is>
          <t>-0.203 SOL</t>
        </is>
      </c>
      <c r="H102" s="17" t="inlineStr">
        <is>
          <t>0.00%</t>
        </is>
      </c>
      <c r="I102" s="16" t="inlineStr">
        <is>
          <t>271,109</t>
        </is>
      </c>
      <c r="J102" s="16" t="n">
        <v>1</v>
      </c>
      <c r="K102" s="16" t="n">
        <v>0</v>
      </c>
      <c r="L102" s="16" t="inlineStr">
        <is>
          <t>06.10.2024 17:37:45</t>
        </is>
      </c>
      <c r="M102" s="18" t="inlineStr">
        <is>
          <t>0 sec</t>
        </is>
      </c>
      <c r="N102" s="16" t="inlineStr">
        <is>
          <t xml:space="preserve">        112K           112K           189K</t>
        </is>
      </c>
      <c r="O102" s="16" t="inlineStr">
        <is>
          <t>E9Y5DNYJMrGiPTUP3iPXmKgoTQ76EqiANBPpNfgfSb8m</t>
        </is>
      </c>
      <c r="P102" s="16">
        <f>HYPERLINK("https://dexscreener.com/solana/E9Y5DNYJMrGiPTUP3iPXmKgoTQ76EqiANBPpNfgfSb8m", "View")</f>
        <v/>
      </c>
    </row>
    <row r="103">
      <c r="A103" s="19" t="inlineStr">
        <is>
          <t>WHITE</t>
        </is>
      </c>
      <c r="B103" s="20" t="n">
        <v>385836</v>
      </c>
      <c r="C103" s="20" t="n">
        <v>0</v>
      </c>
      <c r="D103" s="20" t="inlineStr">
        <is>
          <t>0.002530</t>
        </is>
      </c>
      <c r="E103" s="20" t="inlineStr">
        <is>
          <t>0.200 SOL</t>
        </is>
      </c>
      <c r="F103" s="20" t="inlineStr">
        <is>
          <t>0.000 SOL</t>
        </is>
      </c>
      <c r="G103" s="17" t="inlineStr">
        <is>
          <t>-0.203 SOL</t>
        </is>
      </c>
      <c r="H103" s="17" t="inlineStr">
        <is>
          <t>0.00%</t>
        </is>
      </c>
      <c r="I103" s="20" t="inlineStr">
        <is>
          <t>385,836</t>
        </is>
      </c>
      <c r="J103" s="20" t="n">
        <v>1</v>
      </c>
      <c r="K103" s="20" t="n">
        <v>0</v>
      </c>
      <c r="L103" s="20" t="inlineStr">
        <is>
          <t>02.10.2024 23:23:28</t>
        </is>
      </c>
      <c r="M103" s="18" t="inlineStr">
        <is>
          <t>0 sec</t>
        </is>
      </c>
      <c r="N103" s="20" t="inlineStr">
        <is>
          <t xml:space="preserve">         84K            84K            83K</t>
        </is>
      </c>
      <c r="O103" s="20" t="inlineStr">
        <is>
          <t>7ff3PS2UCgTmNZ1RtH1ADpK2d7Zd7L7MLLQj4bpT3Vkp</t>
        </is>
      </c>
      <c r="P103" s="20">
        <f>HYPERLINK("https://dexscreener.com/solana/7ff3PS2UCgTmNZ1RtH1ADpK2d7Zd7L7MLLQj4bpT3Vkp", "View")</f>
        <v/>
      </c>
    </row>
    <row r="104">
      <c r="A104" s="15" t="inlineStr">
        <is>
          <t>MEOWING</t>
        </is>
      </c>
      <c r="B104" s="16" t="n">
        <v>639320</v>
      </c>
      <c r="C104" s="16" t="n">
        <v>0</v>
      </c>
      <c r="D104" s="16" t="inlineStr">
        <is>
          <t>0.005000</t>
        </is>
      </c>
      <c r="E104" s="16" t="inlineStr">
        <is>
          <t>0.213 SOL</t>
        </is>
      </c>
      <c r="F104" s="16" t="inlineStr">
        <is>
          <t>0.000 SOL</t>
        </is>
      </c>
      <c r="G104" s="17" t="inlineStr">
        <is>
          <t>-0.218 SOL</t>
        </is>
      </c>
      <c r="H104" s="17" t="inlineStr">
        <is>
          <t>0.00%</t>
        </is>
      </c>
      <c r="I104" s="16" t="inlineStr">
        <is>
          <t>639,320</t>
        </is>
      </c>
      <c r="J104" s="16" t="n">
        <v>1</v>
      </c>
      <c r="K104" s="16" t="n">
        <v>0</v>
      </c>
      <c r="L104" s="16" t="inlineStr">
        <is>
          <t>30.09.2024 22:42:33</t>
        </is>
      </c>
      <c r="M104" s="18" t="inlineStr">
        <is>
          <t>0 sec</t>
        </is>
      </c>
      <c r="N104" s="16" t="inlineStr">
        <is>
          <t xml:space="preserve">         58K            58K             3K</t>
        </is>
      </c>
      <c r="O104" s="16" t="inlineStr">
        <is>
          <t>i4qA7cZrzc9TcA57ydVXb84B38SmSsmU7EKRRcgpump</t>
        </is>
      </c>
      <c r="P104" s="16">
        <f>HYPERLINK("https://photon-sol.tinyastro.io/en/lp/i4qA7cZrzc9TcA57ydVXb84B38SmSsmU7EKRRcgpump?handle=676050794bc1b1657a56b", "View")</f>
        <v/>
      </c>
    </row>
    <row r="105">
      <c r="A105" s="19" t="inlineStr">
        <is>
          <t>Pj</t>
        </is>
      </c>
      <c r="B105" s="20" t="n">
        <v>773843</v>
      </c>
      <c r="C105" s="20" t="n">
        <v>696458</v>
      </c>
      <c r="D105" s="20" t="inlineStr">
        <is>
          <t>0.017010</t>
        </is>
      </c>
      <c r="E105" s="20" t="inlineStr">
        <is>
          <t>0.207 SOL</t>
        </is>
      </c>
      <c r="F105" s="20" t="inlineStr">
        <is>
          <t>3.022 SOL</t>
        </is>
      </c>
      <c r="G105" s="23" t="inlineStr">
        <is>
          <t>2.797 SOL</t>
        </is>
      </c>
      <c r="H105" s="23" t="inlineStr">
        <is>
          <t>1246.12%</t>
        </is>
      </c>
      <c r="I105" s="20" t="inlineStr">
        <is>
          <t>N/A</t>
        </is>
      </c>
      <c r="J105" s="20" t="n">
        <v>1</v>
      </c>
      <c r="K105" s="20" t="n">
        <v>2</v>
      </c>
      <c r="L105" s="20" t="inlineStr">
        <is>
          <t>30.09.2024 21:42:47</t>
        </is>
      </c>
      <c r="M105" s="20" t="inlineStr">
        <is>
          <t>2 hours</t>
        </is>
      </c>
      <c r="N105" s="20" t="inlineStr">
        <is>
          <t xml:space="preserve">         47K           513K             8K</t>
        </is>
      </c>
      <c r="O105" s="20" t="inlineStr">
        <is>
          <t>DQdkV8CC93k51hjkCPnEbP9f1tJhH39LX3sV2NChpump</t>
        </is>
      </c>
      <c r="P105" s="20">
        <f>HYPERLINK("https://photon-sol.tinyastro.io/en/lp/DQdkV8CC93k51hjkCPnEbP9f1tJhH39LX3sV2NChpump?handle=676050794bc1b1657a56b", "View")</f>
        <v/>
      </c>
    </row>
    <row r="106">
      <c r="A106" s="15" t="inlineStr">
        <is>
          <t>PADMAE</t>
        </is>
      </c>
      <c r="B106" s="16" t="n">
        <v>48845</v>
      </c>
      <c r="C106" s="16" t="n">
        <v>47868</v>
      </c>
      <c r="D106" s="16" t="inlineStr">
        <is>
          <t>0.019020</t>
        </is>
      </c>
      <c r="E106" s="16" t="inlineStr">
        <is>
          <t>0.200 SOL</t>
        </is>
      </c>
      <c r="F106" s="16" t="inlineStr">
        <is>
          <t>0.151 SOL</t>
        </is>
      </c>
      <c r="G106" s="21" t="inlineStr">
        <is>
          <t>-0.068 SOL</t>
        </is>
      </c>
      <c r="H106" s="21" t="inlineStr">
        <is>
          <t>-30.93%</t>
        </is>
      </c>
      <c r="I106" s="16" t="inlineStr">
        <is>
          <t>N/A</t>
        </is>
      </c>
      <c r="J106" s="16" t="n">
        <v>1</v>
      </c>
      <c r="K106" s="16" t="n">
        <v>2</v>
      </c>
      <c r="L106" s="16" t="inlineStr">
        <is>
          <t>30.09.2024 20:33:13</t>
        </is>
      </c>
      <c r="M106" s="16" t="inlineStr">
        <is>
          <t>28 min</t>
        </is>
      </c>
      <c r="N106" s="16" t="inlineStr">
        <is>
          <t xml:space="preserve">        718K           765K            23K</t>
        </is>
      </c>
      <c r="O106" s="16" t="inlineStr">
        <is>
          <t>91oBzETvpZQQR6Qhs43xQVTV4Am6RMQSGDQSiJh4pump</t>
        </is>
      </c>
      <c r="P106" s="16">
        <f>HYPERLINK("https://dexscreener.com/solana/91oBzETvpZQQR6Qhs43xQVTV4Am6RMQSGDQSiJh4pump", "View")</f>
        <v/>
      </c>
    </row>
    <row r="107">
      <c r="A107" s="19" t="inlineStr">
        <is>
          <t>FLASH</t>
        </is>
      </c>
      <c r="B107" s="20" t="n">
        <v>894157</v>
      </c>
      <c r="C107" s="20" t="n">
        <v>0</v>
      </c>
      <c r="D107" s="20" t="inlineStr">
        <is>
          <t>0.007000</t>
        </is>
      </c>
      <c r="E107" s="20" t="inlineStr">
        <is>
          <t>0.400 SOL</t>
        </is>
      </c>
      <c r="F107" s="20" t="inlineStr">
        <is>
          <t>0.000 SOL</t>
        </is>
      </c>
      <c r="G107" s="17" t="inlineStr">
        <is>
          <t>-0.407 SOL</t>
        </is>
      </c>
      <c r="H107" s="17" t="inlineStr">
        <is>
          <t>0.00%</t>
        </is>
      </c>
      <c r="I107" s="20" t="inlineStr">
        <is>
          <t>894,157</t>
        </is>
      </c>
      <c r="J107" s="20" t="n">
        <v>1</v>
      </c>
      <c r="K107" s="20" t="n">
        <v>0</v>
      </c>
      <c r="L107" s="20" t="inlineStr">
        <is>
          <t>28.09.2024 12:46:42</t>
        </is>
      </c>
      <c r="M107" s="18" t="inlineStr">
        <is>
          <t>0 sec</t>
        </is>
      </c>
      <c r="N107" s="20" t="inlineStr">
        <is>
          <t xml:space="preserve">         79K            79K             4K</t>
        </is>
      </c>
      <c r="O107" s="20" t="inlineStr">
        <is>
          <t>5DS6nR7C94eiUav9Exju7LRgnYydsR6eqUBqCrYLpump</t>
        </is>
      </c>
      <c r="P107" s="20">
        <f>HYPERLINK("https://dexscreener.com/solana/5DS6nR7C94eiUav9Exju7LRgnYydsR6eqUBqCrYLpump", "View")</f>
        <v/>
      </c>
    </row>
    <row r="108">
      <c r="A108" s="15" t="inlineStr">
        <is>
          <t>MOGDENG</t>
        </is>
      </c>
      <c r="B108" s="16" t="n">
        <v>5762239</v>
      </c>
      <c r="C108" s="16" t="n">
        <v>0</v>
      </c>
      <c r="D108" s="16" t="inlineStr">
        <is>
          <t>0.004000</t>
        </is>
      </c>
      <c r="E108" s="16" t="inlineStr">
        <is>
          <t>0.313 SOL</t>
        </is>
      </c>
      <c r="F108" s="16" t="inlineStr">
        <is>
          <t>0.000 SOL</t>
        </is>
      </c>
      <c r="G108" s="17" t="inlineStr">
        <is>
          <t>-0.318 SOL</t>
        </is>
      </c>
      <c r="H108" s="17" t="inlineStr">
        <is>
          <t>0.00%</t>
        </is>
      </c>
      <c r="I108" s="16" t="inlineStr">
        <is>
          <t>5,762,239</t>
        </is>
      </c>
      <c r="J108" s="16" t="n">
        <v>1</v>
      </c>
      <c r="K108" s="16" t="n">
        <v>0</v>
      </c>
      <c r="L108" s="16" t="inlineStr">
        <is>
          <t>21.09.2024 10:16:15</t>
        </is>
      </c>
      <c r="M108" s="18" t="inlineStr">
        <is>
          <t>0 sec</t>
        </is>
      </c>
      <c r="N108" s="16" t="inlineStr">
        <is>
          <t xml:space="preserve">        N/A           N/A           N/A</t>
        </is>
      </c>
      <c r="O108" s="16" t="inlineStr">
        <is>
          <t>BGctxGyxkc2LCospSFN2Vmb7NZM3UcFKLPvYqMUppump</t>
        </is>
      </c>
      <c r="P108" s="16">
        <f>HYPERLINK("https://photon-sol.tinyastro.io/en/lp/BGctxGyxkc2LCospSFN2Vmb7NZM3UcFKLPvYqMUppump?handle=676050794bc1b1657a56b", "View")</f>
        <v/>
      </c>
    </row>
    <row r="109">
      <c r="A109" s="19" t="inlineStr">
        <is>
          <t>GLT</t>
        </is>
      </c>
      <c r="B109" s="20" t="n">
        <v>97932</v>
      </c>
      <c r="C109" s="20" t="n">
        <v>0</v>
      </c>
      <c r="D109" s="20" t="inlineStr">
        <is>
          <t>0.001400</t>
        </is>
      </c>
      <c r="E109" s="20" t="inlineStr">
        <is>
          <t>0.100 SOL</t>
        </is>
      </c>
      <c r="F109" s="20" t="inlineStr">
        <is>
          <t>0.000 SOL</t>
        </is>
      </c>
      <c r="G109" s="17" t="inlineStr">
        <is>
          <t>-0.101 SOL</t>
        </is>
      </c>
      <c r="H109" s="17" t="inlineStr">
        <is>
          <t>0.00%</t>
        </is>
      </c>
      <c r="I109" s="20" t="inlineStr">
        <is>
          <t>97,932</t>
        </is>
      </c>
      <c r="J109" s="20" t="n">
        <v>1</v>
      </c>
      <c r="K109" s="20" t="n">
        <v>0</v>
      </c>
      <c r="L109" s="20" t="inlineStr">
        <is>
          <t>12.09.2024 22:27:39</t>
        </is>
      </c>
      <c r="M109" s="18" t="inlineStr">
        <is>
          <t>0 sec</t>
        </is>
      </c>
      <c r="N109" s="20" t="inlineStr">
        <is>
          <t xml:space="preserve">        179K           179K             4K</t>
        </is>
      </c>
      <c r="O109" s="20" t="inlineStr">
        <is>
          <t>KnvKe4e3B5iycZs4tcqg8AXNgxeANq3wHcRYxXspump</t>
        </is>
      </c>
      <c r="P109" s="20">
        <f>HYPERLINK("https://dexscreener.com/solana/KnvKe4e3B5iycZs4tcqg8AXNgxeANq3wHcRYxXspump", "View")</f>
        <v/>
      </c>
    </row>
    <row r="110">
      <c r="A110" s="15" t="inlineStr">
        <is>
          <t>kamakama</t>
        </is>
      </c>
      <c r="B110" s="16" t="n">
        <v>3496611</v>
      </c>
      <c r="C110" s="16" t="n">
        <v>0</v>
      </c>
      <c r="D110" s="16" t="inlineStr">
        <is>
          <t>0.000810</t>
        </is>
      </c>
      <c r="E110" s="16" t="inlineStr">
        <is>
          <t>1.003 SOL</t>
        </is>
      </c>
      <c r="F110" s="16" t="inlineStr">
        <is>
          <t>0.000 SOL</t>
        </is>
      </c>
      <c r="G110" s="17" t="inlineStr">
        <is>
          <t>-1.003 SOL</t>
        </is>
      </c>
      <c r="H110" s="17" t="inlineStr">
        <is>
          <t>0.00%</t>
        </is>
      </c>
      <c r="I110" s="16" t="inlineStr">
        <is>
          <t>3,496,611</t>
        </is>
      </c>
      <c r="J110" s="16" t="n">
        <v>1</v>
      </c>
      <c r="K110" s="16" t="n">
        <v>0</v>
      </c>
      <c r="L110" s="16" t="inlineStr">
        <is>
          <t>10.09.2024 23:34:47</t>
        </is>
      </c>
      <c r="M110" s="18" t="inlineStr">
        <is>
          <t>0 sec</t>
        </is>
      </c>
      <c r="N110" s="16" t="inlineStr">
        <is>
          <t xml:space="preserve">         47K            47K             5K</t>
        </is>
      </c>
      <c r="O110" s="16" t="inlineStr">
        <is>
          <t>Apa5K6sxnHEFNW6LcXdaNvAFD1HwCcwsi6C58dLRpump</t>
        </is>
      </c>
      <c r="P110" s="16">
        <f>HYPERLINK("https://photon-sol.tinyastro.io/en/lp/Apa5K6sxnHEFNW6LcXdaNvAFD1HwCcwsi6C58dLRpump?handle=676050794bc1b1657a56b", "View")</f>
        <v/>
      </c>
    </row>
    <row r="111">
      <c r="A111" s="19" t="inlineStr">
        <is>
          <t>GOON</t>
        </is>
      </c>
      <c r="B111" s="20" t="n">
        <v>1512892</v>
      </c>
      <c r="C111" s="20" t="n">
        <v>1512892</v>
      </c>
      <c r="D111" s="20" t="inlineStr">
        <is>
          <t>0.002410</t>
        </is>
      </c>
      <c r="E111" s="20" t="inlineStr">
        <is>
          <t>0.500 SOL</t>
        </is>
      </c>
      <c r="F111" s="20" t="inlineStr">
        <is>
          <t>0.456 SOL</t>
        </is>
      </c>
      <c r="G111" s="21" t="inlineStr">
        <is>
          <t>-0.047 SOL</t>
        </is>
      </c>
      <c r="H111" s="21" t="inlineStr">
        <is>
          <t>-9.27%</t>
        </is>
      </c>
      <c r="I111" s="20" t="inlineStr">
        <is>
          <t>N/A</t>
        </is>
      </c>
      <c r="J111" s="20" t="n">
        <v>1</v>
      </c>
      <c r="K111" s="20" t="n">
        <v>1</v>
      </c>
      <c r="L111" s="20" t="inlineStr">
        <is>
          <t>21.08.2024 19:00:41</t>
        </is>
      </c>
      <c r="M111" s="20" t="inlineStr">
        <is>
          <t>3 min</t>
        </is>
      </c>
      <c r="N111" s="20" t="inlineStr">
        <is>
          <t xml:space="preserve">         58K            53K             4K</t>
        </is>
      </c>
      <c r="O111" s="20" t="inlineStr">
        <is>
          <t>CAbm6NpjQKiVHFhju8e6ainyUPhwrfd9Lhs9UvqApump</t>
        </is>
      </c>
      <c r="P111" s="20">
        <f>HYPERLINK("https://dexscreener.com/solana/CAbm6NpjQKiVHFhju8e6ainyUPhwrfd9Lhs9UvqApump", "View")</f>
        <v/>
      </c>
    </row>
    <row r="112">
      <c r="A112" s="15" t="inlineStr">
        <is>
          <t>Award</t>
        </is>
      </c>
      <c r="B112" s="16" t="n">
        <v>3358772</v>
      </c>
      <c r="C112" s="16" t="n">
        <v>0</v>
      </c>
      <c r="D112" s="16" t="inlineStr">
        <is>
          <t>0.000810</t>
        </is>
      </c>
      <c r="E112" s="16" t="inlineStr">
        <is>
          <t>0.363 SOL</t>
        </is>
      </c>
      <c r="F112" s="16" t="inlineStr">
        <is>
          <t>0.000 SOL</t>
        </is>
      </c>
      <c r="G112" s="17" t="inlineStr">
        <is>
          <t>-0.363 SOL</t>
        </is>
      </c>
      <c r="H112" s="17" t="inlineStr">
        <is>
          <t>0.00%</t>
        </is>
      </c>
      <c r="I112" s="16" t="inlineStr">
        <is>
          <t>3,358,772</t>
        </is>
      </c>
      <c r="J112" s="16" t="n">
        <v>1</v>
      </c>
      <c r="K112" s="16" t="n">
        <v>0</v>
      </c>
      <c r="L112" s="16" t="inlineStr">
        <is>
          <t>19.08.2024 16:27:34</t>
        </is>
      </c>
      <c r="M112" s="18" t="inlineStr">
        <is>
          <t>0 sec</t>
        </is>
      </c>
      <c r="N112" s="16" t="inlineStr">
        <is>
          <t xml:space="preserve">        N/A           N/A           N/A</t>
        </is>
      </c>
      <c r="O112" s="16" t="inlineStr">
        <is>
          <t>BRpDnQnCn9saWt2zZqMngp8efSbtqVE9E6Av7GRXpump</t>
        </is>
      </c>
      <c r="P112" s="16">
        <f>HYPERLINK("https://photon-sol.tinyastro.io/en/lp/BRpDnQnCn9saWt2zZqMngp8efSbtqVE9E6Av7GRXpump?handle=676050794bc1b1657a56b", "View")</f>
        <v/>
      </c>
    </row>
    <row r="113">
      <c r="A113" s="19" t="inlineStr">
        <is>
          <t>r/wsb</t>
        </is>
      </c>
      <c r="B113" s="20" t="n">
        <v>2422722</v>
      </c>
      <c r="C113" s="20" t="n">
        <v>2180449</v>
      </c>
      <c r="D113" s="20" t="inlineStr">
        <is>
          <t>0.002410</t>
        </is>
      </c>
      <c r="E113" s="20" t="inlineStr">
        <is>
          <t>1.000 SOL</t>
        </is>
      </c>
      <c r="F113" s="20" t="inlineStr">
        <is>
          <t>0.782 SOL</t>
        </is>
      </c>
      <c r="G113" s="21" t="inlineStr">
        <is>
          <t>-0.220 SOL</t>
        </is>
      </c>
      <c r="H113" s="21" t="inlineStr">
        <is>
          <t>-21.96%</t>
        </is>
      </c>
      <c r="I113" s="20" t="inlineStr">
        <is>
          <t>N/A</t>
        </is>
      </c>
      <c r="J113" s="20" t="n">
        <v>1</v>
      </c>
      <c r="K113" s="20" t="n">
        <v>1</v>
      </c>
      <c r="L113" s="20" t="inlineStr">
        <is>
          <t>19.08.2024 16:26:43</t>
        </is>
      </c>
      <c r="M113" s="20" t="inlineStr">
        <is>
          <t>13 min</t>
        </is>
      </c>
      <c r="N113" s="20" t="inlineStr">
        <is>
          <t xml:space="preserve">         68K            60K             4K</t>
        </is>
      </c>
      <c r="O113" s="20" t="inlineStr">
        <is>
          <t>3hm4qYYAx8bGzbGE5KuMrR5wUVMVEpGLyjegYWEppump</t>
        </is>
      </c>
      <c r="P113" s="20">
        <f>HYPERLINK("https://dexscreener.com/solana/3hm4qYYAx8bGzbGE5KuMrR5wUVMVEpGLyjegYWEppump", "View")</f>
        <v/>
      </c>
    </row>
    <row r="114">
      <c r="A114" s="15" t="inlineStr">
        <is>
          <t>qwerty</t>
        </is>
      </c>
      <c r="B114" s="16" t="n">
        <v>5042779</v>
      </c>
      <c r="C114" s="16" t="n">
        <v>5042779</v>
      </c>
      <c r="D114" s="16" t="inlineStr">
        <is>
          <t>0.001210</t>
        </is>
      </c>
      <c r="E114" s="16" t="inlineStr">
        <is>
          <t>0.452 SOL</t>
        </is>
      </c>
      <c r="F114" s="16" t="inlineStr">
        <is>
          <t>0.621 SOL</t>
        </is>
      </c>
      <c r="G114" s="22" t="inlineStr">
        <is>
          <t>0.168 SOL</t>
        </is>
      </c>
      <c r="H114" s="22" t="inlineStr">
        <is>
          <t>36.96%</t>
        </is>
      </c>
      <c r="I114" s="16" t="inlineStr">
        <is>
          <t>N/A</t>
        </is>
      </c>
      <c r="J114" s="16" t="n">
        <v>1</v>
      </c>
      <c r="K114" s="16" t="n">
        <v>1</v>
      </c>
      <c r="L114" s="16" t="inlineStr">
        <is>
          <t>19.08.2024 15:52:53</t>
        </is>
      </c>
      <c r="M114" s="16" t="inlineStr">
        <is>
          <t>1 hours</t>
        </is>
      </c>
      <c r="N114" s="16" t="inlineStr">
        <is>
          <t xml:space="preserve">        N/A           N/A           N/A</t>
        </is>
      </c>
      <c r="O114" s="16" t="inlineStr">
        <is>
          <t>BoWjyA7fkb6Gh9qzVV1KMoXzdHSARhnojryxvCxipump</t>
        </is>
      </c>
      <c r="P114" s="16">
        <f>HYPERLINK("https://photon-sol.tinyastro.io/en/lp/BoWjyA7fkb6Gh9qzVV1KMoXzdHSARhnojryxvCxipump?handle=676050794bc1b1657a56b", "View")</f>
        <v/>
      </c>
    </row>
    <row r="115">
      <c r="A115" s="19" t="inlineStr">
        <is>
          <t>$MUD</t>
        </is>
      </c>
      <c r="B115" s="20" t="n">
        <v>208645</v>
      </c>
      <c r="C115" s="20" t="n">
        <v>208645</v>
      </c>
      <c r="D115" s="20" t="inlineStr">
        <is>
          <t>0.002410</t>
        </is>
      </c>
      <c r="E115" s="20" t="inlineStr">
        <is>
          <t>0.500 SOL</t>
        </is>
      </c>
      <c r="F115" s="20" t="inlineStr">
        <is>
          <t>0.095 SOL</t>
        </is>
      </c>
      <c r="G115" s="24" t="inlineStr">
        <is>
          <t>-0.407 SOL</t>
        </is>
      </c>
      <c r="H115" s="24" t="inlineStr">
        <is>
          <t>-81.08%</t>
        </is>
      </c>
      <c r="I115" s="20" t="inlineStr">
        <is>
          <t>N/A</t>
        </is>
      </c>
      <c r="J115" s="20" t="n">
        <v>1</v>
      </c>
      <c r="K115" s="20" t="n">
        <v>1</v>
      </c>
      <c r="L115" s="20" t="inlineStr">
        <is>
          <t>18.08.2024 13:39:15</t>
        </is>
      </c>
      <c r="M115" s="20" t="inlineStr">
        <is>
          <t>19 hours</t>
        </is>
      </c>
      <c r="N115" s="20" t="inlineStr">
        <is>
          <t xml:space="preserve">        417K            80K             7K</t>
        </is>
      </c>
      <c r="O115" s="20" t="inlineStr">
        <is>
          <t>FPrqbQYZmGZuqC3WvyHMMaV1DPpZbDWHuo1gWfcdpump</t>
        </is>
      </c>
      <c r="P115" s="20">
        <f>HYPERLINK("https://dexscreener.com/solana/FPrqbQYZmGZuqC3WvyHMMaV1DPpZbDWHuo1gWfcdpump", "View")</f>
        <v/>
      </c>
    </row>
    <row r="116">
      <c r="A116" s="15" t="inlineStr">
        <is>
          <t>ECTO</t>
        </is>
      </c>
      <c r="B116" s="16" t="n">
        <v>3407185</v>
      </c>
      <c r="C116" s="16" t="n">
        <v>2400635</v>
      </c>
      <c r="D116" s="16" t="inlineStr">
        <is>
          <t>0.003810</t>
        </is>
      </c>
      <c r="E116" s="16" t="inlineStr">
        <is>
          <t>1.000 SOL</t>
        </is>
      </c>
      <c r="F116" s="16" t="inlineStr">
        <is>
          <t>0.388 SOL</t>
        </is>
      </c>
      <c r="G116" s="24" t="inlineStr">
        <is>
          <t>-0.616 SOL</t>
        </is>
      </c>
      <c r="H116" s="24" t="inlineStr">
        <is>
          <t>-61.38%</t>
        </is>
      </c>
      <c r="I116" s="16" t="inlineStr">
        <is>
          <t>N/A</t>
        </is>
      </c>
      <c r="J116" s="16" t="n">
        <v>2</v>
      </c>
      <c r="K116" s="16" t="n">
        <v>1</v>
      </c>
      <c r="L116" s="16" t="inlineStr">
        <is>
          <t>16.08.2024 15:52:31</t>
        </is>
      </c>
      <c r="M116" s="16" t="inlineStr">
        <is>
          <t>14 hours</t>
        </is>
      </c>
      <c r="N116" s="16" t="inlineStr">
        <is>
          <t xml:space="preserve">         37K            88K             4K</t>
        </is>
      </c>
      <c r="O116" s="16" t="inlineStr">
        <is>
          <t>4yepqmShC12X2uyyH8va5xUuCCwDqcAwutZ68u4ekBPm</t>
        </is>
      </c>
      <c r="P116" s="16">
        <f>HYPERLINK("https://dexscreener.com/solana/4yepqmShC12X2uyyH8va5xUuCCwDqcAwutZ68u4ekBPm", "View")</f>
        <v/>
      </c>
    </row>
    <row r="117">
      <c r="A117" s="19" t="inlineStr">
        <is>
          <t>PAT</t>
        </is>
      </c>
      <c r="B117" s="20" t="n">
        <v>209234</v>
      </c>
      <c r="C117" s="20" t="n">
        <v>0</v>
      </c>
      <c r="D117" s="20" t="inlineStr">
        <is>
          <t>0.001400</t>
        </is>
      </c>
      <c r="E117" s="20" t="inlineStr">
        <is>
          <t>0.500 SOL</t>
        </is>
      </c>
      <c r="F117" s="20" t="inlineStr">
        <is>
          <t>0.000 SOL</t>
        </is>
      </c>
      <c r="G117" s="17" t="inlineStr">
        <is>
          <t>-0.501 SOL</t>
        </is>
      </c>
      <c r="H117" s="17" t="inlineStr">
        <is>
          <t>0.00%</t>
        </is>
      </c>
      <c r="I117" s="20" t="inlineStr">
        <is>
          <t>209,234</t>
        </is>
      </c>
      <c r="J117" s="20" t="n">
        <v>1</v>
      </c>
      <c r="K117" s="20" t="n">
        <v>0</v>
      </c>
      <c r="L117" s="20" t="inlineStr">
        <is>
          <t>16.08.2024 15:32:18</t>
        </is>
      </c>
      <c r="M117" s="18" t="inlineStr">
        <is>
          <t>0 sec</t>
        </is>
      </c>
      <c r="N117" s="20" t="inlineStr">
        <is>
          <t xml:space="preserve">        420K           420K             3K</t>
        </is>
      </c>
      <c r="O117" s="20" t="inlineStr">
        <is>
          <t>4bqHju4gdAYukSYHZkNi5MNzneSqDkkonPRjNhLGpump</t>
        </is>
      </c>
      <c r="P117" s="20">
        <f>HYPERLINK("https://dexscreener.com/solana/4bqHju4gdAYukSYHZkNi5MNzneSqDkkonPRjNhLGpump", "View")</f>
        <v/>
      </c>
    </row>
    <row r="118">
      <c r="A118" s="15" t="inlineStr">
        <is>
          <t>liz</t>
        </is>
      </c>
      <c r="B118" s="16" t="n">
        <v>1458106</v>
      </c>
      <c r="C118" s="16" t="n">
        <v>1093579</v>
      </c>
      <c r="D118" s="16" t="inlineStr">
        <is>
          <t>0.002410</t>
        </is>
      </c>
      <c r="E118" s="16" t="inlineStr">
        <is>
          <t>0.500 SOL</t>
        </is>
      </c>
      <c r="F118" s="16" t="inlineStr">
        <is>
          <t>0.439 SOL</t>
        </is>
      </c>
      <c r="G118" s="21" t="inlineStr">
        <is>
          <t>-0.063 SOL</t>
        </is>
      </c>
      <c r="H118" s="21" t="inlineStr">
        <is>
          <t>-12.54%</t>
        </is>
      </c>
      <c r="I118" s="16" t="inlineStr">
        <is>
          <t>N/A</t>
        </is>
      </c>
      <c r="J118" s="16" t="n">
        <v>1</v>
      </c>
      <c r="K118" s="16" t="n">
        <v>1</v>
      </c>
      <c r="L118" s="16" t="inlineStr">
        <is>
          <t>16.08.2024 03:22:18</t>
        </is>
      </c>
      <c r="M118" s="16" t="inlineStr">
        <is>
          <t>1 hours</t>
        </is>
      </c>
      <c r="N118" s="16" t="inlineStr">
        <is>
          <t xml:space="preserve">         60K            70K             4K</t>
        </is>
      </c>
      <c r="O118" s="16" t="inlineStr">
        <is>
          <t>iGJyaoqM94xkqkNAmYXPsh9fNSKreGwMUF6AjBupump</t>
        </is>
      </c>
      <c r="P118" s="16">
        <f>HYPERLINK("https://dexscreener.com/solana/iGJyaoqM94xkqkNAmYXPsh9fNSKreGwMUF6AjBupump", "View")</f>
        <v/>
      </c>
    </row>
    <row r="119">
      <c r="A119" s="19" t="inlineStr">
        <is>
          <t>HTML</t>
        </is>
      </c>
      <c r="B119" s="20" t="n">
        <v>2479743</v>
      </c>
      <c r="C119" s="20" t="n">
        <v>2293762</v>
      </c>
      <c r="D119" s="20" t="inlineStr">
        <is>
          <t>0.002820</t>
        </is>
      </c>
      <c r="E119" s="20" t="inlineStr">
        <is>
          <t>0.452 SOL</t>
        </is>
      </c>
      <c r="F119" s="20" t="inlineStr">
        <is>
          <t>1.064 SOL</t>
        </is>
      </c>
      <c r="G119" s="23" t="inlineStr">
        <is>
          <t>0.609 SOL</t>
        </is>
      </c>
      <c r="H119" s="23" t="inlineStr">
        <is>
          <t>133.76%</t>
        </is>
      </c>
      <c r="I119" s="20" t="inlineStr">
        <is>
          <t>N/A</t>
        </is>
      </c>
      <c r="J119" s="20" t="n">
        <v>1</v>
      </c>
      <c r="K119" s="20" t="n">
        <v>2</v>
      </c>
      <c r="L119" s="20" t="inlineStr">
        <is>
          <t>15.08.2024 21:52:42</t>
        </is>
      </c>
      <c r="M119" s="20" t="inlineStr">
        <is>
          <t>1 hours</t>
        </is>
      </c>
      <c r="N119" s="20" t="inlineStr">
        <is>
          <t xml:space="preserve">         32K            61K             4K</t>
        </is>
      </c>
      <c r="O119" s="20" t="inlineStr">
        <is>
          <t>5bpeLGZAUgDX8zLDKwpETtwdwx15dct9GJ7od3Zuc4kZ</t>
        </is>
      </c>
      <c r="P119" s="20">
        <f>HYPERLINK("https://photon-sol.tinyastro.io/en/lp/5bpeLGZAUgDX8zLDKwpETtwdwx15dct9GJ7od3Zuc4kZ?handle=676050794bc1b1657a56b", "View")</f>
        <v/>
      </c>
    </row>
    <row r="120">
      <c r="A120" s="15" t="inlineStr">
        <is>
          <t>GRIPPY</t>
        </is>
      </c>
      <c r="B120" s="16" t="n">
        <v>4042508</v>
      </c>
      <c r="C120" s="16" t="n">
        <v>3638257</v>
      </c>
      <c r="D120" s="16" t="inlineStr">
        <is>
          <t>0.001210</t>
        </is>
      </c>
      <c r="E120" s="16" t="inlineStr">
        <is>
          <t>0.452 SOL</t>
        </is>
      </c>
      <c r="F120" s="16" t="inlineStr">
        <is>
          <t>0.552 SOL</t>
        </is>
      </c>
      <c r="G120" s="22" t="inlineStr">
        <is>
          <t>0.098 SOL</t>
        </is>
      </c>
      <c r="H120" s="22" t="inlineStr">
        <is>
          <t>21.60%</t>
        </is>
      </c>
      <c r="I120" s="16" t="inlineStr">
        <is>
          <t>N/A</t>
        </is>
      </c>
      <c r="J120" s="16" t="n">
        <v>1</v>
      </c>
      <c r="K120" s="16" t="n">
        <v>1</v>
      </c>
      <c r="L120" s="16" t="inlineStr">
        <is>
          <t>15.08.2024 19:50:01</t>
        </is>
      </c>
      <c r="M120" s="16" t="inlineStr">
        <is>
          <t>20 min</t>
        </is>
      </c>
      <c r="N120" s="16" t="inlineStr">
        <is>
          <t xml:space="preserve">        N/A           N/A           N/A</t>
        </is>
      </c>
      <c r="O120" s="16" t="inlineStr">
        <is>
          <t>BjuP9yPyPMxZbGRFk8tNX89HwP52CCMkrCLVxyZ4pump</t>
        </is>
      </c>
      <c r="P120" s="16">
        <f>HYPERLINK("https://photon-sol.tinyastro.io/en/lp/BjuP9yPyPMxZbGRFk8tNX89HwP52CCMkrCLVxyZ4pump?handle=676050794bc1b1657a56b", "View")</f>
        <v/>
      </c>
    </row>
    <row r="121">
      <c r="A121" s="19" t="inlineStr">
        <is>
          <t>KOL</t>
        </is>
      </c>
      <c r="B121" s="20" t="n">
        <v>1254793</v>
      </c>
      <c r="C121" s="20" t="n">
        <v>1003835</v>
      </c>
      <c r="D121" s="20" t="inlineStr">
        <is>
          <t>0.002410</t>
        </is>
      </c>
      <c r="E121" s="20" t="inlineStr">
        <is>
          <t>0.500 SOL</t>
        </is>
      </c>
      <c r="F121" s="20" t="inlineStr">
        <is>
          <t>0.288 SOL</t>
        </is>
      </c>
      <c r="G121" s="21" t="inlineStr">
        <is>
          <t>-0.214 SOL</t>
        </is>
      </c>
      <c r="H121" s="21" t="inlineStr">
        <is>
          <t>-42.66%</t>
        </is>
      </c>
      <c r="I121" s="20" t="inlineStr">
        <is>
          <t>N/A</t>
        </is>
      </c>
      <c r="J121" s="20" t="n">
        <v>1</v>
      </c>
      <c r="K121" s="20" t="n">
        <v>1</v>
      </c>
      <c r="L121" s="20" t="inlineStr">
        <is>
          <t>12.08.2024 19:18:32</t>
        </is>
      </c>
      <c r="M121" s="20" t="inlineStr">
        <is>
          <t>36 min</t>
        </is>
      </c>
      <c r="N121" s="20" t="inlineStr">
        <is>
          <t xml:space="preserve">         70K            51K             3K</t>
        </is>
      </c>
      <c r="O121" s="20" t="inlineStr">
        <is>
          <t>CJqRiyyZiDJJSsGm8JW5US2GCMDoMonH16WQUAHLEdss</t>
        </is>
      </c>
      <c r="P121" s="20">
        <f>HYPERLINK("https://dexscreener.com/solana/CJqRiyyZiDJJSsGm8JW5US2GCMDoMonH16WQUAHLEdss", "View")</f>
        <v/>
      </c>
    </row>
    <row r="122">
      <c r="A122" s="15" t="inlineStr">
        <is>
          <t>cig</t>
        </is>
      </c>
      <c r="B122" s="16" t="n">
        <v>144135</v>
      </c>
      <c r="C122" s="16" t="n">
        <v>115308</v>
      </c>
      <c r="D122" s="16" t="inlineStr">
        <is>
          <t>0.001020</t>
        </is>
      </c>
      <c r="E122" s="16" t="inlineStr">
        <is>
          <t>0.500 SOL</t>
        </is>
      </c>
      <c r="F122" s="16" t="inlineStr">
        <is>
          <t>0.638 SOL</t>
        </is>
      </c>
      <c r="G122" s="22" t="inlineStr">
        <is>
          <t>0.137 SOL</t>
        </is>
      </c>
      <c r="H122" s="22" t="inlineStr">
        <is>
          <t>27.31%</t>
        </is>
      </c>
      <c r="I122" s="16" t="inlineStr">
        <is>
          <t>N/A</t>
        </is>
      </c>
      <c r="J122" s="16" t="n">
        <v>1</v>
      </c>
      <c r="K122" s="16" t="n">
        <v>1</v>
      </c>
      <c r="L122" s="16" t="inlineStr">
        <is>
          <t>12.08.2024 15:14:27</t>
        </is>
      </c>
      <c r="M122" s="16" t="inlineStr">
        <is>
          <t>4 days</t>
        </is>
      </c>
      <c r="N122" s="16" t="inlineStr">
        <is>
          <t xml:space="preserve">        608K           969K           540K</t>
        </is>
      </c>
      <c r="O122" s="16" t="inlineStr">
        <is>
          <t>exRqAuXs967fDkymNXo4eqZEQihEubstBCXPXxwpump</t>
        </is>
      </c>
      <c r="P122" s="16">
        <f>HYPERLINK("https://dexscreener.com/solana/exRqAuXs967fDkymNXo4eqZEQihEubstBCXPXxwpump", "View")</f>
        <v/>
      </c>
    </row>
    <row r="123">
      <c r="A123" s="19" t="inlineStr">
        <is>
          <t>APE</t>
        </is>
      </c>
      <c r="B123" s="20" t="n">
        <v>2429750</v>
      </c>
      <c r="C123" s="20" t="n">
        <v>2186775</v>
      </c>
      <c r="D123" s="20" t="inlineStr">
        <is>
          <t>0.001810</t>
        </is>
      </c>
      <c r="E123" s="20" t="inlineStr">
        <is>
          <t>0.452 SOL</t>
        </is>
      </c>
      <c r="F123" s="20" t="inlineStr">
        <is>
          <t>0.138 SOL</t>
        </is>
      </c>
      <c r="G123" s="24" t="inlineStr">
        <is>
          <t>-0.316 SOL</t>
        </is>
      </c>
      <c r="H123" s="24" t="inlineStr">
        <is>
          <t>-69.60%</t>
        </is>
      </c>
      <c r="I123" s="20" t="inlineStr">
        <is>
          <t>N/A</t>
        </is>
      </c>
      <c r="J123" s="20" t="n">
        <v>1</v>
      </c>
      <c r="K123" s="20" t="n">
        <v>1</v>
      </c>
      <c r="L123" s="20" t="inlineStr">
        <is>
          <t>12.08.2024 06:05:39</t>
        </is>
      </c>
      <c r="M123" s="20" t="inlineStr">
        <is>
          <t>3 min</t>
        </is>
      </c>
      <c r="N123" s="20" t="inlineStr">
        <is>
          <t xml:space="preserve">        N/A           N/A           N/A</t>
        </is>
      </c>
      <c r="O123" s="20" t="inlineStr">
        <is>
          <t>952g1urfJAim7pq88FSBEaa55rokS87uMory3eZfPCw2</t>
        </is>
      </c>
      <c r="P123" s="20">
        <f>HYPERLINK("https://photon-sol.tinyastro.io/en/lp/952g1urfJAim7pq88FSBEaa55rokS87uMory3eZfPCw2?handle=676050794bc1b1657a56b", "View")</f>
        <v/>
      </c>
    </row>
    <row r="124">
      <c r="A124" s="15" t="inlineStr">
        <is>
          <t>WHIP-ITS!</t>
        </is>
      </c>
      <c r="B124" s="16" t="n">
        <v>2523246</v>
      </c>
      <c r="C124" s="16" t="n">
        <v>2523246</v>
      </c>
      <c r="D124" s="16" t="inlineStr">
        <is>
          <t>0.003820</t>
        </is>
      </c>
      <c r="E124" s="16" t="inlineStr">
        <is>
          <t>0.273 SOL</t>
        </is>
      </c>
      <c r="F124" s="16" t="inlineStr">
        <is>
          <t>1.034 SOL</t>
        </is>
      </c>
      <c r="G124" s="23" t="inlineStr">
        <is>
          <t>0.757 SOL</t>
        </is>
      </c>
      <c r="H124" s="23" t="inlineStr">
        <is>
          <t>273.85%</t>
        </is>
      </c>
      <c r="I124" s="16" t="inlineStr">
        <is>
          <t>N/A</t>
        </is>
      </c>
      <c r="J124" s="16" t="n">
        <v>1</v>
      </c>
      <c r="K124" s="16" t="n">
        <v>3</v>
      </c>
      <c r="L124" s="16" t="inlineStr">
        <is>
          <t>12.08.2024 04:40:28</t>
        </is>
      </c>
      <c r="M124" s="16" t="inlineStr">
        <is>
          <t>1 hours</t>
        </is>
      </c>
      <c r="N124" s="16" t="inlineStr">
        <is>
          <t xml:space="preserve">         19K            77K             4K</t>
        </is>
      </c>
      <c r="O124" s="16" t="inlineStr">
        <is>
          <t>C4ySdT94Y81m7Y6Jca6hXPNWz1Zi91HRAG8NGx8npump</t>
        </is>
      </c>
      <c r="P124" s="16">
        <f>HYPERLINK("https://photon-sol.tinyastro.io/en/lp/C4ySdT94Y81m7Y6Jca6hXPNWz1Zi91HRAG8NGx8npump?handle=676050794bc1b1657a56b", "View")</f>
        <v/>
      </c>
    </row>
    <row r="125">
      <c r="A125" s="19" t="inlineStr">
        <is>
          <t>Minion</t>
        </is>
      </c>
      <c r="B125" s="20" t="n">
        <v>234003</v>
      </c>
      <c r="C125" s="20" t="n">
        <v>234003</v>
      </c>
      <c r="D125" s="20" t="inlineStr">
        <is>
          <t>0.008440</t>
        </is>
      </c>
      <c r="E125" s="20" t="inlineStr">
        <is>
          <t>0.250 SOL</t>
        </is>
      </c>
      <c r="F125" s="20" t="inlineStr">
        <is>
          <t>1.463 SOL</t>
        </is>
      </c>
      <c r="G125" s="23" t="inlineStr">
        <is>
          <t>1.204 SOL</t>
        </is>
      </c>
      <c r="H125" s="23" t="inlineStr">
        <is>
          <t>466.00%</t>
        </is>
      </c>
      <c r="I125" s="20" t="inlineStr">
        <is>
          <t>N/A</t>
        </is>
      </c>
      <c r="J125" s="20" t="n">
        <v>1</v>
      </c>
      <c r="K125" s="20" t="n">
        <v>7</v>
      </c>
      <c r="L125" s="20" t="inlineStr">
        <is>
          <t>11.08.2024 17:59:56</t>
        </is>
      </c>
      <c r="M125" s="20" t="inlineStr">
        <is>
          <t>3 days</t>
        </is>
      </c>
      <c r="N125" s="20" t="inlineStr">
        <is>
          <t xml:space="preserve">        188K           260K             1M</t>
        </is>
      </c>
      <c r="O125" s="20" t="inlineStr">
        <is>
          <t>DqWf9DDK6H5c7KmEHkNJxnzNPSM6mzxonZJjK6yxpump</t>
        </is>
      </c>
      <c r="P125" s="20">
        <f>HYPERLINK("https://dexscreener.com/solana/DqWf9DDK6H5c7KmEHkNJxnzNPSM6mzxonZJjK6yxpump", "View")</f>
        <v/>
      </c>
    </row>
    <row r="126">
      <c r="A126" s="15" t="inlineStr">
        <is>
          <t>Dingus</t>
        </is>
      </c>
      <c r="B126" s="16" t="n">
        <v>25290583</v>
      </c>
      <c r="C126" s="16" t="n">
        <v>22761524</v>
      </c>
      <c r="D126" s="16" t="inlineStr">
        <is>
          <t>0.001810</t>
        </is>
      </c>
      <c r="E126" s="16" t="inlineStr">
        <is>
          <t>0.922 SOL</t>
        </is>
      </c>
      <c r="F126" s="16" t="inlineStr">
        <is>
          <t>1.019 SOL</t>
        </is>
      </c>
      <c r="G126" s="22" t="inlineStr">
        <is>
          <t>0.095 SOL</t>
        </is>
      </c>
      <c r="H126" s="22" t="inlineStr">
        <is>
          <t>10.24%</t>
        </is>
      </c>
      <c r="I126" s="16" t="inlineStr">
        <is>
          <t>N/A</t>
        </is>
      </c>
      <c r="J126" s="16" t="n">
        <v>1</v>
      </c>
      <c r="K126" s="16" t="n">
        <v>1</v>
      </c>
      <c r="L126" s="16" t="inlineStr">
        <is>
          <t>09.08.2024 02:36:43</t>
        </is>
      </c>
      <c r="M126" s="16" t="inlineStr">
        <is>
          <t>14 min</t>
        </is>
      </c>
      <c r="N126" s="16" t="inlineStr">
        <is>
          <t xml:space="preserve">        N/A           N/A           N/A</t>
        </is>
      </c>
      <c r="O126" s="16" t="inlineStr">
        <is>
          <t>E94X1A8kx5sr9AQWXaABzvudEpn3ZzSG4kdXWThepump</t>
        </is>
      </c>
      <c r="P126" s="16">
        <f>HYPERLINK("https://photon-sol.tinyastro.io/en/lp/E94X1A8kx5sr9AQWXaABzvudEpn3ZzSG4kdXWThepump?handle=676050794bc1b1657a56b", "View")</f>
        <v/>
      </c>
    </row>
    <row r="127">
      <c r="A127" s="19" t="inlineStr">
        <is>
          <t>BRONNY</t>
        </is>
      </c>
      <c r="B127" s="20" t="n">
        <v>716762</v>
      </c>
      <c r="C127" s="20" t="n">
        <v>0</v>
      </c>
      <c r="D127" s="20" t="inlineStr">
        <is>
          <t>0.000810</t>
        </is>
      </c>
      <c r="E127" s="20" t="inlineStr">
        <is>
          <t>0.182 SOL</t>
        </is>
      </c>
      <c r="F127" s="20" t="inlineStr">
        <is>
          <t>0.000 SOL</t>
        </is>
      </c>
      <c r="G127" s="17" t="inlineStr">
        <is>
          <t>-0.183 SOL</t>
        </is>
      </c>
      <c r="H127" s="17" t="inlineStr">
        <is>
          <t>0.00%</t>
        </is>
      </c>
      <c r="I127" s="20" t="inlineStr">
        <is>
          <t>716,762</t>
        </is>
      </c>
      <c r="J127" s="20" t="n">
        <v>1</v>
      </c>
      <c r="K127" s="20" t="n">
        <v>0</v>
      </c>
      <c r="L127" s="20" t="inlineStr">
        <is>
          <t>08.08.2024 02:31:23</t>
        </is>
      </c>
      <c r="M127" s="18" t="inlineStr">
        <is>
          <t>0 sec</t>
        </is>
      </c>
      <c r="N127" s="20" t="inlineStr">
        <is>
          <t xml:space="preserve">        N/A           N/A           N/A</t>
        </is>
      </c>
      <c r="O127" s="20" t="inlineStr">
        <is>
          <t>EgTErCKXc88beDjSrNDcDYzhDabu8xNubqx24Pxmpump</t>
        </is>
      </c>
      <c r="P127" s="20">
        <f>HYPERLINK("https://photon-sol.tinyastro.io/en/lp/EgTErCKXc88beDjSrNDcDYzhDabu8xNubqx24Pxmpump?handle=676050794bc1b1657a56b", "View")</f>
        <v/>
      </c>
    </row>
    <row r="128">
      <c r="A128" s="15" t="inlineStr">
        <is>
          <t>FIRSTDOG</t>
        </is>
      </c>
      <c r="B128" s="16" t="n">
        <v>1282891</v>
      </c>
      <c r="C128" s="16" t="n">
        <v>0</v>
      </c>
      <c r="D128" s="16" t="inlineStr">
        <is>
          <t>0.000810</t>
        </is>
      </c>
      <c r="E128" s="16" t="inlineStr">
        <is>
          <t>0.273 SOL</t>
        </is>
      </c>
      <c r="F128" s="16" t="inlineStr">
        <is>
          <t>0.000 SOL</t>
        </is>
      </c>
      <c r="G128" s="17" t="inlineStr">
        <is>
          <t>-0.274 SOL</t>
        </is>
      </c>
      <c r="H128" s="17" t="inlineStr">
        <is>
          <t>0.00%</t>
        </is>
      </c>
      <c r="I128" s="16" t="inlineStr">
        <is>
          <t>1,282,891</t>
        </is>
      </c>
      <c r="J128" s="16" t="n">
        <v>1</v>
      </c>
      <c r="K128" s="16" t="n">
        <v>0</v>
      </c>
      <c r="L128" s="16" t="inlineStr">
        <is>
          <t>07.08.2024 21:32:24</t>
        </is>
      </c>
      <c r="M128" s="18" t="inlineStr">
        <is>
          <t>0 sec</t>
        </is>
      </c>
      <c r="N128" s="16" t="inlineStr">
        <is>
          <t xml:space="preserve">        N/A           N/A           N/A</t>
        </is>
      </c>
      <c r="O128" s="16" t="inlineStr">
        <is>
          <t>9SeL8KAMieJSEindCzgL7FeZA6nY5TTLkw2HHsUbpump</t>
        </is>
      </c>
      <c r="P128" s="16">
        <f>HYPERLINK("https://photon-sol.tinyastro.io/en/lp/9SeL8KAMieJSEindCzgL7FeZA6nY5TTLkw2HHsUbpump?handle=676050794bc1b1657a56b", "View")</f>
        <v/>
      </c>
    </row>
    <row r="129">
      <c r="A129" s="19" t="inlineStr">
        <is>
          <t>egg</t>
        </is>
      </c>
      <c r="B129" s="20" t="n">
        <v>1500897</v>
      </c>
      <c r="C129" s="20" t="n">
        <v>0</v>
      </c>
      <c r="D129" s="20" t="inlineStr">
        <is>
          <t>0.001400</t>
        </is>
      </c>
      <c r="E129" s="20" t="inlineStr">
        <is>
          <t>0.200 SOL</t>
        </is>
      </c>
      <c r="F129" s="20" t="inlineStr">
        <is>
          <t>0.000 SOL</t>
        </is>
      </c>
      <c r="G129" s="17" t="inlineStr">
        <is>
          <t>-0.201 SOL</t>
        </is>
      </c>
      <c r="H129" s="17" t="inlineStr">
        <is>
          <t>0.00%</t>
        </is>
      </c>
      <c r="I129" s="20" t="inlineStr">
        <is>
          <t>1,500,897</t>
        </is>
      </c>
      <c r="J129" s="20" t="n">
        <v>1</v>
      </c>
      <c r="K129" s="20" t="n">
        <v>0</v>
      </c>
      <c r="L129" s="20" t="inlineStr">
        <is>
          <t>06.08.2024 16:24:03</t>
        </is>
      </c>
      <c r="M129" s="18" t="inlineStr">
        <is>
          <t>0 sec</t>
        </is>
      </c>
      <c r="N129" s="20" t="inlineStr">
        <is>
          <t xml:space="preserve">         23K            23K             4K</t>
        </is>
      </c>
      <c r="O129" s="20" t="inlineStr">
        <is>
          <t>5Y1zC7uU6WJdqpK53jgLU66dLbuHpBfPDPFa6awspump</t>
        </is>
      </c>
      <c r="P129" s="20">
        <f>HYPERLINK("https://dexscreener.com/solana/5Y1zC7uU6WJdqpK53jgLU66dLbuHpBfPDPFa6awspump", "View")</f>
        <v/>
      </c>
    </row>
    <row r="130">
      <c r="A130" s="15" t="inlineStr">
        <is>
          <t>Rari</t>
        </is>
      </c>
      <c r="B130" s="16" t="n">
        <v>212307</v>
      </c>
      <c r="C130" s="16" t="n">
        <v>0</v>
      </c>
      <c r="D130" s="16" t="inlineStr">
        <is>
          <t>0.000510</t>
        </is>
      </c>
      <c r="E130" s="16" t="inlineStr">
        <is>
          <t>0.300 SOL</t>
        </is>
      </c>
      <c r="F130" s="16" t="inlineStr">
        <is>
          <t>0.000 SOL</t>
        </is>
      </c>
      <c r="G130" s="17" t="inlineStr">
        <is>
          <t>-0.300 SOL</t>
        </is>
      </c>
      <c r="H130" s="17" t="inlineStr">
        <is>
          <t>0.00%</t>
        </is>
      </c>
      <c r="I130" s="16" t="inlineStr">
        <is>
          <t>212,307</t>
        </is>
      </c>
      <c r="J130" s="16" t="n">
        <v>1</v>
      </c>
      <c r="K130" s="16" t="n">
        <v>0</v>
      </c>
      <c r="L130" s="16" t="inlineStr">
        <is>
          <t>03.08.2024 01:18:35</t>
        </is>
      </c>
      <c r="M130" s="18" t="inlineStr">
        <is>
          <t>0 sec</t>
        </is>
      </c>
      <c r="N130" s="16" t="inlineStr">
        <is>
          <t xml:space="preserve">        247K           247K             5K</t>
        </is>
      </c>
      <c r="O130" s="16" t="inlineStr">
        <is>
          <t>VbNvQaDVisTLKEfUB1Q9VekGLNkA73bbynV9GtTzpAe</t>
        </is>
      </c>
      <c r="P130" s="16">
        <f>HYPERLINK("https://dexscreener.com/solana/VbNvQaDVisTLKEfUB1Q9VekGLNkA73bbynV9GtTzpAe", "View")</f>
        <v/>
      </c>
    </row>
    <row r="131">
      <c r="A131" s="19" t="inlineStr">
        <is>
          <t>SAGE</t>
        </is>
      </c>
      <c r="B131" s="20" t="n">
        <v>105597</v>
      </c>
      <c r="C131" s="20" t="n">
        <v>0</v>
      </c>
      <c r="D131" s="20" t="inlineStr">
        <is>
          <t>0.000510</t>
        </is>
      </c>
      <c r="E131" s="20" t="inlineStr">
        <is>
          <t>0.200 SOL</t>
        </is>
      </c>
      <c r="F131" s="20" t="inlineStr">
        <is>
          <t>0.000 SOL</t>
        </is>
      </c>
      <c r="G131" s="17" t="inlineStr">
        <is>
          <t>-0.201 SOL</t>
        </is>
      </c>
      <c r="H131" s="17" t="inlineStr">
        <is>
          <t>0.00%</t>
        </is>
      </c>
      <c r="I131" s="20" t="inlineStr">
        <is>
          <t>105,597</t>
        </is>
      </c>
      <c r="J131" s="20" t="n">
        <v>1</v>
      </c>
      <c r="K131" s="20" t="n">
        <v>0</v>
      </c>
      <c r="L131" s="20" t="inlineStr">
        <is>
          <t>02.08.2024 21:51:52</t>
        </is>
      </c>
      <c r="M131" s="18" t="inlineStr">
        <is>
          <t>0 sec</t>
        </is>
      </c>
      <c r="N131" s="20" t="inlineStr">
        <is>
          <t xml:space="preserve">        278K           278K             6K</t>
        </is>
      </c>
      <c r="O131" s="20" t="inlineStr">
        <is>
          <t>BqA8UBPdHZkjWgva94bfL3izhiHQ6i5jnxZYmPQzpump</t>
        </is>
      </c>
      <c r="P131" s="20">
        <f>HYPERLINK("https://dexscreener.com/solana/BqA8UBPdHZkjWgva94bfL3izhiHQ6i5jnxZYmPQzpump", "View")</f>
        <v/>
      </c>
    </row>
    <row r="132">
      <c r="A132" s="15" t="inlineStr">
        <is>
          <t>AMEX</t>
        </is>
      </c>
      <c r="B132" s="16" t="n">
        <v>1013113</v>
      </c>
      <c r="C132" s="16" t="n">
        <v>1013113</v>
      </c>
      <c r="D132" s="16" t="inlineStr">
        <is>
          <t>0.001810</t>
        </is>
      </c>
      <c r="E132" s="16" t="inlineStr">
        <is>
          <t>0.183 SOL</t>
        </is>
      </c>
      <c r="F132" s="16" t="inlineStr">
        <is>
          <t>0.044 SOL</t>
        </is>
      </c>
      <c r="G132" s="24" t="inlineStr">
        <is>
          <t>-0.141 SOL</t>
        </is>
      </c>
      <c r="H132" s="24" t="inlineStr">
        <is>
          <t>-76.35%</t>
        </is>
      </c>
      <c r="I132" s="16" t="inlineStr">
        <is>
          <t>N/A</t>
        </is>
      </c>
      <c r="J132" s="16" t="n">
        <v>1</v>
      </c>
      <c r="K132" s="16" t="n">
        <v>1</v>
      </c>
      <c r="L132" s="16" t="inlineStr">
        <is>
          <t>02.08.2024 17:51:33</t>
        </is>
      </c>
      <c r="M132" s="16" t="inlineStr">
        <is>
          <t>7 min</t>
        </is>
      </c>
      <c r="N132" s="16" t="inlineStr">
        <is>
          <t xml:space="preserve">        N/A           N/A           N/A</t>
        </is>
      </c>
      <c r="O132" s="16" t="inlineStr">
        <is>
          <t>4tKtYrxKPd7zaNtNDEE4ULzWNLSJcX53DTmTQnHApump</t>
        </is>
      </c>
      <c r="P132" s="16">
        <f>HYPERLINK("https://photon-sol.tinyastro.io/en/lp/4tKtYrxKPd7zaNtNDEE4ULzWNLSJcX53DTmTQnHApump?handle=676050794bc1b1657a56b", "View")</f>
        <v/>
      </c>
    </row>
    <row r="133">
      <c r="A133" s="19" t="inlineStr">
        <is>
          <t>144p</t>
        </is>
      </c>
      <c r="B133" s="20" t="n">
        <v>51839</v>
      </c>
      <c r="C133" s="20" t="n">
        <v>41471</v>
      </c>
      <c r="D133" s="20" t="inlineStr">
        <is>
          <t>0.002410</t>
        </is>
      </c>
      <c r="E133" s="20" t="inlineStr">
        <is>
          <t>0.500 SOL</t>
        </is>
      </c>
      <c r="F133" s="20" t="inlineStr">
        <is>
          <t>0.754 SOL</t>
        </is>
      </c>
      <c r="G133" s="23" t="inlineStr">
        <is>
          <t>0.252 SOL</t>
        </is>
      </c>
      <c r="H133" s="23" t="inlineStr">
        <is>
          <t>50.12%</t>
        </is>
      </c>
      <c r="I133" s="20" t="inlineStr">
        <is>
          <t>N/A</t>
        </is>
      </c>
      <c r="J133" s="20" t="n">
        <v>1</v>
      </c>
      <c r="K133" s="20" t="n">
        <v>1</v>
      </c>
      <c r="L133" s="20" t="inlineStr">
        <is>
          <t>02.08.2024 01:54:29</t>
        </is>
      </c>
      <c r="M133" s="20" t="inlineStr">
        <is>
          <t>2 hours</t>
        </is>
      </c>
      <c r="N133" s="20" t="inlineStr">
        <is>
          <t xml:space="preserve">          2M             3M            35K</t>
        </is>
      </c>
      <c r="O133" s="20" t="inlineStr">
        <is>
          <t>FqAmeQ8S5WG94C2bodF7AEugoxWfjxdqWN5GB6Sipump</t>
        </is>
      </c>
      <c r="P133" s="20">
        <f>HYPERLINK("https://dexscreener.com/solana/FqAmeQ8S5WG94C2bodF7AEugoxWfjxdqWN5GB6Sipump", "View")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HYPERLINK("https://gmgn.ai/sol/address/8PQ8hHUCM1EqspsDXYnLN2mWqeHC5Fz9U3JxiBz5jAe6", "GMGN")</f>
        <v/>
      </c>
    </row>
    <row r="2">
      <c r="A2" s="3" t="inlineStr">
        <is>
          <t>8PQ8hHUCM1EqspsDXYnLN2mWqeHC5Fz9U3JxiBz5jAe6</t>
        </is>
      </c>
      <c r="B2" s="3" t="inlineStr">
        <is>
          <t>59.31 SOL</t>
        </is>
      </c>
      <c r="C2" s="3" t="inlineStr">
        <is>
          <t>44%</t>
        </is>
      </c>
      <c r="D2" s="3" t="inlineStr">
        <is>
          <t>63%</t>
        </is>
      </c>
      <c r="E2" s="3" t="inlineStr">
        <is>
          <t>61.66 SOL</t>
        </is>
      </c>
      <c r="F2" s="3" t="inlineStr">
        <is>
          <t>6 (15%)</t>
        </is>
      </c>
      <c r="G2" s="3" t="inlineStr">
        <is>
          <t>0 (0%)</t>
        </is>
      </c>
      <c r="H2" s="3" t="n">
        <v>39</v>
      </c>
      <c r="I2" s="3" t="n">
        <v>0</v>
      </c>
      <c r="J2" s="3" t="inlineStr">
        <is>
          <t>75 days</t>
        </is>
      </c>
      <c r="K2" s="3" t="inlineStr">
        <is>
          <t>21 min</t>
        </is>
      </c>
      <c r="L2" s="3" t="n">
        <v>23</v>
      </c>
      <c r="M2" s="3" t="n">
        <v>18</v>
      </c>
      <c r="N2" s="3">
        <f>HYPERLINK("https://solscan.io/account/8PQ8hHUCM1EqspsDXYnLN2mWqeHC5Fz9U3JxiBz5jAe6", "Solscan")</f>
        <v/>
      </c>
    </row>
    <row r="3">
      <c r="A3" s="6" t="inlineStr">
        <is>
          <t>Median ROI</t>
        </is>
      </c>
      <c r="B3" s="5" t="inlineStr">
        <is>
          <t>-5.90%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HYPERLINK("https://birdeye.so/profile/8PQ8hHUCM1EqspsDXYnLN2mWqeHC5Fz9U3JxiBz5jAe6", "Birdeye")</f>
        <v/>
      </c>
    </row>
    <row r="4">
      <c r="A4" s="6" t="inlineStr">
        <is>
          <t>Rockets percent</t>
        </is>
      </c>
      <c r="B4" s="3" t="inlineStr">
        <is>
          <t>26%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75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7</v>
      </c>
      <c r="D10" s="6" t="n">
        <v>5</v>
      </c>
      <c r="E10" s="6" t="n">
        <v>2</v>
      </c>
      <c r="F10" s="6" t="n">
        <v>9</v>
      </c>
      <c r="G10" s="6" t="n">
        <v>13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7.7%</t>
        </is>
      </c>
      <c r="C11" s="6" t="inlineStr">
        <is>
          <t>17.9%</t>
        </is>
      </c>
      <c r="D11" s="6" t="inlineStr">
        <is>
          <t>12.8%</t>
        </is>
      </c>
      <c r="E11" s="6" t="inlineStr">
        <is>
          <t>5.1%</t>
        </is>
      </c>
      <c r="F11" s="6" t="inlineStr">
        <is>
          <t>23.1%</t>
        </is>
      </c>
      <c r="G11" s="6" t="inlineStr">
        <is>
          <t>33.3%</t>
        </is>
      </c>
      <c r="H11" s="3" t="n"/>
      <c r="I11" s="3" t="inlineStr">
        <is>
          <t>5k-30k</t>
        </is>
      </c>
      <c r="J11" s="3" t="inlineStr">
        <is>
          <t>15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59.7 SOL</t>
        </is>
      </c>
      <c r="C12" s="6" t="inlineStr">
        <is>
          <t>16.9 SOL</t>
        </is>
      </c>
      <c r="D12" s="6" t="inlineStr">
        <is>
          <t>3.1 SOL</t>
        </is>
      </c>
      <c r="E12" s="6" t="inlineStr">
        <is>
          <t>4.0 SOL</t>
        </is>
      </c>
      <c r="F12" s="6" t="inlineStr">
        <is>
          <t>-4.2 SOL</t>
        </is>
      </c>
      <c r="G12" s="6" t="inlineStr">
        <is>
          <t>-17.9 SOL</t>
        </is>
      </c>
      <c r="H12" s="3" t="n"/>
      <c r="I12" s="3" t="inlineStr">
        <is>
          <t>30k-100k</t>
        </is>
      </c>
      <c r="J12" s="3" t="inlineStr">
        <is>
          <t>7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4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6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33.0K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CICADA</t>
        </is>
      </c>
      <c r="B20" s="16" t="n">
        <v>18037912</v>
      </c>
      <c r="C20" s="16" t="n">
        <v>18037912</v>
      </c>
      <c r="D20" s="16" t="inlineStr">
        <is>
          <t>0.050010</t>
        </is>
      </c>
      <c r="E20" s="16" t="inlineStr">
        <is>
          <t>1.291 SOL</t>
        </is>
      </c>
      <c r="F20" s="16" t="inlineStr">
        <is>
          <t>2.271 SOL</t>
        </is>
      </c>
      <c r="G20" s="23" t="inlineStr">
        <is>
          <t>0.930 SOL</t>
        </is>
      </c>
      <c r="H20" s="23" t="inlineStr">
        <is>
          <t>69.39%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05:16:58</t>
        </is>
      </c>
      <c r="M20" s="18" t="inlineStr">
        <is>
          <t>19 sec</t>
        </is>
      </c>
      <c r="N20" s="16" t="inlineStr">
        <is>
          <t xml:space="preserve">         12K            23K             5K</t>
        </is>
      </c>
      <c r="O20" s="16" t="inlineStr">
        <is>
          <t>5rnrdS2o7hyGq3GGXWK7aZwEqo46kiAHbEB6rDyypump</t>
        </is>
      </c>
      <c r="P20" s="16">
        <f>HYPERLINK("https://photon-sol.tinyastro.io/en/lp/5rnrdS2o7hyGq3GGXWK7aZwEqo46kiAHbEB6rDyypump?handle=676050794bc1b1657a56b", "View")</f>
        <v/>
      </c>
    </row>
    <row r="21">
      <c r="A21" s="19" t="inlineStr">
        <is>
          <t>KERMIT</t>
        </is>
      </c>
      <c r="B21" s="20" t="n">
        <v>9786079</v>
      </c>
      <c r="C21" s="20" t="n">
        <v>9786079</v>
      </c>
      <c r="D21" s="20" t="inlineStr">
        <is>
          <t>0.050010</t>
        </is>
      </c>
      <c r="E21" s="20" t="inlineStr">
        <is>
          <t>0.546 SOL</t>
        </is>
      </c>
      <c r="F21" s="20" t="inlineStr">
        <is>
          <t>0.928 SOL</t>
        </is>
      </c>
      <c r="G21" s="23" t="inlineStr">
        <is>
          <t>0.333 SOL</t>
        </is>
      </c>
      <c r="H21" s="23" t="inlineStr">
        <is>
          <t>55.83%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04:40:12</t>
        </is>
      </c>
      <c r="M21" s="18" t="inlineStr">
        <is>
          <t>21 sec</t>
        </is>
      </c>
      <c r="N21" s="20" t="inlineStr">
        <is>
          <t xml:space="preserve">         11K            16K             5K</t>
        </is>
      </c>
      <c r="O21" s="20" t="inlineStr">
        <is>
          <t>8bLxsNrr73K44BgtAFnE5bQkbxMrjv1Y6gLD5SWcpump</t>
        </is>
      </c>
      <c r="P21" s="20">
        <f>HYPERLINK("https://photon-sol.tinyastro.io/en/lp/8bLxsNrr73K44BgtAFnE5bQkbxMrjv1Y6gLD5SWcpump?handle=676050794bc1b1657a56b", "View")</f>
        <v/>
      </c>
    </row>
    <row r="22">
      <c r="A22" s="15" t="inlineStr">
        <is>
          <t>MONKEY</t>
        </is>
      </c>
      <c r="B22" s="16" t="n">
        <v>2762492</v>
      </c>
      <c r="C22" s="16" t="n">
        <v>2762492</v>
      </c>
      <c r="D22" s="16" t="inlineStr">
        <is>
          <t>0.050010</t>
        </is>
      </c>
      <c r="E22" s="16" t="inlineStr">
        <is>
          <t>0.323 SOL</t>
        </is>
      </c>
      <c r="F22" s="16" t="inlineStr">
        <is>
          <t>0.335 SOL</t>
        </is>
      </c>
      <c r="G22" s="21" t="inlineStr">
        <is>
          <t>-0.038 SOL</t>
        </is>
      </c>
      <c r="H22" s="21" t="inlineStr">
        <is>
          <t>-10.30%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02:42:40</t>
        </is>
      </c>
      <c r="M22" s="16" t="inlineStr">
        <is>
          <t>47 min</t>
        </is>
      </c>
      <c r="N22" s="16" t="inlineStr">
        <is>
          <t xml:space="preserve">         21K            21K             3K</t>
        </is>
      </c>
      <c r="O22" s="16" t="inlineStr">
        <is>
          <t>EKHqneY5hYrMH7Vn8SnTFGrXcuNpBsRm2tzRqsxqpump</t>
        </is>
      </c>
      <c r="P22" s="16">
        <f>HYPERLINK("https://photon-sol.tinyastro.io/en/lp/EKHqneY5hYrMH7Vn8SnTFGrXcuNpBsRm2tzRqsxqpump?handle=676050794bc1b1657a56b", "View")</f>
        <v/>
      </c>
    </row>
    <row r="23">
      <c r="A23" s="19" t="inlineStr">
        <is>
          <t>NUTBUTT</t>
        </is>
      </c>
      <c r="B23" s="20" t="n">
        <v>3700587</v>
      </c>
      <c r="C23" s="20" t="n">
        <v>3700587</v>
      </c>
      <c r="D23" s="20" t="inlineStr">
        <is>
          <t>0.050010</t>
        </is>
      </c>
      <c r="E23" s="20" t="inlineStr">
        <is>
          <t>2.000 SOL</t>
        </is>
      </c>
      <c r="F23" s="20" t="inlineStr">
        <is>
          <t>2.064 SOL</t>
        </is>
      </c>
      <c r="G23" s="22" t="inlineStr">
        <is>
          <t>0.014 SOL</t>
        </is>
      </c>
      <c r="H23" s="22" t="inlineStr">
        <is>
          <t>0.67%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01:54:45</t>
        </is>
      </c>
      <c r="M23" s="18" t="inlineStr">
        <is>
          <t>31 sec</t>
        </is>
      </c>
      <c r="N23" s="20" t="inlineStr">
        <is>
          <t xml:space="preserve">         95K            98K           657K</t>
        </is>
      </c>
      <c r="O23" s="20" t="inlineStr">
        <is>
          <t>CFBYjzT357obRmihT9F5uyCY3kqgksRvXKM3RJN1pump</t>
        </is>
      </c>
      <c r="P23" s="20">
        <f>HYPERLINK("https://dexscreener.com/solana/CFBYjzT357obRmihT9F5uyCY3kqgksRvXKM3RJN1pump", "View")</f>
        <v/>
      </c>
    </row>
    <row r="24">
      <c r="A24" s="15" t="inlineStr">
        <is>
          <t>$FF</t>
        </is>
      </c>
      <c r="B24" s="16" t="n">
        <v>1003777</v>
      </c>
      <c r="C24" s="16" t="n">
        <v>1003777</v>
      </c>
      <c r="D24" s="16" t="inlineStr">
        <is>
          <t>0.050010</t>
        </is>
      </c>
      <c r="E24" s="16" t="inlineStr">
        <is>
          <t>20.000 SOL</t>
        </is>
      </c>
      <c r="F24" s="16" t="inlineStr">
        <is>
          <t>24.051 SOL</t>
        </is>
      </c>
      <c r="G24" s="22" t="inlineStr">
        <is>
          <t>4.001 SOL</t>
        </is>
      </c>
      <c r="H24" s="22" t="inlineStr">
        <is>
          <t>19.96%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18:53:25</t>
        </is>
      </c>
      <c r="M24" s="16" t="inlineStr">
        <is>
          <t>15 min</t>
        </is>
      </c>
      <c r="N24" s="16" t="inlineStr">
        <is>
          <t xml:space="preserve">          3M             4M           647K</t>
        </is>
      </c>
      <c r="O24" s="16" t="inlineStr">
        <is>
          <t>DqWbfzoFmZPrrQP7MdqYvwZbCkBNu2fSSaJqUrqEVYyX</t>
        </is>
      </c>
      <c r="P24" s="16">
        <f>HYPERLINK("https://dexscreener.com/solana/DqWbfzoFmZPrrQP7MdqYvwZbCkBNu2fSSaJqUrqEVYyX", "View")</f>
        <v/>
      </c>
    </row>
    <row r="25">
      <c r="A25" s="19" t="inlineStr">
        <is>
          <t>MEWING</t>
        </is>
      </c>
      <c r="B25" s="20" t="n">
        <v>8427894</v>
      </c>
      <c r="C25" s="20" t="n">
        <v>8427894</v>
      </c>
      <c r="D25" s="20" t="inlineStr">
        <is>
          <t>0.050010</t>
        </is>
      </c>
      <c r="E25" s="20" t="inlineStr">
        <is>
          <t>1.780 SOL</t>
        </is>
      </c>
      <c r="F25" s="20" t="inlineStr">
        <is>
          <t>0.339 SOL</t>
        </is>
      </c>
      <c r="G25" s="24" t="inlineStr">
        <is>
          <t>-1.491 SOL</t>
        </is>
      </c>
      <c r="H25" s="24" t="inlineStr">
        <is>
          <t>-81.46%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29.10.2024 17:36:40</t>
        </is>
      </c>
      <c r="M25" s="20" t="inlineStr">
        <is>
          <t>5 min</t>
        </is>
      </c>
      <c r="N25" s="20" t="inlineStr">
        <is>
          <t xml:space="preserve">         37K            37K             5K</t>
        </is>
      </c>
      <c r="O25" s="20" t="inlineStr">
        <is>
          <t>2eoHSva1BACVjzHEvKT6KtFwWb8mupv76xKwmpoDpump</t>
        </is>
      </c>
      <c r="P25" s="20">
        <f>HYPERLINK("https://photon-sol.tinyastro.io/en/lp/2eoHSva1BACVjzHEvKT6KtFwWb8mupv76xKwmpoDpump?handle=676050794bc1b1657a56b", "View")</f>
        <v/>
      </c>
    </row>
    <row r="26">
      <c r="A26" s="15" t="inlineStr">
        <is>
          <t>Sonny</t>
        </is>
      </c>
      <c r="B26" s="16" t="n">
        <v>11593158</v>
      </c>
      <c r="C26" s="16" t="n">
        <v>11593158</v>
      </c>
      <c r="D26" s="16" t="inlineStr">
        <is>
          <t>0.070020</t>
        </is>
      </c>
      <c r="E26" s="16" t="inlineStr">
        <is>
          <t>2.000 SOL</t>
        </is>
      </c>
      <c r="F26" s="16" t="inlineStr">
        <is>
          <t>7.143 SOL</t>
        </is>
      </c>
      <c r="G26" s="23" t="inlineStr">
        <is>
          <t>5.073 SOL</t>
        </is>
      </c>
      <c r="H26" s="23" t="inlineStr">
        <is>
          <t>245.09%</t>
        </is>
      </c>
      <c r="I26" s="16" t="inlineStr">
        <is>
          <t>N/A</t>
        </is>
      </c>
      <c r="J26" s="16" t="n">
        <v>1</v>
      </c>
      <c r="K26" s="16" t="n">
        <v>3</v>
      </c>
      <c r="L26" s="16" t="inlineStr">
        <is>
          <t>29.10.2024 15:59:33</t>
        </is>
      </c>
      <c r="M26" s="16" t="inlineStr">
        <is>
          <t>17 min</t>
        </is>
      </c>
      <c r="N26" s="16" t="inlineStr">
        <is>
          <t xml:space="preserve">         30K           209K            22K</t>
        </is>
      </c>
      <c r="O26" s="16" t="inlineStr">
        <is>
          <t>GJRgAWJ56BxvYcaeCQJJhxgxzxfNYBRhPRuY4rY3pump</t>
        </is>
      </c>
      <c r="P26" s="16">
        <f>HYPERLINK("https://dexscreener.com/solana/GJRgAWJ56BxvYcaeCQJJhxgxzxfNYBRhPRuY4rY3pump", "View")</f>
        <v/>
      </c>
    </row>
    <row r="27">
      <c r="A27" s="19" t="inlineStr">
        <is>
          <t>LONGCAT</t>
        </is>
      </c>
      <c r="B27" s="20" t="n">
        <v>15469665</v>
      </c>
      <c r="C27" s="20" t="n">
        <v>15469665</v>
      </c>
      <c r="D27" s="20" t="inlineStr">
        <is>
          <t>0.050010</t>
        </is>
      </c>
      <c r="E27" s="20" t="inlineStr">
        <is>
          <t>0.569 SOL</t>
        </is>
      </c>
      <c r="F27" s="20" t="inlineStr">
        <is>
          <t>1.740 SOL</t>
        </is>
      </c>
      <c r="G27" s="23" t="inlineStr">
        <is>
          <t>1.121 SOL</t>
        </is>
      </c>
      <c r="H27" s="23" t="inlineStr">
        <is>
          <t>181.08%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29.10.2024 05:41:08</t>
        </is>
      </c>
      <c r="M27" s="18" t="inlineStr">
        <is>
          <t>24 sec</t>
        </is>
      </c>
      <c r="N27" s="20" t="inlineStr">
        <is>
          <t xml:space="preserve">          7K            19K             5K</t>
        </is>
      </c>
      <c r="O27" s="20" t="inlineStr">
        <is>
          <t>ARsKsw5eBtihJ3JDyX7qfsiLXNHaRA7Box8Ct2RPpump</t>
        </is>
      </c>
      <c r="P27" s="20">
        <f>HYPERLINK("https://photon-sol.tinyastro.io/en/lp/ARsKsw5eBtihJ3JDyX7qfsiLXNHaRA7Box8Ct2RPpump?handle=676050794bc1b1657a56b", "View")</f>
        <v/>
      </c>
    </row>
    <row r="28">
      <c r="A28" s="15" t="inlineStr">
        <is>
          <t>DUCKHEAD</t>
        </is>
      </c>
      <c r="B28" s="16" t="n">
        <v>16293373</v>
      </c>
      <c r="C28" s="16" t="n">
        <v>16293373</v>
      </c>
      <c r="D28" s="16" t="inlineStr">
        <is>
          <t>0.050010</t>
        </is>
      </c>
      <c r="E28" s="16" t="inlineStr">
        <is>
          <t>5.000 SOL</t>
        </is>
      </c>
      <c r="F28" s="16" t="inlineStr">
        <is>
          <t>1.214 SOL</t>
        </is>
      </c>
      <c r="G28" s="24" t="inlineStr">
        <is>
          <t>-3.836 SOL</t>
        </is>
      </c>
      <c r="H28" s="24" t="inlineStr">
        <is>
          <t>-75.95%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28.10.2024 18:18:58</t>
        </is>
      </c>
      <c r="M28" s="16" t="inlineStr">
        <is>
          <t>3 min</t>
        </is>
      </c>
      <c r="N28" s="16" t="inlineStr">
        <is>
          <t xml:space="preserve">         54K            12K             4K</t>
        </is>
      </c>
      <c r="O28" s="16" t="inlineStr">
        <is>
          <t>8udpTqbwD9JrFM9idC311xKPGtuFGzti65hZvXrmpump</t>
        </is>
      </c>
      <c r="P28" s="16">
        <f>HYPERLINK("https://dexscreener.com/solana/8udpTqbwD9JrFM9idC311xKPGtuFGzti65hZvXrmpump", "View")</f>
        <v/>
      </c>
    </row>
    <row r="29">
      <c r="A29" s="19" t="inlineStr">
        <is>
          <t>PORK</t>
        </is>
      </c>
      <c r="B29" s="20" t="n">
        <v>2184779</v>
      </c>
      <c r="C29" s="20" t="n">
        <v>2184779</v>
      </c>
      <c r="D29" s="20" t="inlineStr">
        <is>
          <t>0.020010</t>
        </is>
      </c>
      <c r="E29" s="20" t="inlineStr">
        <is>
          <t>1.000 SOL</t>
        </is>
      </c>
      <c r="F29" s="20" t="inlineStr">
        <is>
          <t>0.161 SOL</t>
        </is>
      </c>
      <c r="G29" s="24" t="inlineStr">
        <is>
          <t>-0.859 SOL</t>
        </is>
      </c>
      <c r="H29" s="24" t="inlineStr">
        <is>
          <t>-84.25%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24.10.2024 19:45:05</t>
        </is>
      </c>
      <c r="M29" s="20" t="inlineStr">
        <is>
          <t>11 days</t>
        </is>
      </c>
      <c r="N29" s="20" t="inlineStr">
        <is>
          <t xml:space="preserve">         81K            81K            12K</t>
        </is>
      </c>
      <c r="O29" s="20" t="inlineStr">
        <is>
          <t>53jNHSaRU9sTqrZ39Xnf2pSJCQv7o4SF62vCjNbpump</t>
        </is>
      </c>
      <c r="P29" s="20">
        <f>HYPERLINK("https://dexscreener.com/solana/53jNHSaRU9sTqrZ39Xnf2pSJCQv7o4SF62vCjNbpump", "View")</f>
        <v/>
      </c>
    </row>
    <row r="30">
      <c r="A30" s="15" t="inlineStr">
        <is>
          <t>LILY</t>
        </is>
      </c>
      <c r="B30" s="16" t="n">
        <v>688773</v>
      </c>
      <c r="C30" s="16" t="n">
        <v>688773</v>
      </c>
      <c r="D30" s="16" t="inlineStr">
        <is>
          <t>0.070040</t>
        </is>
      </c>
      <c r="E30" s="16" t="inlineStr">
        <is>
          <t>11.000 SOL</t>
        </is>
      </c>
      <c r="F30" s="16" t="inlineStr">
        <is>
          <t>9.366 SOL</t>
        </is>
      </c>
      <c r="G30" s="21" t="inlineStr">
        <is>
          <t>-1.704 SOL</t>
        </is>
      </c>
      <c r="H30" s="21" t="inlineStr">
        <is>
          <t>-15.40%</t>
        </is>
      </c>
      <c r="I30" s="16" t="inlineStr">
        <is>
          <t>N/A</t>
        </is>
      </c>
      <c r="J30" s="16" t="n">
        <v>4</v>
      </c>
      <c r="K30" s="16" t="n">
        <v>3</v>
      </c>
      <c r="L30" s="16" t="inlineStr">
        <is>
          <t>24.10.2024 19:44:14</t>
        </is>
      </c>
      <c r="M30" s="16" t="inlineStr">
        <is>
          <t>10 days</t>
        </is>
      </c>
      <c r="N30" s="16" t="inlineStr">
        <is>
          <t xml:space="preserve">        N/A           N/A           N/A</t>
        </is>
      </c>
      <c r="O30" s="16" t="inlineStr">
        <is>
          <t>9o81cWB4kAWZ1hxxpakTsCTorJAwehPtxDKxMA564poi</t>
        </is>
      </c>
      <c r="P30" s="16">
        <f>HYPERLINK("https://dexscreener.com/solana/9o81cWB4kAWZ1hxxpakTsCTorJAwehPtxDKxMA564poi", "View")</f>
        <v/>
      </c>
    </row>
    <row r="31">
      <c r="A31" s="19" t="inlineStr">
        <is>
          <t>GARY</t>
        </is>
      </c>
      <c r="B31" s="20" t="n">
        <v>9369940</v>
      </c>
      <c r="C31" s="20" t="n">
        <v>9369940</v>
      </c>
      <c r="D31" s="20" t="inlineStr">
        <is>
          <t>0.050010</t>
        </is>
      </c>
      <c r="E31" s="20" t="inlineStr">
        <is>
          <t>1.480 SOL</t>
        </is>
      </c>
      <c r="F31" s="20" t="inlineStr">
        <is>
          <t>0.206 SOL</t>
        </is>
      </c>
      <c r="G31" s="24" t="inlineStr">
        <is>
          <t>-1.325 SOL</t>
        </is>
      </c>
      <c r="H31" s="24" t="inlineStr">
        <is>
          <t>-86.56%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24.10.2024 19:43:59</t>
        </is>
      </c>
      <c r="M31" s="20" t="inlineStr">
        <is>
          <t>17 hours</t>
        </is>
      </c>
      <c r="N31" s="20" t="inlineStr">
        <is>
          <t xml:space="preserve">         28K            28K             4K</t>
        </is>
      </c>
      <c r="O31" s="20" t="inlineStr">
        <is>
          <t>EU76bzoa5zeJtXNu5W5s5hf3dfVHhwCcK1Hf8oWqpump</t>
        </is>
      </c>
      <c r="P31" s="20">
        <f>HYPERLINK("https://photon-sol.tinyastro.io/en/lp/EU76bzoa5zeJtXNu5W5s5hf3dfVHhwCcK1Hf8oWqpump?handle=676050794bc1b1657a56b", "View")</f>
        <v/>
      </c>
    </row>
    <row r="32">
      <c r="A32" s="15" t="inlineStr">
        <is>
          <t>DBABY</t>
        </is>
      </c>
      <c r="B32" s="16" t="n">
        <v>12474560</v>
      </c>
      <c r="C32" s="16" t="n">
        <v>12474560</v>
      </c>
      <c r="D32" s="16" t="inlineStr">
        <is>
          <t>0.050010</t>
        </is>
      </c>
      <c r="E32" s="16" t="inlineStr">
        <is>
          <t>1.417 SOL</t>
        </is>
      </c>
      <c r="F32" s="16" t="inlineStr">
        <is>
          <t>1.176 SOL</t>
        </is>
      </c>
      <c r="G32" s="21" t="inlineStr">
        <is>
          <t>-0.291 SOL</t>
        </is>
      </c>
      <c r="H32" s="21" t="inlineStr">
        <is>
          <t>-19.84%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24.10.2024 03:54:54</t>
        </is>
      </c>
      <c r="M32" s="16" t="inlineStr">
        <is>
          <t>17 min</t>
        </is>
      </c>
      <c r="N32" s="16" t="inlineStr">
        <is>
          <t xml:space="preserve">         19K            19K             6K</t>
        </is>
      </c>
      <c r="O32" s="16" t="inlineStr">
        <is>
          <t>Az5kXAMsNbpdgpm4X3JNBxTtDLuyhetJeL5Wy3ropump</t>
        </is>
      </c>
      <c r="P32" s="16">
        <f>HYPERLINK("https://photon-sol.tinyastro.io/en/lp/Az5kXAMsNbpdgpm4X3JNBxTtDLuyhetJeL5Wy3ropump?handle=676050794bc1b1657a56b", "View")</f>
        <v/>
      </c>
    </row>
    <row r="33">
      <c r="A33" s="19" t="inlineStr">
        <is>
          <t>APOKI</t>
        </is>
      </c>
      <c r="B33" s="20" t="n">
        <v>9332706</v>
      </c>
      <c r="C33" s="20" t="n">
        <v>9332706</v>
      </c>
      <c r="D33" s="20" t="inlineStr">
        <is>
          <t>0.090010</t>
        </is>
      </c>
      <c r="E33" s="20" t="inlineStr">
        <is>
          <t>1.656 SOL</t>
        </is>
      </c>
      <c r="F33" s="20" t="inlineStr">
        <is>
          <t>0.725 SOL</t>
        </is>
      </c>
      <c r="G33" s="24" t="inlineStr">
        <is>
          <t>-1.022 SOL</t>
        </is>
      </c>
      <c r="H33" s="24" t="inlineStr">
        <is>
          <t>-58.51%</t>
        </is>
      </c>
      <c r="I33" s="20" t="inlineStr">
        <is>
          <t>N/A</t>
        </is>
      </c>
      <c r="J33" s="20" t="n">
        <v>2</v>
      </c>
      <c r="K33" s="20" t="n">
        <v>1</v>
      </c>
      <c r="L33" s="20" t="inlineStr">
        <is>
          <t>23.10.2024 20:47:37</t>
        </is>
      </c>
      <c r="M33" s="20" t="inlineStr">
        <is>
          <t>4 hours</t>
        </is>
      </c>
      <c r="N33" s="20" t="inlineStr">
        <is>
          <t xml:space="preserve">        N/A           N/A           N/A</t>
        </is>
      </c>
      <c r="O33" s="20" t="inlineStr">
        <is>
          <t>AJoWXH9PEJkWxHnByLWcKEuSfG3eHGoJiCtHo7Xbpump</t>
        </is>
      </c>
      <c r="P33" s="20">
        <f>HYPERLINK("https://photon-sol.tinyastro.io/en/lp/AJoWXH9PEJkWxHnByLWcKEuSfG3eHGoJiCtHo7Xbpump?handle=676050794bc1b1657a56b", "View")</f>
        <v/>
      </c>
    </row>
    <row r="34">
      <c r="A34" s="15" t="inlineStr">
        <is>
          <t>FurryAI</t>
        </is>
      </c>
      <c r="B34" s="16" t="n">
        <v>864495</v>
      </c>
      <c r="C34" s="16" t="n">
        <v>864495</v>
      </c>
      <c r="D34" s="16" t="inlineStr">
        <is>
          <t>0.050010</t>
        </is>
      </c>
      <c r="E34" s="16" t="inlineStr">
        <is>
          <t>3.000 SOL</t>
        </is>
      </c>
      <c r="F34" s="16" t="inlineStr">
        <is>
          <t>2.145 SOL</t>
        </is>
      </c>
      <c r="G34" s="21" t="inlineStr">
        <is>
          <t>-0.905 SOL</t>
        </is>
      </c>
      <c r="H34" s="21" t="inlineStr">
        <is>
          <t>-29.67%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23.10.2024 18:50:50</t>
        </is>
      </c>
      <c r="M34" s="16" t="inlineStr">
        <is>
          <t>3 min</t>
        </is>
      </c>
      <c r="N34" s="16" t="inlineStr">
        <is>
          <t xml:space="preserve">        609K           435K            19K</t>
        </is>
      </c>
      <c r="O34" s="16" t="inlineStr">
        <is>
          <t>9LfMC4nKssr3wg1iAdBPXt97AQ1sFJBLVdP8UDHmpump</t>
        </is>
      </c>
      <c r="P34" s="16">
        <f>HYPERLINK("https://dexscreener.com/solana/9LfMC4nKssr3wg1iAdBPXt97AQ1sFJBLVdP8UDHmpump", "View")</f>
        <v/>
      </c>
    </row>
    <row r="35">
      <c r="A35" s="19" t="inlineStr">
        <is>
          <t>HORSE</t>
        </is>
      </c>
      <c r="B35" s="20" t="n">
        <v>28661993</v>
      </c>
      <c r="C35" s="20" t="n">
        <v>28661993</v>
      </c>
      <c r="D35" s="20" t="inlineStr">
        <is>
          <t>0.050010</t>
        </is>
      </c>
      <c r="E35" s="20" t="inlineStr">
        <is>
          <t>1.228 SOL</t>
        </is>
      </c>
      <c r="F35" s="20" t="inlineStr">
        <is>
          <t>4.472 SOL</t>
        </is>
      </c>
      <c r="G35" s="23" t="inlineStr">
        <is>
          <t>3.194 SOL</t>
        </is>
      </c>
      <c r="H35" s="23" t="inlineStr">
        <is>
          <t>250.03%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23.10.2024 05:32:24</t>
        </is>
      </c>
      <c r="M35" s="18" t="inlineStr">
        <is>
          <t>32 sec</t>
        </is>
      </c>
      <c r="N35" s="20" t="inlineStr">
        <is>
          <t xml:space="preserve">          7K            28K             5K</t>
        </is>
      </c>
      <c r="O35" s="20" t="inlineStr">
        <is>
          <t>9a1eFxKPBzK5Nh28ArSi3TjoQE9VJnBALWccwRoJpump</t>
        </is>
      </c>
      <c r="P35" s="20">
        <f>HYPERLINK("https://photon-sol.tinyastro.io/en/lp/9a1eFxKPBzK5Nh28ArSi3TjoQE9VJnBALWccwRoJpump?handle=676050794bc1b1657a56b", "View")</f>
        <v/>
      </c>
    </row>
    <row r="36">
      <c r="A36" s="15" t="inlineStr">
        <is>
          <t>JOTCHUA</t>
        </is>
      </c>
      <c r="B36" s="16" t="n">
        <v>30247119</v>
      </c>
      <c r="C36" s="16" t="n">
        <v>30247119</v>
      </c>
      <c r="D36" s="16" t="inlineStr">
        <is>
          <t>0.090030</t>
        </is>
      </c>
      <c r="E36" s="16" t="inlineStr">
        <is>
          <t>1.287 SOL</t>
        </is>
      </c>
      <c r="F36" s="16" t="inlineStr">
        <is>
          <t>12.009 SOL</t>
        </is>
      </c>
      <c r="G36" s="23" t="inlineStr">
        <is>
          <t>10.632 SOL</t>
        </is>
      </c>
      <c r="H36" s="23" t="inlineStr">
        <is>
          <t>772.13%</t>
        </is>
      </c>
      <c r="I36" s="16" t="inlineStr">
        <is>
          <t>N/A</t>
        </is>
      </c>
      <c r="J36" s="16" t="n">
        <v>1</v>
      </c>
      <c r="K36" s="16" t="n">
        <v>5</v>
      </c>
      <c r="L36" s="16" t="inlineStr">
        <is>
          <t>22.10.2024 07:59:10</t>
        </is>
      </c>
      <c r="M36" s="16" t="inlineStr">
        <is>
          <t>2 hours</t>
        </is>
      </c>
      <c r="N36" s="16" t="inlineStr">
        <is>
          <t xml:space="preserve">          7K           146K             5K</t>
        </is>
      </c>
      <c r="O36" s="16" t="inlineStr">
        <is>
          <t>DyPXxmdLMVTwTULBFW1pzt1gb4bHFzGxSeeJnB1fpump</t>
        </is>
      </c>
      <c r="P36" s="16">
        <f>HYPERLINK("https://photon-sol.tinyastro.io/en/lp/DyPXxmdLMVTwTULBFW1pzt1gb4bHFzGxSeeJnB1fpump?handle=676050794bc1b1657a56b", "View")</f>
        <v/>
      </c>
    </row>
    <row r="37">
      <c r="A37" s="19" t="inlineStr">
        <is>
          <t>Simba</t>
        </is>
      </c>
      <c r="B37" s="20" t="n">
        <v>12893395</v>
      </c>
      <c r="C37" s="20" t="n">
        <v>12893395</v>
      </c>
      <c r="D37" s="20" t="inlineStr">
        <is>
          <t>0.020010</t>
        </is>
      </c>
      <c r="E37" s="20" t="inlineStr">
        <is>
          <t>1.201 SOL</t>
        </is>
      </c>
      <c r="F37" s="20" t="inlineStr">
        <is>
          <t>0.431 SOL</t>
        </is>
      </c>
      <c r="G37" s="24" t="inlineStr">
        <is>
          <t>-0.790 SOL</t>
        </is>
      </c>
      <c r="H37" s="24" t="inlineStr">
        <is>
          <t>-64.72%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19.10.2024 05:08:58</t>
        </is>
      </c>
      <c r="M37" s="20" t="inlineStr">
        <is>
          <t>1 hours</t>
        </is>
      </c>
      <c r="N37" s="20" t="inlineStr">
        <is>
          <t xml:space="preserve">         16K            16K             3K</t>
        </is>
      </c>
      <c r="O37" s="20" t="inlineStr">
        <is>
          <t>6Gc4cGCWm2eRb5o3rcxQ9kkJWeZcJEF13SdPGay7pump</t>
        </is>
      </c>
      <c r="P37" s="20">
        <f>HYPERLINK("https://photon-sol.tinyastro.io/en/lp/6Gc4cGCWm2eRb5o3rcxQ9kkJWeZcJEF13SdPGay7pump?handle=676050794bc1b1657a56b", "View")</f>
        <v/>
      </c>
    </row>
    <row r="38">
      <c r="A38" s="15" t="inlineStr">
        <is>
          <t>KEK</t>
        </is>
      </c>
      <c r="B38" s="16" t="n">
        <v>7811749</v>
      </c>
      <c r="C38" s="16" t="n">
        <v>7811749</v>
      </c>
      <c r="D38" s="16" t="inlineStr">
        <is>
          <t>0.020010</t>
        </is>
      </c>
      <c r="E38" s="16" t="inlineStr">
        <is>
          <t>0.519 SOL</t>
        </is>
      </c>
      <c r="F38" s="16" t="inlineStr">
        <is>
          <t>0.865 SOL</t>
        </is>
      </c>
      <c r="G38" s="23" t="inlineStr">
        <is>
          <t>0.326 SOL</t>
        </is>
      </c>
      <c r="H38" s="23" t="inlineStr">
        <is>
          <t>60.44%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18.10.2024 23:17:28</t>
        </is>
      </c>
      <c r="M38" s="16" t="inlineStr">
        <is>
          <t>5 min</t>
        </is>
      </c>
      <c r="N38" s="16" t="inlineStr">
        <is>
          <t xml:space="preserve">         12K            19K             5K</t>
        </is>
      </c>
      <c r="O38" s="16" t="inlineStr">
        <is>
          <t>HZatK1U2RvkeFUWbNMfv2J1D565dkjVbX6F6pTE2pump</t>
        </is>
      </c>
      <c r="P38" s="16">
        <f>HYPERLINK("https://photon-sol.tinyastro.io/en/lp/HZatK1U2RvkeFUWbNMfv2J1D565dkjVbX6F6pTE2pump?handle=676050794bc1b1657a56b", "View")</f>
        <v/>
      </c>
    </row>
    <row r="39">
      <c r="A39" s="19" t="inlineStr">
        <is>
          <t>🫵😹</t>
        </is>
      </c>
      <c r="B39" s="20" t="n">
        <v>7755628</v>
      </c>
      <c r="C39" s="20" t="n">
        <v>7755628</v>
      </c>
      <c r="D39" s="20" t="inlineStr">
        <is>
          <t>0.020010</t>
        </is>
      </c>
      <c r="E39" s="20" t="inlineStr">
        <is>
          <t>0.538 SOL</t>
        </is>
      </c>
      <c r="F39" s="20" t="inlineStr">
        <is>
          <t>1.545 SOL</t>
        </is>
      </c>
      <c r="G39" s="23" t="inlineStr">
        <is>
          <t>0.986 SOL</t>
        </is>
      </c>
      <c r="H39" s="23" t="inlineStr">
        <is>
          <t>176.59%</t>
        </is>
      </c>
      <c r="I39" s="20" t="inlineStr">
        <is>
          <t>N/A</t>
        </is>
      </c>
      <c r="J39" s="20" t="n">
        <v>1</v>
      </c>
      <c r="K39" s="20" t="n">
        <v>1</v>
      </c>
      <c r="L39" s="20" t="inlineStr">
        <is>
          <t>18.10.2024 06:53:52</t>
        </is>
      </c>
      <c r="M39" s="20" t="inlineStr">
        <is>
          <t>22 min</t>
        </is>
      </c>
      <c r="N39" s="20" t="inlineStr">
        <is>
          <t xml:space="preserve">         12K            35K             5K</t>
        </is>
      </c>
      <c r="O39" s="20" t="inlineStr">
        <is>
          <t>6GSRzmd1vrZ9jujUhE6TkkGVtNc435HGbWmtkr4ypump</t>
        </is>
      </c>
      <c r="P39" s="20">
        <f>HYPERLINK("https://photon-sol.tinyastro.io/en/lp/6GSRzmd1vrZ9jujUhE6TkkGVtNc435HGbWmtkr4ypump?handle=676050794bc1b1657a56b", "View")</f>
        <v/>
      </c>
    </row>
    <row r="40">
      <c r="A40" s="15" t="inlineStr">
        <is>
          <t>💩</t>
        </is>
      </c>
      <c r="B40" s="16" t="n">
        <v>2207854</v>
      </c>
      <c r="C40" s="16" t="n">
        <v>2207854</v>
      </c>
      <c r="D40" s="16" t="inlineStr">
        <is>
          <t>0.020010</t>
        </is>
      </c>
      <c r="E40" s="16" t="inlineStr">
        <is>
          <t>0.303 SOL</t>
        </is>
      </c>
      <c r="F40" s="16" t="inlineStr">
        <is>
          <t>0.941 SOL</t>
        </is>
      </c>
      <c r="G40" s="23" t="inlineStr">
        <is>
          <t>0.618 SOL</t>
        </is>
      </c>
      <c r="H40" s="23" t="inlineStr">
        <is>
          <t>191.60%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18.10.2024 05:35:16</t>
        </is>
      </c>
      <c r="M40" s="16" t="inlineStr">
        <is>
          <t>28 min</t>
        </is>
      </c>
      <c r="N40" s="16" t="inlineStr">
        <is>
          <t xml:space="preserve">         25K            75K             4K</t>
        </is>
      </c>
      <c r="O40" s="16" t="inlineStr">
        <is>
          <t>H33XaAyCkPejrG43tB2FnfBu4x6DEjcBZnW9ziFKpump</t>
        </is>
      </c>
      <c r="P40" s="16">
        <f>HYPERLINK("https://photon-sol.tinyastro.io/en/lp/H33XaAyCkPejrG43tB2FnfBu4x6DEjcBZnW9ziFKpump?handle=676050794bc1b1657a56b", "View")</f>
        <v/>
      </c>
    </row>
    <row r="41">
      <c r="A41" s="19" t="inlineStr">
        <is>
          <t>ACAT</t>
        </is>
      </c>
      <c r="B41" s="20" t="n">
        <v>13873700</v>
      </c>
      <c r="C41" s="20" t="n">
        <v>13873700</v>
      </c>
      <c r="D41" s="20" t="inlineStr">
        <is>
          <t>0.020010</t>
        </is>
      </c>
      <c r="E41" s="20" t="inlineStr">
        <is>
          <t>0.478 SOL</t>
        </is>
      </c>
      <c r="F41" s="20" t="inlineStr">
        <is>
          <t>21.275 SOL</t>
        </is>
      </c>
      <c r="G41" s="23" t="inlineStr">
        <is>
          <t>20.777 SOL</t>
        </is>
      </c>
      <c r="H41" s="23" t="inlineStr">
        <is>
          <t>4172.46%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16.10.2024 06:12:35</t>
        </is>
      </c>
      <c r="M41" s="20" t="inlineStr">
        <is>
          <t>43 min</t>
        </is>
      </c>
      <c r="N41" s="20" t="inlineStr">
        <is>
          <t xml:space="preserve">        N/A           N/A           N/A</t>
        </is>
      </c>
      <c r="O41" s="20" t="inlineStr">
        <is>
          <t>HpQDF5bK88ijPAWnQyFtaz2FuvRxwgsnJdJdqX6npump</t>
        </is>
      </c>
      <c r="P41" s="20">
        <f>HYPERLINK("https://photon-sol.tinyastro.io/en/lp/HpQDF5bK88ijPAWnQyFtaz2FuvRxwgsnJdJdqX6npump?handle=676050794bc1b1657a56b", "View")</f>
        <v/>
      </c>
    </row>
    <row r="42">
      <c r="A42" s="15" t="inlineStr">
        <is>
          <t>PRDX</t>
        </is>
      </c>
      <c r="B42" s="16" t="n">
        <v>3235391</v>
      </c>
      <c r="C42" s="16" t="n">
        <v>3235391</v>
      </c>
      <c r="D42" s="16" t="inlineStr">
        <is>
          <t>0.030020</t>
        </is>
      </c>
      <c r="E42" s="16" t="inlineStr">
        <is>
          <t>6.000 SOL</t>
        </is>
      </c>
      <c r="F42" s="16" t="inlineStr">
        <is>
          <t>1.711 SOL</t>
        </is>
      </c>
      <c r="G42" s="24" t="inlineStr">
        <is>
          <t>-4.319 SOL</t>
        </is>
      </c>
      <c r="H42" s="24" t="inlineStr">
        <is>
          <t>-71.62%</t>
        </is>
      </c>
      <c r="I42" s="16" t="inlineStr">
        <is>
          <t>N/A</t>
        </is>
      </c>
      <c r="J42" s="16" t="n">
        <v>2</v>
      </c>
      <c r="K42" s="16" t="n">
        <v>1</v>
      </c>
      <c r="L42" s="16" t="inlineStr">
        <is>
          <t>16.10.2024 02:33:39</t>
        </is>
      </c>
      <c r="M42" s="16" t="inlineStr">
        <is>
          <t>6 min</t>
        </is>
      </c>
      <c r="N42" s="16" t="inlineStr">
        <is>
          <t xml:space="preserve">        339K            93K             5K</t>
        </is>
      </c>
      <c r="O42" s="16" t="inlineStr">
        <is>
          <t>2nUfHS8CZBoFvqyr9QV9oxMA2pMLneM6ftnvrBTNpump</t>
        </is>
      </c>
      <c r="P42" s="16">
        <f>HYPERLINK("https://dexscreener.com/solana/2nUfHS8CZBoFvqyr9QV9oxMA2pMLneM6ftnvrBTNpump", "View")</f>
        <v/>
      </c>
    </row>
    <row r="43">
      <c r="A43" s="19" t="inlineStr">
        <is>
          <t>MEOWMEOW</t>
        </is>
      </c>
      <c r="B43" s="20" t="n">
        <v>315356</v>
      </c>
      <c r="C43" s="20" t="n">
        <v>315356</v>
      </c>
      <c r="D43" s="20" t="inlineStr">
        <is>
          <t>0.050030</t>
        </is>
      </c>
      <c r="E43" s="20" t="inlineStr">
        <is>
          <t>8.000 SOL</t>
        </is>
      </c>
      <c r="F43" s="20" t="inlineStr">
        <is>
          <t>7.918 SOL</t>
        </is>
      </c>
      <c r="G43" s="21" t="inlineStr">
        <is>
          <t>-0.132 SOL</t>
        </is>
      </c>
      <c r="H43" s="21" t="inlineStr">
        <is>
          <t>-1.64%</t>
        </is>
      </c>
      <c r="I43" s="20" t="inlineStr">
        <is>
          <t>N/A</t>
        </is>
      </c>
      <c r="J43" s="20" t="n">
        <v>3</v>
      </c>
      <c r="K43" s="20" t="n">
        <v>2</v>
      </c>
      <c r="L43" s="20" t="inlineStr">
        <is>
          <t>16.10.2024 01:28:02</t>
        </is>
      </c>
      <c r="M43" s="20" t="inlineStr">
        <is>
          <t>1 days</t>
        </is>
      </c>
      <c r="N43" s="20" t="inlineStr">
        <is>
          <t xml:space="preserve">          4M             5M            75K</t>
        </is>
      </c>
      <c r="O43" s="20" t="inlineStr">
        <is>
          <t>HeCFQ5hiDZRKVYEuDF1LYBfbYfqAg98CQtbrTR7ipump</t>
        </is>
      </c>
      <c r="P43" s="20">
        <f>HYPERLINK("https://dexscreener.com/solana/HeCFQ5hiDZRKVYEuDF1LYBfbYfqAg98CQtbrTR7ipump", "View")</f>
        <v/>
      </c>
    </row>
    <row r="44">
      <c r="A44" s="15" t="inlineStr">
        <is>
          <t>Fries</t>
        </is>
      </c>
      <c r="B44" s="16" t="n">
        <v>11218278</v>
      </c>
      <c r="C44" s="16" t="n">
        <v>11218278</v>
      </c>
      <c r="D44" s="16" t="inlineStr">
        <is>
          <t>0.020010</t>
        </is>
      </c>
      <c r="E44" s="16" t="inlineStr">
        <is>
          <t>1.052 SOL</t>
        </is>
      </c>
      <c r="F44" s="16" t="inlineStr">
        <is>
          <t>1.635 SOL</t>
        </is>
      </c>
      <c r="G44" s="23" t="inlineStr">
        <is>
          <t>0.563 SOL</t>
        </is>
      </c>
      <c r="H44" s="23" t="inlineStr">
        <is>
          <t>52.53%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15.10.2024 08:28:28</t>
        </is>
      </c>
      <c r="M44" s="16" t="inlineStr">
        <is>
          <t>30 min</t>
        </is>
      </c>
      <c r="N44" s="16" t="inlineStr">
        <is>
          <t xml:space="preserve">         16K            26K             4K</t>
        </is>
      </c>
      <c r="O44" s="16" t="inlineStr">
        <is>
          <t>6pnptvW8hqCDdQ7vPPf3ANFgd7zYZHijKatjAZudpump</t>
        </is>
      </c>
      <c r="P44" s="16">
        <f>HYPERLINK("https://photon-sol.tinyastro.io/en/lp/6pnptvW8hqCDdQ7vPPf3ANFgd7zYZHijKatjAZudpump?handle=676050794bc1b1657a56b", "View")</f>
        <v/>
      </c>
    </row>
    <row r="45">
      <c r="A45" s="19" t="inlineStr">
        <is>
          <t>Fries</t>
        </is>
      </c>
      <c r="B45" s="20" t="n">
        <v>6371503</v>
      </c>
      <c r="C45" s="20" t="n">
        <v>6371503</v>
      </c>
      <c r="D45" s="20" t="inlineStr">
        <is>
          <t>0.020010</t>
        </is>
      </c>
      <c r="E45" s="20" t="inlineStr">
        <is>
          <t>0.621 SOL</t>
        </is>
      </c>
      <c r="F45" s="20" t="inlineStr">
        <is>
          <t>0.286 SOL</t>
        </is>
      </c>
      <c r="G45" s="24" t="inlineStr">
        <is>
          <t>-0.354 SOL</t>
        </is>
      </c>
      <c r="H45" s="24" t="inlineStr">
        <is>
          <t>-55.31%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15.10.2024 07:40:05</t>
        </is>
      </c>
      <c r="M45" s="20" t="inlineStr">
        <is>
          <t>19 min</t>
        </is>
      </c>
      <c r="N45" s="20" t="inlineStr">
        <is>
          <t xml:space="preserve">        N/A           N/A           N/A</t>
        </is>
      </c>
      <c r="O45" s="20" t="inlineStr">
        <is>
          <t>BGHqLtTUcmJrZh7jBFXDbR1USQf4KWTc5rb5P2FYpump</t>
        </is>
      </c>
      <c r="P45" s="20">
        <f>HYPERLINK("https://photon-sol.tinyastro.io/en/lp/BGHqLtTUcmJrZh7jBFXDbR1USQf4KWTc5rb5P2FYpump?handle=676050794bc1b1657a56b", "View")</f>
        <v/>
      </c>
    </row>
    <row r="46">
      <c r="A46" s="15" t="inlineStr">
        <is>
          <t>BCAT</t>
        </is>
      </c>
      <c r="B46" s="16" t="n">
        <v>3444492</v>
      </c>
      <c r="C46" s="16" t="n">
        <v>3444492</v>
      </c>
      <c r="D46" s="16" t="inlineStr">
        <is>
          <t>0.020010</t>
        </is>
      </c>
      <c r="E46" s="16" t="inlineStr">
        <is>
          <t>0.669 SOL</t>
        </is>
      </c>
      <c r="F46" s="16" t="inlineStr">
        <is>
          <t>0.294 SOL</t>
        </is>
      </c>
      <c r="G46" s="24" t="inlineStr">
        <is>
          <t>-0.394 SOL</t>
        </is>
      </c>
      <c r="H46" s="24" t="inlineStr">
        <is>
          <t>-57.26%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15.10.2024 06:39:18</t>
        </is>
      </c>
      <c r="M46" s="16" t="inlineStr">
        <is>
          <t>21 min</t>
        </is>
      </c>
      <c r="N46" s="16" t="inlineStr">
        <is>
          <t xml:space="preserve">         33K            16K             3K</t>
        </is>
      </c>
      <c r="O46" s="16" t="inlineStr">
        <is>
          <t>7SmoErVHEGMUHXHsmwupXn6c6rDX6AVQLYEdfexppump</t>
        </is>
      </c>
      <c r="P46" s="16">
        <f>HYPERLINK("https://photon-sol.tinyastro.io/en/lp/7SmoErVHEGMUHXHsmwupXn6c6rDX6AVQLYEdfexppump?handle=676050794bc1b1657a56b", "View")</f>
        <v/>
      </c>
    </row>
    <row r="47">
      <c r="A47" s="19" t="inlineStr">
        <is>
          <t>ksilisab</t>
        </is>
      </c>
      <c r="B47" s="20" t="n">
        <v>2661578</v>
      </c>
      <c r="C47" s="20" t="n">
        <v>2661578</v>
      </c>
      <c r="D47" s="20" t="inlineStr">
        <is>
          <t>0.020010</t>
        </is>
      </c>
      <c r="E47" s="20" t="inlineStr">
        <is>
          <t>2.000 SOL</t>
        </is>
      </c>
      <c r="F47" s="20" t="inlineStr">
        <is>
          <t>1.732 SOL</t>
        </is>
      </c>
      <c r="G47" s="21" t="inlineStr">
        <is>
          <t>-0.288 SOL</t>
        </is>
      </c>
      <c r="H47" s="21" t="inlineStr">
        <is>
          <t>-14.24%</t>
        </is>
      </c>
      <c r="I47" s="20" t="inlineStr">
        <is>
          <t>N/A</t>
        </is>
      </c>
      <c r="J47" s="20" t="n">
        <v>1</v>
      </c>
      <c r="K47" s="20" t="n">
        <v>1</v>
      </c>
      <c r="L47" s="20" t="inlineStr">
        <is>
          <t>15.10.2024 06:30:08</t>
        </is>
      </c>
      <c r="M47" s="20" t="inlineStr">
        <is>
          <t>33 min</t>
        </is>
      </c>
      <c r="N47" s="20" t="inlineStr">
        <is>
          <t xml:space="preserve">        132K           114K             9K</t>
        </is>
      </c>
      <c r="O47" s="20" t="inlineStr">
        <is>
          <t>Exicyp4p8VbwsutHUYbuNA3CHyQUHZuzo7FFN1Yepump</t>
        </is>
      </c>
      <c r="P47" s="20">
        <f>HYPERLINK("https://dexscreener.com/solana/Exicyp4p8VbwsutHUYbuNA3CHyQUHZuzo7FFN1Yepump", "View")</f>
        <v/>
      </c>
    </row>
    <row r="48">
      <c r="A48" s="15" t="inlineStr">
        <is>
          <t>LILY</t>
        </is>
      </c>
      <c r="B48" s="16" t="n">
        <v>578647</v>
      </c>
      <c r="C48" s="16" t="n">
        <v>578647</v>
      </c>
      <c r="D48" s="16" t="inlineStr">
        <is>
          <t>0.030020</t>
        </is>
      </c>
      <c r="E48" s="16" t="inlineStr">
        <is>
          <t>2.000 SOL</t>
        </is>
      </c>
      <c r="F48" s="16" t="inlineStr">
        <is>
          <t>0.097 SOL</t>
        </is>
      </c>
      <c r="G48" s="24" t="inlineStr">
        <is>
          <t>-1.933 SOL</t>
        </is>
      </c>
      <c r="H48" s="24" t="inlineStr">
        <is>
          <t>-95.23%</t>
        </is>
      </c>
      <c r="I48" s="16" t="inlineStr">
        <is>
          <t>N/A</t>
        </is>
      </c>
      <c r="J48" s="16" t="n">
        <v>2</v>
      </c>
      <c r="K48" s="16" t="n">
        <v>1</v>
      </c>
      <c r="L48" s="16" t="inlineStr">
        <is>
          <t>15.10.2024 02:17:43</t>
        </is>
      </c>
      <c r="M48" s="16" t="inlineStr">
        <is>
          <t>19 hours</t>
        </is>
      </c>
      <c r="N48" s="16" t="inlineStr">
        <is>
          <t xml:space="preserve">        N/A           N/A           N/A</t>
        </is>
      </c>
      <c r="O48" s="16" t="inlineStr">
        <is>
          <t>4LrUY5zrJ6CUFQKg2NsahU6W2ggiwDDqR3N4njAApump</t>
        </is>
      </c>
      <c r="P48" s="16">
        <f>HYPERLINK("https://dexscreener.com/solana/4LrUY5zrJ6CUFQKg2NsahU6W2ggiwDDqR3N4njAApump", "View")</f>
        <v/>
      </c>
    </row>
    <row r="49">
      <c r="A49" s="19" t="inlineStr">
        <is>
          <t>/r9k/</t>
        </is>
      </c>
      <c r="B49" s="20" t="n">
        <v>5731346</v>
      </c>
      <c r="C49" s="20" t="n">
        <v>5731346</v>
      </c>
      <c r="D49" s="20" t="inlineStr">
        <is>
          <t>0.020010</t>
        </is>
      </c>
      <c r="E49" s="20" t="inlineStr">
        <is>
          <t>1.088 SOL</t>
        </is>
      </c>
      <c r="F49" s="20" t="inlineStr">
        <is>
          <t>0.243 SOL</t>
        </is>
      </c>
      <c r="G49" s="24" t="inlineStr">
        <is>
          <t>-0.865 SOL</t>
        </is>
      </c>
      <c r="H49" s="24" t="inlineStr">
        <is>
          <t>-78.07%</t>
        </is>
      </c>
      <c r="I49" s="20" t="inlineStr">
        <is>
          <t>N/A</t>
        </is>
      </c>
      <c r="J49" s="20" t="n">
        <v>1</v>
      </c>
      <c r="K49" s="20" t="n">
        <v>1</v>
      </c>
      <c r="L49" s="20" t="inlineStr">
        <is>
          <t>15.10.2024 02:16:56</t>
        </is>
      </c>
      <c r="M49" s="20" t="inlineStr">
        <is>
          <t>18 hours</t>
        </is>
      </c>
      <c r="N49" s="20" t="inlineStr">
        <is>
          <t xml:space="preserve">         33K            33K             5K</t>
        </is>
      </c>
      <c r="O49" s="20" t="inlineStr">
        <is>
          <t>2ob874iPApH1JWzBBmcVSxEs7HYTuZAEW4DKpiAbuTRQ</t>
        </is>
      </c>
      <c r="P49" s="20">
        <f>HYPERLINK("https://photon-sol.tinyastro.io/en/lp/2ob874iPApH1JWzBBmcVSxEs7HYTuZAEW4DKpiAbuTRQ?handle=676050794bc1b1657a56b", "View")</f>
        <v/>
      </c>
    </row>
    <row r="50">
      <c r="A50" s="15" t="inlineStr">
        <is>
          <t>Strawberry</t>
        </is>
      </c>
      <c r="B50" s="16" t="n">
        <v>304958</v>
      </c>
      <c r="C50" s="16" t="n">
        <v>304958</v>
      </c>
      <c r="D50" s="16" t="inlineStr">
        <is>
          <t>0.020010</t>
        </is>
      </c>
      <c r="E50" s="16" t="inlineStr">
        <is>
          <t>1.000 SOL</t>
        </is>
      </c>
      <c r="F50" s="16" t="inlineStr">
        <is>
          <t>0.389 SOL</t>
        </is>
      </c>
      <c r="G50" s="24" t="inlineStr">
        <is>
          <t>-0.631 SOL</t>
        </is>
      </c>
      <c r="H50" s="24" t="inlineStr">
        <is>
          <t>-61.90%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14.10.2024 07:16:40</t>
        </is>
      </c>
      <c r="M50" s="16" t="inlineStr">
        <is>
          <t>8 min</t>
        </is>
      </c>
      <c r="N50" s="16" t="inlineStr">
        <is>
          <t xml:space="preserve">        576K           223K            32K</t>
        </is>
      </c>
      <c r="O50" s="16" t="inlineStr">
        <is>
          <t>CcBZWB4KKddUCtKnWACP9vZHU471KiakYBnDYcPNpump</t>
        </is>
      </c>
      <c r="P50" s="16">
        <f>HYPERLINK("https://dexscreener.com/solana/CcBZWB4KKddUCtKnWACP9vZHU471KiakYBnDYcPNpump", "View")</f>
        <v/>
      </c>
    </row>
    <row r="51">
      <c r="A51" s="19" t="inlineStr">
        <is>
          <t>MemesAI</t>
        </is>
      </c>
      <c r="B51" s="20" t="n">
        <v>5208236</v>
      </c>
      <c r="C51" s="20" t="n">
        <v>5208236</v>
      </c>
      <c r="D51" s="20" t="inlineStr">
        <is>
          <t>0.160080</t>
        </is>
      </c>
      <c r="E51" s="20" t="inlineStr">
        <is>
          <t>2.250 SOL</t>
        </is>
      </c>
      <c r="F51" s="20" t="inlineStr">
        <is>
          <t>30.729 SOL</t>
        </is>
      </c>
      <c r="G51" s="23" t="inlineStr">
        <is>
          <t>28.319 SOL</t>
        </is>
      </c>
      <c r="H51" s="23" t="inlineStr">
        <is>
          <t>1175.03%</t>
        </is>
      </c>
      <c r="I51" s="20" t="inlineStr">
        <is>
          <t>N/A</t>
        </is>
      </c>
      <c r="J51" s="20" t="n">
        <v>3</v>
      </c>
      <c r="K51" s="20" t="n">
        <v>13</v>
      </c>
      <c r="L51" s="20" t="inlineStr">
        <is>
          <t>14.10.2024 01:57:50</t>
        </is>
      </c>
      <c r="M51" s="20" t="inlineStr">
        <is>
          <t>1 hours</t>
        </is>
      </c>
      <c r="N51" s="20" t="inlineStr">
        <is>
          <t xml:space="preserve">         60K             1M            13M</t>
        </is>
      </c>
      <c r="O51" s="20" t="inlineStr">
        <is>
          <t>39qibQxVzemuZTEvjSB7NePhw9WyyHdQCqP8xmBMpump</t>
        </is>
      </c>
      <c r="P51" s="20">
        <f>HYPERLINK("https://dexscreener.com/solana/39qibQxVzemuZTEvjSB7NePhw9WyyHdQCqP8xmBMpump", "View")</f>
        <v/>
      </c>
    </row>
    <row r="52">
      <c r="A52" s="15" t="inlineStr">
        <is>
          <t>CLURB</t>
        </is>
      </c>
      <c r="B52" s="16" t="n">
        <v>6707078</v>
      </c>
      <c r="C52" s="16" t="n">
        <v>6707078</v>
      </c>
      <c r="D52" s="16" t="inlineStr">
        <is>
          <t>0.040020</t>
        </is>
      </c>
      <c r="E52" s="16" t="inlineStr">
        <is>
          <t>1.560 SOL</t>
        </is>
      </c>
      <c r="F52" s="16" t="inlineStr">
        <is>
          <t>5.657 SOL</t>
        </is>
      </c>
      <c r="G52" s="23" t="inlineStr">
        <is>
          <t>4.058 SOL</t>
        </is>
      </c>
      <c r="H52" s="23" t="inlineStr">
        <is>
          <t>253.64%</t>
        </is>
      </c>
      <c r="I52" s="16" t="inlineStr">
        <is>
          <t>N/A</t>
        </is>
      </c>
      <c r="J52" s="16" t="n">
        <v>2</v>
      </c>
      <c r="K52" s="16" t="n">
        <v>2</v>
      </c>
      <c r="L52" s="16" t="inlineStr">
        <is>
          <t>13.10.2024 08:35:01</t>
        </is>
      </c>
      <c r="M52" s="16" t="inlineStr">
        <is>
          <t>1 hours</t>
        </is>
      </c>
      <c r="N52" s="16" t="inlineStr">
        <is>
          <t xml:space="preserve">        128K           155K            25K</t>
        </is>
      </c>
      <c r="O52" s="16" t="inlineStr">
        <is>
          <t>Do89yHhkwtZCR737zyfV4oHxUCkkECoysDXwz6vPpump</t>
        </is>
      </c>
      <c r="P52" s="16">
        <f>HYPERLINK("https://photon-sol.tinyastro.io/en/lp/Do89yHhkwtZCR737zyfV4oHxUCkkECoysDXwz6vPpump?handle=676050794bc1b1657a56b", "View")</f>
        <v/>
      </c>
    </row>
    <row r="53">
      <c r="A53" s="19" t="inlineStr">
        <is>
          <t>SUBTLE</t>
        </is>
      </c>
      <c r="B53" s="20" t="n">
        <v>9709915</v>
      </c>
      <c r="C53" s="20" t="n">
        <v>9709915</v>
      </c>
      <c r="D53" s="20" t="inlineStr">
        <is>
          <t>0.030020</t>
        </is>
      </c>
      <c r="E53" s="20" t="inlineStr">
        <is>
          <t>1.100 SOL</t>
        </is>
      </c>
      <c r="F53" s="20" t="inlineStr">
        <is>
          <t>2.113 SOL</t>
        </is>
      </c>
      <c r="G53" s="23" t="inlineStr">
        <is>
          <t>0.983 SOL</t>
        </is>
      </c>
      <c r="H53" s="23" t="inlineStr">
        <is>
          <t>87.04%</t>
        </is>
      </c>
      <c r="I53" s="20" t="inlineStr">
        <is>
          <t>N/A</t>
        </is>
      </c>
      <c r="J53" s="20" t="n">
        <v>2</v>
      </c>
      <c r="K53" s="20" t="n">
        <v>1</v>
      </c>
      <c r="L53" s="20" t="inlineStr">
        <is>
          <t>13.10.2024 05:50:31</t>
        </is>
      </c>
      <c r="M53" s="20" t="inlineStr">
        <is>
          <t>2 hours</t>
        </is>
      </c>
      <c r="N53" s="20" t="inlineStr">
        <is>
          <t xml:space="preserve">         18K            39K             5K</t>
        </is>
      </c>
      <c r="O53" s="20" t="inlineStr">
        <is>
          <t>6GAXzPf1m8k8GfG8QgtKTo1k7r5FGHPbQQ6LkGE9pump</t>
        </is>
      </c>
      <c r="P53" s="20">
        <f>HYPERLINK("https://photon-sol.tinyastro.io/en/lp/6GAXzPf1m8k8GfG8QgtKTo1k7r5FGHPbQQ6LkGE9pump?handle=676050794bc1b1657a56b", "View")</f>
        <v/>
      </c>
    </row>
    <row r="54">
      <c r="A54" s="15" t="inlineStr">
        <is>
          <t>Rain</t>
        </is>
      </c>
      <c r="B54" s="16" t="n">
        <v>202086716</v>
      </c>
      <c r="C54" s="16" t="n">
        <v>202086716</v>
      </c>
      <c r="D54" s="16" t="inlineStr">
        <is>
          <t>0.440220</t>
        </is>
      </c>
      <c r="E54" s="16" t="inlineStr">
        <is>
          <t>7.595 SOL</t>
        </is>
      </c>
      <c r="F54" s="16" t="inlineStr">
        <is>
          <t>7.561 SOL</t>
        </is>
      </c>
      <c r="G54" s="21" t="inlineStr">
        <is>
          <t>-0.474 SOL</t>
        </is>
      </c>
      <c r="H54" s="21" t="inlineStr">
        <is>
          <t>-5.90%</t>
        </is>
      </c>
      <c r="I54" s="16" t="inlineStr">
        <is>
          <t>N/A</t>
        </is>
      </c>
      <c r="J54" s="16" t="n">
        <v>27</v>
      </c>
      <c r="K54" s="16" t="n">
        <v>17</v>
      </c>
      <c r="L54" s="16" t="inlineStr">
        <is>
          <t>04.09.2024 22:20:06</t>
        </is>
      </c>
      <c r="M54" s="16" t="inlineStr">
        <is>
          <t>20 min</t>
        </is>
      </c>
      <c r="N54" s="16" t="inlineStr">
        <is>
          <t xml:space="preserve">        N/A           N/A           N/A</t>
        </is>
      </c>
      <c r="O54" s="16" t="inlineStr">
        <is>
          <t>9ifG8cm2szNvsqEgcrSjSauo7J55RTjsp38hTyRppump</t>
        </is>
      </c>
      <c r="P54" s="16">
        <f>HYPERLINK("https://photon-sol.tinyastro.io/en/lp/9ifG8cm2szNvsqEgcrSjSauo7J55RTjsp38hTyRppump?handle=676050794bc1b1657a56b", "View")</f>
        <v/>
      </c>
    </row>
    <row r="55">
      <c r="A55" s="19" t="inlineStr">
        <is>
          <t>ape</t>
        </is>
      </c>
      <c r="B55" s="20" t="n">
        <v>1450168</v>
      </c>
      <c r="C55" s="20" t="n">
        <v>1450168</v>
      </c>
      <c r="D55" s="20" t="inlineStr">
        <is>
          <t>0.020010</t>
        </is>
      </c>
      <c r="E55" s="20" t="inlineStr">
        <is>
          <t>1.000 SOL</t>
        </is>
      </c>
      <c r="F55" s="20" t="inlineStr">
        <is>
          <t>0.630 SOL</t>
        </is>
      </c>
      <c r="G55" s="21" t="inlineStr">
        <is>
          <t>-0.390 SOL</t>
        </is>
      </c>
      <c r="H55" s="21" t="inlineStr">
        <is>
          <t>-38.20%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04.09.2024 21:40:57</t>
        </is>
      </c>
      <c r="M55" s="20" t="inlineStr">
        <is>
          <t>4 min</t>
        </is>
      </c>
      <c r="N55" s="20" t="inlineStr">
        <is>
          <t xml:space="preserve">        121K            75K             3K</t>
        </is>
      </c>
      <c r="O55" s="20" t="inlineStr">
        <is>
          <t>13KfqQeJNvvUnswBPDBT5UtdXPsp97w7aXuF6cXhJ7fm</t>
        </is>
      </c>
      <c r="P55" s="20">
        <f>HYPERLINK("https://dexscreener.com/solana/13KfqQeJNvvUnswBPDBT5UtdXPsp97w7aXuF6cXhJ7fm", "View")</f>
        <v/>
      </c>
    </row>
    <row r="56">
      <c r="A56" s="15" t="inlineStr">
        <is>
          <t>LIAR</t>
        </is>
      </c>
      <c r="B56" s="16" t="n">
        <v>169472</v>
      </c>
      <c r="C56" s="16" t="n">
        <v>169472</v>
      </c>
      <c r="D56" s="16" t="inlineStr">
        <is>
          <t>0.020010</t>
        </is>
      </c>
      <c r="E56" s="16" t="inlineStr">
        <is>
          <t>1.000 SOL</t>
        </is>
      </c>
      <c r="F56" s="16" t="inlineStr">
        <is>
          <t>1.015 SOL</t>
        </is>
      </c>
      <c r="G56" s="21" t="inlineStr">
        <is>
          <t>-0.005 SOL</t>
        </is>
      </c>
      <c r="H56" s="21" t="inlineStr">
        <is>
          <t>-0.45%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04.09.2024 21:22:43</t>
        </is>
      </c>
      <c r="M56" s="18" t="inlineStr">
        <is>
          <t>52 sec</t>
        </is>
      </c>
      <c r="N56" s="16" t="inlineStr">
        <is>
          <t xml:space="preserve">          1M             1M             3K</t>
        </is>
      </c>
      <c r="O56" s="16" t="inlineStr">
        <is>
          <t>7Ty9nszNNR1eXM5xCADcrqts3afQ25Ut8zRa2o5Mpump</t>
        </is>
      </c>
      <c r="P56" s="16">
        <f>HYPERLINK("https://dexscreener.com/solana/7Ty9nszNNR1eXM5xCADcrqts3afQ25Ut8zRa2o5Mpump", "View")</f>
        <v/>
      </c>
    </row>
    <row r="57">
      <c r="A57" s="19" t="inlineStr">
        <is>
          <t>kunt</t>
        </is>
      </c>
      <c r="B57" s="20" t="n">
        <v>605530</v>
      </c>
      <c r="C57" s="20" t="n">
        <v>605530</v>
      </c>
      <c r="D57" s="20" t="inlineStr">
        <is>
          <t>0.030020</t>
        </is>
      </c>
      <c r="E57" s="20" t="inlineStr">
        <is>
          <t>0.500 SOL</t>
        </is>
      </c>
      <c r="F57" s="20" t="inlineStr">
        <is>
          <t>2.352 SOL</t>
        </is>
      </c>
      <c r="G57" s="23" t="inlineStr">
        <is>
          <t>1.822 SOL</t>
        </is>
      </c>
      <c r="H57" s="23" t="inlineStr">
        <is>
          <t>343.74%</t>
        </is>
      </c>
      <c r="I57" s="20" t="inlineStr">
        <is>
          <t>N/A</t>
        </is>
      </c>
      <c r="J57" s="20" t="n">
        <v>1</v>
      </c>
      <c r="K57" s="20" t="n">
        <v>2</v>
      </c>
      <c r="L57" s="20" t="inlineStr">
        <is>
          <t>16.08.2024 04:26:54</t>
        </is>
      </c>
      <c r="M57" s="20" t="inlineStr">
        <is>
          <t>2 hours</t>
        </is>
      </c>
      <c r="N57" s="20" t="inlineStr">
        <is>
          <t xml:space="preserve">        137K           115K             4K</t>
        </is>
      </c>
      <c r="O57" s="20" t="inlineStr">
        <is>
          <t>AzBaxsUE6q4x47Z9bvxpqwUxbvUGREPB8y5dk4A5Smbh</t>
        </is>
      </c>
      <c r="P57" s="20">
        <f>HYPERLINK("https://dexscreener.com/solana/AzBaxsUE6q4x47Z9bvxpqwUxbvUGREPB8y5dk4A5Smbh", "View")</f>
        <v/>
      </c>
    </row>
    <row r="58">
      <c r="A58" s="15" t="inlineStr">
        <is>
          <t>Catfood</t>
        </is>
      </c>
      <c r="B58" s="16" t="n">
        <v>25064</v>
      </c>
      <c r="C58" s="16" t="n">
        <v>25064</v>
      </c>
      <c r="D58" s="16" t="inlineStr">
        <is>
          <t>0.020010</t>
        </is>
      </c>
      <c r="E58" s="16" t="inlineStr">
        <is>
          <t>0.024 SOL</t>
        </is>
      </c>
      <c r="F58" s="16" t="inlineStr">
        <is>
          <t>0.000 SOL</t>
        </is>
      </c>
      <c r="G58" s="24" t="inlineStr">
        <is>
          <t>-0.044 SOL</t>
        </is>
      </c>
      <c r="H58" s="24" t="inlineStr">
        <is>
          <t>-100.00%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16.08.2024 01:10:07</t>
        </is>
      </c>
      <c r="M58" s="16" t="inlineStr">
        <is>
          <t>2 min</t>
        </is>
      </c>
      <c r="N58" s="16" t="inlineStr">
        <is>
          <t xml:space="preserve">        N/A           N/A           N/A</t>
        </is>
      </c>
      <c r="O58" s="16" t="inlineStr">
        <is>
          <t>HisLEpW6962avRijKbz9f9W9kVLm9zBcrCEXm7yHpump</t>
        </is>
      </c>
      <c r="P58" s="16">
        <f>HYPERLINK("https://photon-sol.tinyastro.io/en/lp/HisLEpW6962avRijKbz9f9W9kVLm9zBcrCEXm7yHpump?handle=676050794bc1b1657a56b", "View")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8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HYPERLINK("https://gmgn.ai/sol/address/3wR4YLJYcypaaXGTKWtKVZt2izhBoBo6iCSzzSU6eV94", "GMGN")</f>
        <v/>
      </c>
    </row>
    <row r="2">
      <c r="A2" s="3" t="inlineStr">
        <is>
          <t>3wR4YLJYcypaaXGTKWtKVZt2izhBoBo6iCSzzSU6eV94</t>
        </is>
      </c>
      <c r="B2" s="3" t="inlineStr">
        <is>
          <t>3.82 SOL</t>
        </is>
      </c>
      <c r="C2" s="3" t="inlineStr">
        <is>
          <t>29%</t>
        </is>
      </c>
      <c r="D2" s="3" t="inlineStr">
        <is>
          <t>-21%</t>
        </is>
      </c>
      <c r="E2" s="3" t="inlineStr">
        <is>
          <t>-1.72 SOL</t>
        </is>
      </c>
      <c r="F2" s="3" t="inlineStr">
        <is>
          <t>4 (6%)</t>
        </is>
      </c>
      <c r="G2" s="3" t="inlineStr">
        <is>
          <t>0 (0%)</t>
        </is>
      </c>
      <c r="H2" s="3" t="n">
        <v>69</v>
      </c>
      <c r="I2" s="3" t="n">
        <v>7</v>
      </c>
      <c r="J2" s="3" t="inlineStr">
        <is>
          <t>7 days</t>
        </is>
      </c>
      <c r="K2" s="3" t="inlineStr">
        <is>
          <t>4 min</t>
        </is>
      </c>
      <c r="L2" s="3" t="n">
        <v>21</v>
      </c>
      <c r="M2" s="3" t="n">
        <v>258</v>
      </c>
      <c r="N2" s="3">
        <f>HYPERLINK("https://solscan.io/account/3wR4YLJYcypaaXGTKWtKVZt2izhBoBo6iCSzzSU6eV94", "Solscan")</f>
        <v/>
      </c>
    </row>
    <row r="3">
      <c r="A3" s="6" t="inlineStr">
        <is>
          <t>Median ROI</t>
        </is>
      </c>
      <c r="B3" s="5" t="inlineStr">
        <is>
          <t>-100.00%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HYPERLINK("https://birdeye.so/profile/3wR4YLJYcypaaXGTKWtKVZt2izhBoBo6iCSzzSU6eV94", "Birdeye")</f>
        <v/>
      </c>
    </row>
    <row r="4">
      <c r="A4" s="6" t="inlineStr">
        <is>
          <t>Rockets percent</t>
        </is>
      </c>
      <c r="B4" s="3" t="inlineStr">
        <is>
          <t>9%</t>
        </is>
      </c>
      <c r="C4" s="3" t="inlineStr"/>
      <c r="D4" s="3" t="inlineStr">
        <is>
          <t>12%</t>
        </is>
      </c>
      <c r="E4" s="3" t="inlineStr">
        <is>
          <t>0.98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136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5</v>
      </c>
      <c r="D10" s="6" t="n">
        <v>5</v>
      </c>
      <c r="E10" s="6" t="n">
        <v>9</v>
      </c>
      <c r="F10" s="6" t="n">
        <v>7</v>
      </c>
      <c r="G10" s="6" t="n">
        <v>42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1.4%</t>
        </is>
      </c>
      <c r="C11" s="6" t="inlineStr">
        <is>
          <t>7.2%</t>
        </is>
      </c>
      <c r="D11" s="6" t="inlineStr">
        <is>
          <t>7.2%</t>
        </is>
      </c>
      <c r="E11" s="6" t="inlineStr">
        <is>
          <t>13.0%</t>
        </is>
      </c>
      <c r="F11" s="6" t="inlineStr">
        <is>
          <t>10.1%</t>
        </is>
      </c>
      <c r="G11" s="6" t="inlineStr">
        <is>
          <t>60.9%</t>
        </is>
      </c>
      <c r="H11" s="3" t="n"/>
      <c r="I11" s="3" t="inlineStr">
        <is>
          <t>5k-30k</t>
        </is>
      </c>
      <c r="J11" s="3" t="inlineStr">
        <is>
          <t>18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1.2 SOL</t>
        </is>
      </c>
      <c r="C12" s="6" t="inlineStr">
        <is>
          <t>1.6 SOL</t>
        </is>
      </c>
      <c r="D12" s="6" t="inlineStr">
        <is>
          <t>0.4 SOL</t>
        </is>
      </c>
      <c r="E12" s="6" t="inlineStr">
        <is>
          <t>0.1 SOL</t>
        </is>
      </c>
      <c r="F12" s="6" t="inlineStr">
        <is>
          <t>-0.2 SOL</t>
        </is>
      </c>
      <c r="G12" s="6" t="inlineStr">
        <is>
          <t>-4.8 SOL</t>
        </is>
      </c>
      <c r="H12" s="3" t="n"/>
      <c r="I12" s="3" t="inlineStr">
        <is>
          <t>30k-100k</t>
        </is>
      </c>
      <c r="J12" s="3" t="inlineStr">
        <is>
          <t>21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16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14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77.0K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DOLPHIN</t>
        </is>
      </c>
      <c r="B20" s="16" t="n">
        <v>306656</v>
      </c>
      <c r="C20" s="16" t="n">
        <v>0</v>
      </c>
      <c r="D20" s="16" t="inlineStr">
        <is>
          <t>0.000510</t>
        </is>
      </c>
      <c r="E20" s="16" t="inlineStr">
        <is>
          <t>0.200 SOL</t>
        </is>
      </c>
      <c r="F20" s="16" t="inlineStr">
        <is>
          <t>0.000 SOL</t>
        </is>
      </c>
      <c r="G20" s="17" t="inlineStr">
        <is>
          <t>-0.201 SOL</t>
        </is>
      </c>
      <c r="H20" s="17" t="inlineStr">
        <is>
          <t>0.00%</t>
        </is>
      </c>
      <c r="I20" s="16" t="inlineStr">
        <is>
          <t>306,656</t>
        </is>
      </c>
      <c r="J20" s="16" t="n">
        <v>1</v>
      </c>
      <c r="K20" s="16" t="n">
        <v>0</v>
      </c>
      <c r="L20" s="16" t="inlineStr">
        <is>
          <t>30.10.2024 16:41:17</t>
        </is>
      </c>
      <c r="M20" s="18" t="inlineStr">
        <is>
          <t>0 sec</t>
        </is>
      </c>
      <c r="N20" s="16" t="inlineStr">
        <is>
          <t xml:space="preserve">        114K           114K             8K</t>
        </is>
      </c>
      <c r="O20" s="16" t="inlineStr">
        <is>
          <t>8zuLGDdCMELwGjD9b3gtyqfCKwj5hbNUnCCw66eBpump</t>
        </is>
      </c>
      <c r="P20" s="16">
        <f>HYPERLINK("https://dexscreener.com/solana/8zuLGDdCMELwGjD9b3gtyqfCKwj5hbNUnCCw66eBpump", "View")</f>
        <v/>
      </c>
    </row>
    <row r="21">
      <c r="A21" s="19" t="inlineStr">
        <is>
          <t>치비</t>
        </is>
      </c>
      <c r="B21" s="20" t="n">
        <v>533253</v>
      </c>
      <c r="C21" s="20" t="n">
        <v>0</v>
      </c>
      <c r="D21" s="20" t="inlineStr">
        <is>
          <t>0.000510</t>
        </is>
      </c>
      <c r="E21" s="20" t="inlineStr">
        <is>
          <t>0.200 SOL</t>
        </is>
      </c>
      <c r="F21" s="20" t="inlineStr">
        <is>
          <t>0.000 SOL</t>
        </is>
      </c>
      <c r="G21" s="17" t="inlineStr">
        <is>
          <t>-0.201 SOL</t>
        </is>
      </c>
      <c r="H21" s="17" t="inlineStr">
        <is>
          <t>0.00%</t>
        </is>
      </c>
      <c r="I21" s="20" t="inlineStr">
        <is>
          <t>533,253</t>
        </is>
      </c>
      <c r="J21" s="20" t="n">
        <v>1</v>
      </c>
      <c r="K21" s="20" t="n">
        <v>0</v>
      </c>
      <c r="L21" s="20" t="inlineStr">
        <is>
          <t>30.10.2024 07:02:04</t>
        </is>
      </c>
      <c r="M21" s="18" t="inlineStr">
        <is>
          <t>0 sec</t>
        </is>
      </c>
      <c r="N21" s="20" t="inlineStr">
        <is>
          <t xml:space="preserve">         67K            67K             4K</t>
        </is>
      </c>
      <c r="O21" s="20" t="inlineStr">
        <is>
          <t>Brr65HPDUpnYinFiRFqMdFTRjX9mN9Bk9t77PHdTpump</t>
        </is>
      </c>
      <c r="P21" s="20">
        <f>HYPERLINK("https://dexscreener.com/solana/Brr65HPDUpnYinFiRFqMdFTRjX9mN9Bk9t77PHdTpump", "View")</f>
        <v/>
      </c>
    </row>
    <row r="22">
      <c r="A22" s="15" t="inlineStr">
        <is>
          <t>FatCZ</t>
        </is>
      </c>
      <c r="B22" s="16" t="n">
        <v>599216</v>
      </c>
      <c r="C22" s="16" t="n">
        <v>0</v>
      </c>
      <c r="D22" s="16" t="inlineStr">
        <is>
          <t>0.000510</t>
        </is>
      </c>
      <c r="E22" s="16" t="inlineStr">
        <is>
          <t>0.200 SOL</t>
        </is>
      </c>
      <c r="F22" s="16" t="inlineStr">
        <is>
          <t>0.000 SOL</t>
        </is>
      </c>
      <c r="G22" s="17" t="inlineStr">
        <is>
          <t>-0.201 SOL</t>
        </is>
      </c>
      <c r="H22" s="17" t="inlineStr">
        <is>
          <t>0.00%</t>
        </is>
      </c>
      <c r="I22" s="16" t="inlineStr">
        <is>
          <t>599,216</t>
        </is>
      </c>
      <c r="J22" s="16" t="n">
        <v>1</v>
      </c>
      <c r="K22" s="16" t="n">
        <v>0</v>
      </c>
      <c r="L22" s="16" t="inlineStr">
        <is>
          <t>30.10.2024 06:15:46</t>
        </is>
      </c>
      <c r="M22" s="18" t="inlineStr">
        <is>
          <t>0 sec</t>
        </is>
      </c>
      <c r="N22" s="16" t="inlineStr">
        <is>
          <t xml:space="preserve">         58K            58K             5K</t>
        </is>
      </c>
      <c r="O22" s="16" t="inlineStr">
        <is>
          <t>J5uCFnoXS1d99Yj28RuY2u6pBQsVwd2gQfKGp4vhNf1h</t>
        </is>
      </c>
      <c r="P22" s="16">
        <f>HYPERLINK("https://dexscreener.com/solana/J5uCFnoXS1d99Yj28RuY2u6pBQsVwd2gQfKGp4vhNf1h", "View")</f>
        <v/>
      </c>
    </row>
    <row r="23">
      <c r="A23" s="19" t="inlineStr">
        <is>
          <t>DORIME</t>
        </is>
      </c>
      <c r="B23" s="20" t="n">
        <v>1218226</v>
      </c>
      <c r="C23" s="20" t="n">
        <v>0</v>
      </c>
      <c r="D23" s="20" t="inlineStr">
        <is>
          <t>0.000510</t>
        </is>
      </c>
      <c r="E23" s="20" t="inlineStr">
        <is>
          <t>0.200 SOL</t>
        </is>
      </c>
      <c r="F23" s="20" t="inlineStr">
        <is>
          <t>0.000 SOL</t>
        </is>
      </c>
      <c r="G23" s="17" t="inlineStr">
        <is>
          <t>-0.201 SOL</t>
        </is>
      </c>
      <c r="H23" s="17" t="inlineStr">
        <is>
          <t>0.00%</t>
        </is>
      </c>
      <c r="I23" s="20" t="inlineStr">
        <is>
          <t>1,218,226</t>
        </is>
      </c>
      <c r="J23" s="20" t="n">
        <v>1</v>
      </c>
      <c r="K23" s="20" t="n">
        <v>0</v>
      </c>
      <c r="L23" s="20" t="inlineStr">
        <is>
          <t>30.10.2024 03:57:01</t>
        </is>
      </c>
      <c r="M23" s="18" t="inlineStr">
        <is>
          <t>0 sec</t>
        </is>
      </c>
      <c r="N23" s="20" t="inlineStr">
        <is>
          <t xml:space="preserve">         28K            28K             4K</t>
        </is>
      </c>
      <c r="O23" s="20" t="inlineStr">
        <is>
          <t>EFVKQhNuYF4LvubVpx812BSN6qmdARgTgXNpReaKpump</t>
        </is>
      </c>
      <c r="P23" s="20">
        <f>HYPERLINK("https://dexscreener.com/solana/EFVKQhNuYF4LvubVpx812BSN6qmdARgTgXNpReaKpump", "View")</f>
        <v/>
      </c>
    </row>
    <row r="24">
      <c r="A24" s="15" t="inlineStr">
        <is>
          <t>DOGEMASCOT</t>
        </is>
      </c>
      <c r="B24" s="16" t="n">
        <v>452499</v>
      </c>
      <c r="C24" s="16" t="n">
        <v>0</v>
      </c>
      <c r="D24" s="16" t="inlineStr">
        <is>
          <t>0.000510</t>
        </is>
      </c>
      <c r="E24" s="16" t="inlineStr">
        <is>
          <t>0.200 SOL</t>
        </is>
      </c>
      <c r="F24" s="16" t="inlineStr">
        <is>
          <t>0.000 SOL</t>
        </is>
      </c>
      <c r="G24" s="17" t="inlineStr">
        <is>
          <t>-0.201 SOL</t>
        </is>
      </c>
      <c r="H24" s="17" t="inlineStr">
        <is>
          <t>0.00%</t>
        </is>
      </c>
      <c r="I24" s="16" t="inlineStr">
        <is>
          <t>452,499</t>
        </is>
      </c>
      <c r="J24" s="16" t="n">
        <v>1</v>
      </c>
      <c r="K24" s="16" t="n">
        <v>0</v>
      </c>
      <c r="L24" s="16" t="inlineStr">
        <is>
          <t>30.10.2024 03:20:59</t>
        </is>
      </c>
      <c r="M24" s="18" t="inlineStr">
        <is>
          <t>0 sec</t>
        </is>
      </c>
      <c r="N24" s="16" t="inlineStr">
        <is>
          <t xml:space="preserve">         77K            77K            13K</t>
        </is>
      </c>
      <c r="O24" s="16" t="inlineStr">
        <is>
          <t>5ooyX53Dpoo6RMenMVS7TGb6JdgAqJjxJV1TFhpxpump</t>
        </is>
      </c>
      <c r="P24" s="16">
        <f>HYPERLINK("https://dexscreener.com/solana/5ooyX53Dpoo6RMenMVS7TGb6JdgAqJjxJV1TFhpxpump", "View")</f>
        <v/>
      </c>
    </row>
    <row r="25">
      <c r="A25" s="19" t="inlineStr">
        <is>
          <t>ART</t>
        </is>
      </c>
      <c r="B25" s="20" t="n">
        <v>54222</v>
      </c>
      <c r="C25" s="20" t="n">
        <v>54221</v>
      </c>
      <c r="D25" s="20" t="inlineStr">
        <is>
          <t>0.001020</t>
        </is>
      </c>
      <c r="E25" s="20" t="inlineStr">
        <is>
          <t>0.100 SOL</t>
        </is>
      </c>
      <c r="F25" s="20" t="inlineStr">
        <is>
          <t>0.017 SOL</t>
        </is>
      </c>
      <c r="G25" s="24" t="inlineStr">
        <is>
          <t>-0.084 SOL</t>
        </is>
      </c>
      <c r="H25" s="24" t="inlineStr">
        <is>
          <t>-83.32%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28.10.2024 00:56:00</t>
        </is>
      </c>
      <c r="M25" s="20" t="inlineStr">
        <is>
          <t>3 min</t>
        </is>
      </c>
      <c r="N25" s="20" t="inlineStr">
        <is>
          <t xml:space="preserve">        313K            53K             4K</t>
        </is>
      </c>
      <c r="O25" s="20" t="inlineStr">
        <is>
          <t>CxiqHyXjT66UqjL3fL8k2BuA3K6xQGUDLE8MRiLgpump</t>
        </is>
      </c>
      <c r="P25" s="20">
        <f>HYPERLINK("https://dexscreener.com/solana/CxiqHyXjT66UqjL3fL8k2BuA3K6xQGUDLE8MRiLgpump", "View")</f>
        <v/>
      </c>
    </row>
    <row r="26">
      <c r="A26" s="15" t="inlineStr">
        <is>
          <t>cDOG</t>
        </is>
      </c>
      <c r="B26" s="16" t="n">
        <v>402462</v>
      </c>
      <c r="C26" s="16" t="n">
        <v>402461</v>
      </c>
      <c r="D26" s="16" t="inlineStr">
        <is>
          <t>0.003570</t>
        </is>
      </c>
      <c r="E26" s="16" t="inlineStr">
        <is>
          <t>0.100 SOL</t>
        </is>
      </c>
      <c r="F26" s="16" t="inlineStr">
        <is>
          <t>0.216 SOL</t>
        </is>
      </c>
      <c r="G26" s="23" t="inlineStr">
        <is>
          <t>0.112 SOL</t>
        </is>
      </c>
      <c r="H26" s="23" t="inlineStr">
        <is>
          <t>108.20%</t>
        </is>
      </c>
      <c r="I26" s="16" t="inlineStr">
        <is>
          <t>N/A</t>
        </is>
      </c>
      <c r="J26" s="16" t="n">
        <v>1</v>
      </c>
      <c r="K26" s="16" t="n">
        <v>6</v>
      </c>
      <c r="L26" s="16" t="inlineStr">
        <is>
          <t>28.10.2024 00:29:09</t>
        </is>
      </c>
      <c r="M26" s="16" t="inlineStr">
        <is>
          <t>7 min</t>
        </is>
      </c>
      <c r="N26" s="16" t="inlineStr">
        <is>
          <t xml:space="preserve">         44K           102K             3K</t>
        </is>
      </c>
      <c r="O26" s="16" t="inlineStr">
        <is>
          <t>GS4wRe2f7e9J1PUbEhW1tUGDtVkQrJG4NMHtFWtbpump</t>
        </is>
      </c>
      <c r="P26" s="16">
        <f>HYPERLINK("https://dexscreener.com/solana/GS4wRe2f7e9J1PUbEhW1tUGDtVkQrJG4NMHtFWtbpump", "View")</f>
        <v/>
      </c>
    </row>
    <row r="27">
      <c r="A27" s="19" t="inlineStr">
        <is>
          <t>marvelous</t>
        </is>
      </c>
      <c r="B27" s="20" t="n">
        <v>259160</v>
      </c>
      <c r="C27" s="20" t="n">
        <v>259159</v>
      </c>
      <c r="D27" s="20" t="inlineStr">
        <is>
          <t>0.001010</t>
        </is>
      </c>
      <c r="E27" s="20" t="inlineStr">
        <is>
          <t>0.100 SOL</t>
        </is>
      </c>
      <c r="F27" s="20" t="inlineStr">
        <is>
          <t>0.070 SOL</t>
        </is>
      </c>
      <c r="G27" s="21" t="inlineStr">
        <is>
          <t>-0.031 SOL</t>
        </is>
      </c>
      <c r="H27" s="21" t="inlineStr">
        <is>
          <t>-30.68%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28.10.2024 00:07:28</t>
        </is>
      </c>
      <c r="M27" s="20" t="inlineStr">
        <is>
          <t>8 min</t>
        </is>
      </c>
      <c r="N27" s="20" t="inlineStr">
        <is>
          <t xml:space="preserve">         68K            47K             5K</t>
        </is>
      </c>
      <c r="O27" s="20" t="inlineStr">
        <is>
          <t>3AYy1ZyfUbxhpAX5DRT6ss2u68TMSE8vqmAFXSPnpump</t>
        </is>
      </c>
      <c r="P27" s="20">
        <f>HYPERLINK("https://dexscreener.com/solana/3AYy1ZyfUbxhpAX5DRT6ss2u68TMSE8vqmAFXSPnpump", "View")</f>
        <v/>
      </c>
    </row>
    <row r="28">
      <c r="A28" s="15" t="inlineStr">
        <is>
          <t>robo</t>
        </is>
      </c>
      <c r="B28" s="16" t="n">
        <v>441970</v>
      </c>
      <c r="C28" s="16" t="n">
        <v>441969</v>
      </c>
      <c r="D28" s="16" t="inlineStr">
        <is>
          <t>0.002020</t>
        </is>
      </c>
      <c r="E28" s="16" t="inlineStr">
        <is>
          <t>0.300 SOL</t>
        </is>
      </c>
      <c r="F28" s="16" t="inlineStr">
        <is>
          <t>0.106 SOL</t>
        </is>
      </c>
      <c r="G28" s="24" t="inlineStr">
        <is>
          <t>-0.196 SOL</t>
        </is>
      </c>
      <c r="H28" s="24" t="inlineStr">
        <is>
          <t>-64.90%</t>
        </is>
      </c>
      <c r="I28" s="16" t="inlineStr">
        <is>
          <t>N/A</t>
        </is>
      </c>
      <c r="J28" s="16" t="n">
        <v>3</v>
      </c>
      <c r="K28" s="16" t="n">
        <v>1</v>
      </c>
      <c r="L28" s="16" t="inlineStr">
        <is>
          <t>27.10.2024 23:54:48</t>
        </is>
      </c>
      <c r="M28" s="16" t="inlineStr">
        <is>
          <t>7 min</t>
        </is>
      </c>
      <c r="N28" s="16" t="inlineStr">
        <is>
          <t xml:space="preserve">        112K            42K             3K</t>
        </is>
      </c>
      <c r="O28" s="16" t="inlineStr">
        <is>
          <t>58Bs5J8RwJRfv5WYXrafiRk8U8bJ6WpNSr1iT1Dspump</t>
        </is>
      </c>
      <c r="P28" s="16">
        <f>HYPERLINK("https://dexscreener.com/solana/58Bs5J8RwJRfv5WYXrafiRk8U8bJ6WpNSr1iT1Dspump", "View")</f>
        <v/>
      </c>
    </row>
    <row r="29">
      <c r="A29" s="19" t="inlineStr">
        <is>
          <t>@AI</t>
        </is>
      </c>
      <c r="B29" s="20" t="n">
        <v>483597</v>
      </c>
      <c r="C29" s="20" t="n">
        <v>483596</v>
      </c>
      <c r="D29" s="20" t="inlineStr">
        <is>
          <t>0.001010</t>
        </is>
      </c>
      <c r="E29" s="20" t="inlineStr">
        <is>
          <t>0.100 SOL</t>
        </is>
      </c>
      <c r="F29" s="20" t="inlineStr">
        <is>
          <t>0.124 SOL</t>
        </is>
      </c>
      <c r="G29" s="22" t="inlineStr">
        <is>
          <t>0.023 SOL</t>
        </is>
      </c>
      <c r="H29" s="22" t="inlineStr">
        <is>
          <t>23.16%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27.10.2024 21:35:56</t>
        </is>
      </c>
      <c r="M29" s="20" t="inlineStr">
        <is>
          <t>3 min</t>
        </is>
      </c>
      <c r="N29" s="20" t="inlineStr">
        <is>
          <t xml:space="preserve">         37K            46K             5K</t>
        </is>
      </c>
      <c r="O29" s="20" t="inlineStr">
        <is>
          <t>2DrfBeGy3iXWgmUfwxqPcA4QHkR3aPmDquu1dj5Zpump</t>
        </is>
      </c>
      <c r="P29" s="20">
        <f>HYPERLINK("https://dexscreener.com/solana/2DrfBeGy3iXWgmUfwxqPcA4QHkR3aPmDquu1dj5Zpump", "View")</f>
        <v/>
      </c>
    </row>
    <row r="30">
      <c r="A30" s="15" t="inlineStr">
        <is>
          <t>PUMPLAND</t>
        </is>
      </c>
      <c r="B30" s="16" t="n">
        <v>260421</v>
      </c>
      <c r="C30" s="16" t="n">
        <v>260420</v>
      </c>
      <c r="D30" s="16" t="inlineStr">
        <is>
          <t>0.011110</t>
        </is>
      </c>
      <c r="E30" s="16" t="inlineStr">
        <is>
          <t>0.100 SOL</t>
        </is>
      </c>
      <c r="F30" s="16" t="inlineStr">
        <is>
          <t>0.379 SOL</t>
        </is>
      </c>
      <c r="G30" s="23" t="inlineStr">
        <is>
          <t>0.268 SOL</t>
        </is>
      </c>
      <c r="H30" s="23" t="inlineStr">
        <is>
          <t>241.05%</t>
        </is>
      </c>
      <c r="I30" s="16" t="inlineStr">
        <is>
          <t>N/A</t>
        </is>
      </c>
      <c r="J30" s="16" t="n">
        <v>1</v>
      </c>
      <c r="K30" s="16" t="n">
        <v>21</v>
      </c>
      <c r="L30" s="16" t="inlineStr">
        <is>
          <t>27.10.2024 21:01:07</t>
        </is>
      </c>
      <c r="M30" s="16" t="inlineStr">
        <is>
          <t>13 min</t>
        </is>
      </c>
      <c r="N30" s="16" t="inlineStr">
        <is>
          <t xml:space="preserve">         67K            67K            24K</t>
        </is>
      </c>
      <c r="O30" s="16" t="inlineStr">
        <is>
          <t>Bc2hjM8oYRkkedGLeHcpCUHWBSiG6hoB1JnLjt7iJi5n</t>
        </is>
      </c>
      <c r="P30" s="16">
        <f>HYPERLINK("https://dexscreener.com/solana/Bc2hjM8oYRkkedGLeHcpCUHWBSiG6hoB1JnLjt7iJi5n", "View")</f>
        <v/>
      </c>
    </row>
    <row r="31">
      <c r="A31" s="19" t="inlineStr">
        <is>
          <t>AVB</t>
        </is>
      </c>
      <c r="B31" s="20" t="n">
        <v>15606</v>
      </c>
      <c r="C31" s="20" t="n">
        <v>15605</v>
      </c>
      <c r="D31" s="20" t="inlineStr">
        <is>
          <t>0.001010</t>
        </is>
      </c>
      <c r="E31" s="20" t="inlineStr">
        <is>
          <t>0.100 SOL</t>
        </is>
      </c>
      <c r="F31" s="20" t="inlineStr">
        <is>
          <t>0.080 SOL</t>
        </is>
      </c>
      <c r="G31" s="21" t="inlineStr">
        <is>
          <t>-0.021 SOL</t>
        </is>
      </c>
      <c r="H31" s="21" t="inlineStr">
        <is>
          <t>-20.93%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27.10.2024 19:02:16</t>
        </is>
      </c>
      <c r="M31" s="20" t="inlineStr">
        <is>
          <t>1 min</t>
        </is>
      </c>
      <c r="N31" s="20" t="inlineStr">
        <is>
          <t xml:space="preserve">          1M             1M             6M</t>
        </is>
      </c>
      <c r="O31" s="20" t="inlineStr">
        <is>
          <t>6d5zHW5B8RkGKd51Lpb9RqFQSqDudr9GJgZ1SgQZpump</t>
        </is>
      </c>
      <c r="P31" s="20">
        <f>HYPERLINK("https://dexscreener.com/solana/6d5zHW5B8RkGKd51Lpb9RqFQSqDudr9GJgZ1SgQZpump", "View")</f>
        <v/>
      </c>
    </row>
    <row r="32">
      <c r="A32" s="15" t="inlineStr">
        <is>
          <t>SKULL</t>
        </is>
      </c>
      <c r="B32" s="16" t="n">
        <v>254140</v>
      </c>
      <c r="C32" s="16" t="n">
        <v>254139</v>
      </c>
      <c r="D32" s="16" t="inlineStr">
        <is>
          <t>0.001520</t>
        </is>
      </c>
      <c r="E32" s="16" t="inlineStr">
        <is>
          <t>0.200 SOL</t>
        </is>
      </c>
      <c r="F32" s="16" t="inlineStr">
        <is>
          <t>0.135 SOL</t>
        </is>
      </c>
      <c r="G32" s="21" t="inlineStr">
        <is>
          <t>-0.067 SOL</t>
        </is>
      </c>
      <c r="H32" s="21" t="inlineStr">
        <is>
          <t>-33.09%</t>
        </is>
      </c>
      <c r="I32" s="16" t="inlineStr">
        <is>
          <t>N/A</t>
        </is>
      </c>
      <c r="J32" s="16" t="n">
        <v>2</v>
      </c>
      <c r="K32" s="16" t="n">
        <v>1</v>
      </c>
      <c r="L32" s="16" t="inlineStr">
        <is>
          <t>27.10.2024 18:58:27</t>
        </is>
      </c>
      <c r="M32" s="16" t="inlineStr">
        <is>
          <t>4 min</t>
        </is>
      </c>
      <c r="N32" s="16" t="inlineStr">
        <is>
          <t xml:space="preserve">        123K           158K             5K</t>
        </is>
      </c>
      <c r="O32" s="16" t="inlineStr">
        <is>
          <t>BmpF5awAZW6baUoSF1CMS3A2XbMU62VPPH58Trbkpump</t>
        </is>
      </c>
      <c r="P32" s="16">
        <f>HYPERLINK("https://dexscreener.com/solana/BmpF5awAZW6baUoSF1CMS3A2XbMU62VPPH58Trbkpump", "View")</f>
        <v/>
      </c>
    </row>
    <row r="33">
      <c r="A33" s="19" t="inlineStr">
        <is>
          <t>incalstory</t>
        </is>
      </c>
      <c r="B33" s="20" t="n">
        <v>118023</v>
      </c>
      <c r="C33" s="20" t="n">
        <v>118022</v>
      </c>
      <c r="D33" s="20" t="inlineStr">
        <is>
          <t>0.001010</t>
        </is>
      </c>
      <c r="E33" s="20" t="inlineStr">
        <is>
          <t>0.100 SOL</t>
        </is>
      </c>
      <c r="F33" s="20" t="inlineStr">
        <is>
          <t>0.010 SOL</t>
        </is>
      </c>
      <c r="G33" s="24" t="inlineStr">
        <is>
          <t>-0.091 SOL</t>
        </is>
      </c>
      <c r="H33" s="24" t="inlineStr">
        <is>
          <t>-89.90%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27.10.2024 18:51:47</t>
        </is>
      </c>
      <c r="M33" s="18" t="inlineStr">
        <is>
          <t>54 sec</t>
        </is>
      </c>
      <c r="N33" s="20" t="inlineStr">
        <is>
          <t xml:space="preserve">        149K            16K             3K</t>
        </is>
      </c>
      <c r="O33" s="20" t="inlineStr">
        <is>
          <t>9TeaGSsCaGW7rEuc8uXQvrhyKnGjnrHKtCXYP7qWpump</t>
        </is>
      </c>
      <c r="P33" s="20">
        <f>HYPERLINK("https://dexscreener.com/solana/9TeaGSsCaGW7rEuc8uXQvrhyKnGjnrHKtCXYP7qWpump", "View")</f>
        <v/>
      </c>
    </row>
    <row r="34">
      <c r="A34" s="15" t="inlineStr">
        <is>
          <t>YUYU</t>
        </is>
      </c>
      <c r="B34" s="16" t="n">
        <v>68826</v>
      </c>
      <c r="C34" s="16" t="n">
        <v>68825</v>
      </c>
      <c r="D34" s="16" t="inlineStr">
        <is>
          <t>0.001010</t>
        </is>
      </c>
      <c r="E34" s="16" t="inlineStr">
        <is>
          <t>0.100 SOL</t>
        </is>
      </c>
      <c r="F34" s="16" t="inlineStr">
        <is>
          <t>0.044 SOL</t>
        </is>
      </c>
      <c r="G34" s="24" t="inlineStr">
        <is>
          <t>-0.057 SOL</t>
        </is>
      </c>
      <c r="H34" s="24" t="inlineStr">
        <is>
          <t>-56.16%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27.10.2024 17:31:05</t>
        </is>
      </c>
      <c r="M34" s="16" t="inlineStr">
        <is>
          <t>2 min</t>
        </is>
      </c>
      <c r="N34" s="16" t="inlineStr">
        <is>
          <t xml:space="preserve">        255K           112K             3K</t>
        </is>
      </c>
      <c r="O34" s="16" t="inlineStr">
        <is>
          <t>7VHs916wsCK8NYndUiUDMnsXymLz4FQgdMtvmrvhpump</t>
        </is>
      </c>
      <c r="P34" s="16">
        <f>HYPERLINK("https://dexscreener.com/solana/7VHs916wsCK8NYndUiUDMnsXymLz4FQgdMtvmrvhpump", "View")</f>
        <v/>
      </c>
    </row>
    <row r="35">
      <c r="A35" s="19" t="inlineStr">
        <is>
          <t>GOAL</t>
        </is>
      </c>
      <c r="B35" s="20" t="n">
        <v>82519</v>
      </c>
      <c r="C35" s="20" t="n">
        <v>82518</v>
      </c>
      <c r="D35" s="20" t="inlineStr">
        <is>
          <t>0.002020</t>
        </is>
      </c>
      <c r="E35" s="20" t="inlineStr">
        <is>
          <t>0.100 SOL</t>
        </is>
      </c>
      <c r="F35" s="20" t="inlineStr">
        <is>
          <t>0.052 SOL</t>
        </is>
      </c>
      <c r="G35" s="21" t="inlineStr">
        <is>
          <t>-0.050 SOL</t>
        </is>
      </c>
      <c r="H35" s="21" t="inlineStr">
        <is>
          <t>-49.00%</t>
        </is>
      </c>
      <c r="I35" s="20" t="inlineStr">
        <is>
          <t>N/A</t>
        </is>
      </c>
      <c r="J35" s="20" t="n">
        <v>1</v>
      </c>
      <c r="K35" s="20" t="n">
        <v>3</v>
      </c>
      <c r="L35" s="20" t="inlineStr">
        <is>
          <t>27.10.2024 16:29:22</t>
        </is>
      </c>
      <c r="M35" s="20" t="inlineStr">
        <is>
          <t>1 min</t>
        </is>
      </c>
      <c r="N35" s="20" t="inlineStr">
        <is>
          <t xml:space="preserve">        212K            39K             4K</t>
        </is>
      </c>
      <c r="O35" s="20" t="inlineStr">
        <is>
          <t>ZR6df31VQDG9gEoHPJFxgdrZY6KwZh4tAWWq7kApump</t>
        </is>
      </c>
      <c r="P35" s="20">
        <f>HYPERLINK("https://dexscreener.com/solana/ZR6df31VQDG9gEoHPJFxgdrZY6KwZh4tAWWq7kApump", "View")</f>
        <v/>
      </c>
    </row>
    <row r="36">
      <c r="A36" s="15" t="inlineStr">
        <is>
          <t>CHALCIS</t>
        </is>
      </c>
      <c r="B36" s="16" t="n">
        <v>198655</v>
      </c>
      <c r="C36" s="16" t="n">
        <v>198654</v>
      </c>
      <c r="D36" s="16" t="inlineStr">
        <is>
          <t>0.002020</t>
        </is>
      </c>
      <c r="E36" s="16" t="inlineStr">
        <is>
          <t>0.100 SOL</t>
        </is>
      </c>
      <c r="F36" s="16" t="inlineStr">
        <is>
          <t>0.184 SOL</t>
        </is>
      </c>
      <c r="G36" s="23" t="inlineStr">
        <is>
          <t>0.082 SOL</t>
        </is>
      </c>
      <c r="H36" s="23" t="inlineStr">
        <is>
          <t>80.09%</t>
        </is>
      </c>
      <c r="I36" s="16" t="inlineStr">
        <is>
          <t>N/A</t>
        </is>
      </c>
      <c r="J36" s="16" t="n">
        <v>1</v>
      </c>
      <c r="K36" s="16" t="n">
        <v>3</v>
      </c>
      <c r="L36" s="16" t="inlineStr">
        <is>
          <t>27.10.2024 16:16:26</t>
        </is>
      </c>
      <c r="M36" s="16" t="inlineStr">
        <is>
          <t>8 min</t>
        </is>
      </c>
      <c r="N36" s="16" t="inlineStr">
        <is>
          <t xml:space="preserve">         88K           183K             5K</t>
        </is>
      </c>
      <c r="O36" s="16" t="inlineStr">
        <is>
          <t>AJLLXE78sr7uYXM1JSFdMMJ8UdxiXutGGqsK6eZ3pump</t>
        </is>
      </c>
      <c r="P36" s="16">
        <f>HYPERLINK("https://dexscreener.com/solana/AJLLXE78sr7uYXM1JSFdMMJ8UdxiXutGGqsK6eZ3pump", "View")</f>
        <v/>
      </c>
    </row>
    <row r="37">
      <c r="A37" s="19" t="inlineStr">
        <is>
          <t>Exocortex</t>
        </is>
      </c>
      <c r="B37" s="20" t="n">
        <v>84909</v>
      </c>
      <c r="C37" s="20" t="n">
        <v>84908</v>
      </c>
      <c r="D37" s="20" t="inlineStr">
        <is>
          <t>0.004080</t>
        </is>
      </c>
      <c r="E37" s="20" t="inlineStr">
        <is>
          <t>0.100 SOL</t>
        </is>
      </c>
      <c r="F37" s="20" t="inlineStr">
        <is>
          <t>0.308 SOL</t>
        </is>
      </c>
      <c r="G37" s="23" t="inlineStr">
        <is>
          <t>0.204 SOL</t>
        </is>
      </c>
      <c r="H37" s="23" t="inlineStr">
        <is>
          <t>195.79%</t>
        </is>
      </c>
      <c r="I37" s="20" t="inlineStr">
        <is>
          <t>N/A</t>
        </is>
      </c>
      <c r="J37" s="20" t="n">
        <v>1</v>
      </c>
      <c r="K37" s="20" t="n">
        <v>7</v>
      </c>
      <c r="L37" s="20" t="inlineStr">
        <is>
          <t>27.10.2024 01:55:58</t>
        </is>
      </c>
      <c r="M37" s="20" t="inlineStr">
        <is>
          <t>5 min</t>
        </is>
      </c>
      <c r="N37" s="20" t="inlineStr">
        <is>
          <t xml:space="preserve">        207K           411K             9K</t>
        </is>
      </c>
      <c r="O37" s="20" t="inlineStr">
        <is>
          <t>8afnLWPRCjvNfPPT8jP3R9DMiwE89pizGVtRw36Apump</t>
        </is>
      </c>
      <c r="P37" s="20">
        <f>HYPERLINK("https://dexscreener.com/solana/8afnLWPRCjvNfPPT8jP3R9DMiwE89pizGVtRw36Apump", "View")</f>
        <v/>
      </c>
    </row>
    <row r="38">
      <c r="A38" s="15" t="inlineStr">
        <is>
          <t>waiting</t>
        </is>
      </c>
      <c r="B38" s="16" t="n">
        <v>716858</v>
      </c>
      <c r="C38" s="16" t="n">
        <v>716857</v>
      </c>
      <c r="D38" s="16" t="inlineStr">
        <is>
          <t>0.001010</t>
        </is>
      </c>
      <c r="E38" s="16" t="inlineStr">
        <is>
          <t>0.100 SOL</t>
        </is>
      </c>
      <c r="F38" s="16" t="inlineStr">
        <is>
          <t>0.103 SOL</t>
        </is>
      </c>
      <c r="G38" s="22" t="inlineStr">
        <is>
          <t>0.002 SOL</t>
        </is>
      </c>
      <c r="H38" s="22" t="inlineStr">
        <is>
          <t>2.32%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27.10.2024 00:20:40</t>
        </is>
      </c>
      <c r="M38" s="16" t="inlineStr">
        <is>
          <t>1 min</t>
        </is>
      </c>
      <c r="N38" s="16" t="inlineStr">
        <is>
          <t xml:space="preserve">         25K            25K             4K</t>
        </is>
      </c>
      <c r="O38" s="16" t="inlineStr">
        <is>
          <t>9pB7khoMj2T9JEKcbqHuMhpGBFuVxJAooddYd42zpump</t>
        </is>
      </c>
      <c r="P38" s="16">
        <f>HYPERLINK("https://dexscreener.com/solana/9pB7khoMj2T9JEKcbqHuMhpGBFuVxJAooddYd42zpump", "View")</f>
        <v/>
      </c>
    </row>
    <row r="39">
      <c r="A39" s="19" t="inlineStr">
        <is>
          <t>MALAKAI</t>
        </is>
      </c>
      <c r="B39" s="20" t="n">
        <v>22444</v>
      </c>
      <c r="C39" s="20" t="n">
        <v>22443</v>
      </c>
      <c r="D39" s="20" t="inlineStr">
        <is>
          <t>0.001530</t>
        </is>
      </c>
      <c r="E39" s="20" t="inlineStr">
        <is>
          <t>0.100 SOL</t>
        </is>
      </c>
      <c r="F39" s="20" t="inlineStr">
        <is>
          <t>0.120 SOL</t>
        </is>
      </c>
      <c r="G39" s="22" t="inlineStr">
        <is>
          <t>0.018 SOL</t>
        </is>
      </c>
      <c r="H39" s="22" t="inlineStr">
        <is>
          <t>17.88%</t>
        </is>
      </c>
      <c r="I39" s="20" t="inlineStr">
        <is>
          <t>N/A</t>
        </is>
      </c>
      <c r="J39" s="20" t="n">
        <v>1</v>
      </c>
      <c r="K39" s="20" t="n">
        <v>2</v>
      </c>
      <c r="L39" s="20" t="inlineStr">
        <is>
          <t>27.10.2024 00:19:07</t>
        </is>
      </c>
      <c r="M39" s="20" t="inlineStr">
        <is>
          <t>1 min</t>
        </is>
      </c>
      <c r="N39" s="20" t="inlineStr">
        <is>
          <t xml:space="preserve">        744K           734K             6K</t>
        </is>
      </c>
      <c r="O39" s="20" t="inlineStr">
        <is>
          <t>HEDfSqcMpEWbTGYpiLcmqM7SFJ9iSbjCn96n4xFfpump</t>
        </is>
      </c>
      <c r="P39" s="20">
        <f>HYPERLINK("https://dexscreener.com/solana/HEDfSqcMpEWbTGYpiLcmqM7SFJ9iSbjCn96n4xFfpump", "View")</f>
        <v/>
      </c>
    </row>
    <row r="40">
      <c r="A40" s="15" t="inlineStr">
        <is>
          <t>Cubeaism</t>
        </is>
      </c>
      <c r="B40" s="16" t="n">
        <v>267980</v>
      </c>
      <c r="C40" s="16" t="n">
        <v>267979</v>
      </c>
      <c r="D40" s="16" t="inlineStr">
        <is>
          <t>0.001010</t>
        </is>
      </c>
      <c r="E40" s="16" t="inlineStr">
        <is>
          <t>0.100 SOL</t>
        </is>
      </c>
      <c r="F40" s="16" t="inlineStr">
        <is>
          <t>0.055 SOL</t>
        </is>
      </c>
      <c r="G40" s="21" t="inlineStr">
        <is>
          <t>-0.046 SOL</t>
        </is>
      </c>
      <c r="H40" s="21" t="inlineStr">
        <is>
          <t>-45.24%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26.10.2024 20:39:48</t>
        </is>
      </c>
      <c r="M40" s="16" t="inlineStr">
        <is>
          <t>5 min</t>
        </is>
      </c>
      <c r="N40" s="16" t="inlineStr">
        <is>
          <t xml:space="preserve">         65K            37K             5K</t>
        </is>
      </c>
      <c r="O40" s="16" t="inlineStr">
        <is>
          <t>CJE2AZ9PiSeBMcBduJdQPxJbGzSExj3fmVQ6rKBpump</t>
        </is>
      </c>
      <c r="P40" s="16">
        <f>HYPERLINK("https://dexscreener.com/solana/CJE2AZ9PiSeBMcBduJdQPxJbGzSExj3fmVQ6rKBpump", "View")</f>
        <v/>
      </c>
    </row>
    <row r="41">
      <c r="A41" s="19" t="inlineStr">
        <is>
          <t>moshi</t>
        </is>
      </c>
      <c r="B41" s="20" t="n">
        <v>148960</v>
      </c>
      <c r="C41" s="20" t="n">
        <v>148959</v>
      </c>
      <c r="D41" s="20" t="inlineStr">
        <is>
          <t>0.003540</t>
        </is>
      </c>
      <c r="E41" s="20" t="inlineStr">
        <is>
          <t>0.100 SOL</t>
        </is>
      </c>
      <c r="F41" s="20" t="inlineStr">
        <is>
          <t>0.192 SOL</t>
        </is>
      </c>
      <c r="G41" s="23" t="inlineStr">
        <is>
          <t>0.089 SOL</t>
        </is>
      </c>
      <c r="H41" s="23" t="inlineStr">
        <is>
          <t>85.55%</t>
        </is>
      </c>
      <c r="I41" s="20" t="inlineStr">
        <is>
          <t>N/A</t>
        </is>
      </c>
      <c r="J41" s="20" t="n">
        <v>1</v>
      </c>
      <c r="K41" s="20" t="n">
        <v>6</v>
      </c>
      <c r="L41" s="20" t="inlineStr">
        <is>
          <t>26.10.2024 20:08:41</t>
        </is>
      </c>
      <c r="M41" s="20" t="inlineStr">
        <is>
          <t>1 min</t>
        </is>
      </c>
      <c r="N41" s="20" t="inlineStr">
        <is>
          <t xml:space="preserve">        118K           114K             6K</t>
        </is>
      </c>
      <c r="O41" s="20" t="inlineStr">
        <is>
          <t>9qvBBkYac2wQR5GiDQPbXxjDBjpowFqfvVUWUCfypump</t>
        </is>
      </c>
      <c r="P41" s="20">
        <f>HYPERLINK("https://dexscreener.com/solana/9qvBBkYac2wQR5GiDQPbXxjDBjpowFqfvVUWUCfypump", "View")</f>
        <v/>
      </c>
    </row>
    <row r="42">
      <c r="A42" s="15" t="inlineStr">
        <is>
          <t>HERO</t>
        </is>
      </c>
      <c r="B42" s="16" t="n">
        <v>94801</v>
      </c>
      <c r="C42" s="16" t="n">
        <v>94800</v>
      </c>
      <c r="D42" s="16" t="inlineStr">
        <is>
          <t>0.001020</t>
        </is>
      </c>
      <c r="E42" s="16" t="inlineStr">
        <is>
          <t>0.100 SOL</t>
        </is>
      </c>
      <c r="F42" s="16" t="inlineStr">
        <is>
          <t>0.044 SOL</t>
        </is>
      </c>
      <c r="G42" s="24" t="inlineStr">
        <is>
          <t>-0.057 SOL</t>
        </is>
      </c>
      <c r="H42" s="24" t="inlineStr">
        <is>
          <t>-56.13%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26.10.2024 18:31:48</t>
        </is>
      </c>
      <c r="M42" s="16" t="inlineStr">
        <is>
          <t>13 min</t>
        </is>
      </c>
      <c r="N42" s="16" t="inlineStr">
        <is>
          <t xml:space="preserve">        184K            83K             5K</t>
        </is>
      </c>
      <c r="O42" s="16" t="inlineStr">
        <is>
          <t>HpustU29ruaNraH6Dts7sk1aegetJ6wHHgG5AvuJXd4z</t>
        </is>
      </c>
      <c r="P42" s="16">
        <f>HYPERLINK("https://dexscreener.com/solana/HpustU29ruaNraH6Dts7sk1aegetJ6wHHgG5AvuJXd4z", "View")</f>
        <v/>
      </c>
    </row>
    <row r="43">
      <c r="A43" s="19" t="inlineStr">
        <is>
          <t>Vr</t>
        </is>
      </c>
      <c r="B43" s="20" t="n">
        <v>186137</v>
      </c>
      <c r="C43" s="20" t="n">
        <v>186136</v>
      </c>
      <c r="D43" s="20" t="inlineStr">
        <is>
          <t>0.001020</t>
        </is>
      </c>
      <c r="E43" s="20" t="inlineStr">
        <is>
          <t>0.100 SOL</t>
        </is>
      </c>
      <c r="F43" s="20" t="inlineStr">
        <is>
          <t>0.082 SOL</t>
        </is>
      </c>
      <c r="G43" s="21" t="inlineStr">
        <is>
          <t>-0.019 SOL</t>
        </is>
      </c>
      <c r="H43" s="21" t="inlineStr">
        <is>
          <t>-18.47%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26.10.2024 17:56:26</t>
        </is>
      </c>
      <c r="M43" s="20" t="inlineStr">
        <is>
          <t>3 min</t>
        </is>
      </c>
      <c r="N43" s="20" t="inlineStr">
        <is>
          <t xml:space="preserve">         91K            74K             5K</t>
        </is>
      </c>
      <c r="O43" s="20" t="inlineStr">
        <is>
          <t>9HD8qf3UgvD6CQXuoVa1SWpTq1DQLruBXfdvHsn2pump</t>
        </is>
      </c>
      <c r="P43" s="20">
        <f>HYPERLINK("https://dexscreener.com/solana/9HD8qf3UgvD6CQXuoVa1SWpTq1DQLruBXfdvHsn2pump", "View")</f>
        <v/>
      </c>
    </row>
    <row r="44">
      <c r="A44" s="15" t="inlineStr">
        <is>
          <t>$CONFESS</t>
        </is>
      </c>
      <c r="B44" s="16" t="n">
        <v>658915</v>
      </c>
      <c r="C44" s="16" t="n">
        <v>658914</v>
      </c>
      <c r="D44" s="16" t="inlineStr">
        <is>
          <t>0.005050</t>
        </is>
      </c>
      <c r="E44" s="16" t="inlineStr">
        <is>
          <t>0.400 SOL</t>
        </is>
      </c>
      <c r="F44" s="16" t="inlineStr">
        <is>
          <t>1.210 SOL</t>
        </is>
      </c>
      <c r="G44" s="23" t="inlineStr">
        <is>
          <t>0.805 SOL</t>
        </is>
      </c>
      <c r="H44" s="23" t="inlineStr">
        <is>
          <t>198.79%</t>
        </is>
      </c>
      <c r="I44" s="16" t="inlineStr">
        <is>
          <t>N/A</t>
        </is>
      </c>
      <c r="J44" s="16" t="n">
        <v>4</v>
      </c>
      <c r="K44" s="16" t="n">
        <v>6</v>
      </c>
      <c r="L44" s="16" t="inlineStr">
        <is>
          <t>26.10.2024 04:03:17</t>
        </is>
      </c>
      <c r="M44" s="16" t="inlineStr">
        <is>
          <t>29 min</t>
        </is>
      </c>
      <c r="N44" s="16" t="inlineStr">
        <is>
          <t xml:space="preserve">        128K           427K             8K</t>
        </is>
      </c>
      <c r="O44" s="16" t="inlineStr">
        <is>
          <t>3vaY9DDZSYaLZNyaaSnsR9DHjSdtM2fTCxVLbEdZpump</t>
        </is>
      </c>
      <c r="P44" s="16">
        <f>HYPERLINK("https://dexscreener.com/solana/3vaY9DDZSYaLZNyaaSnsR9DHjSdtM2fTCxVLbEdZpump", "View")</f>
        <v/>
      </c>
    </row>
    <row r="45">
      <c r="A45" s="19" t="inlineStr">
        <is>
          <t>Shadow</t>
        </is>
      </c>
      <c r="B45" s="20" t="n">
        <v>405028</v>
      </c>
      <c r="C45" s="20" t="n">
        <v>405027</v>
      </c>
      <c r="D45" s="20" t="inlineStr">
        <is>
          <t>0.002530</t>
        </is>
      </c>
      <c r="E45" s="20" t="inlineStr">
        <is>
          <t>0.100 SOL</t>
        </is>
      </c>
      <c r="F45" s="20" t="inlineStr">
        <is>
          <t>0.290 SOL</t>
        </is>
      </c>
      <c r="G45" s="23" t="inlineStr">
        <is>
          <t>0.188 SOL</t>
        </is>
      </c>
      <c r="H45" s="23" t="inlineStr">
        <is>
          <t>182.96%</t>
        </is>
      </c>
      <c r="I45" s="20" t="inlineStr">
        <is>
          <t>N/A</t>
        </is>
      </c>
      <c r="J45" s="20" t="n">
        <v>1</v>
      </c>
      <c r="K45" s="20" t="n">
        <v>4</v>
      </c>
      <c r="L45" s="20" t="inlineStr">
        <is>
          <t>26.10.2024 03:16:12</t>
        </is>
      </c>
      <c r="M45" s="20" t="inlineStr">
        <is>
          <t>15 min</t>
        </is>
      </c>
      <c r="N45" s="20" t="inlineStr">
        <is>
          <t xml:space="preserve">         44K            21K             4K</t>
        </is>
      </c>
      <c r="O45" s="20" t="inlineStr">
        <is>
          <t>CuvfotYCp78YzgNsEZVaTnKeMJf2eqEdiiSA6ywjpump</t>
        </is>
      </c>
      <c r="P45" s="20">
        <f>HYPERLINK("https://dexscreener.com/solana/CuvfotYCp78YzgNsEZVaTnKeMJf2eqEdiiSA6ywjpump", "View")</f>
        <v/>
      </c>
    </row>
    <row r="46">
      <c r="A46" s="15" t="inlineStr">
        <is>
          <t>XVI</t>
        </is>
      </c>
      <c r="B46" s="16" t="n">
        <v>102676</v>
      </c>
      <c r="C46" s="16" t="n">
        <v>102676</v>
      </c>
      <c r="D46" s="16" t="inlineStr">
        <is>
          <t>0.007040</t>
        </is>
      </c>
      <c r="E46" s="16" t="inlineStr">
        <is>
          <t>0.100 SOL</t>
        </is>
      </c>
      <c r="F46" s="16" t="inlineStr">
        <is>
          <t>1.291 SOL</t>
        </is>
      </c>
      <c r="G46" s="23" t="inlineStr">
        <is>
          <t>1.184 SOL</t>
        </is>
      </c>
      <c r="H46" s="23" t="inlineStr">
        <is>
          <t>1106.30%</t>
        </is>
      </c>
      <c r="I46" s="16" t="inlineStr">
        <is>
          <t>N/A</t>
        </is>
      </c>
      <c r="J46" s="16" t="n">
        <v>1</v>
      </c>
      <c r="K46" s="16" t="n">
        <v>13</v>
      </c>
      <c r="L46" s="16" t="inlineStr">
        <is>
          <t>25.10.2024 18:38:34</t>
        </is>
      </c>
      <c r="M46" s="16" t="inlineStr">
        <is>
          <t>1 days</t>
        </is>
      </c>
      <c r="N46" s="16" t="inlineStr">
        <is>
          <t xml:space="preserve">        170K             6M           182K</t>
        </is>
      </c>
      <c r="O46" s="16" t="inlineStr">
        <is>
          <t>HzkBrfPPkqk6mwNNSYhjkw1AkfNZA6zwvKzQMacapump</t>
        </is>
      </c>
      <c r="P46" s="16">
        <f>HYPERLINK("https://dexscreener.com/solana/HzkBrfPPkqk6mwNNSYhjkw1AkfNZA6zwvKzQMacapump", "View")</f>
        <v/>
      </c>
    </row>
    <row r="47">
      <c r="A47" s="19" t="inlineStr">
        <is>
          <t>SYRUP</t>
        </is>
      </c>
      <c r="B47" s="20" t="n">
        <v>15884</v>
      </c>
      <c r="C47" s="20" t="n">
        <v>0</v>
      </c>
      <c r="D47" s="20" t="inlineStr">
        <is>
          <t>0.000510</t>
        </is>
      </c>
      <c r="E47" s="20" t="inlineStr">
        <is>
          <t>0.100 SOL</t>
        </is>
      </c>
      <c r="F47" s="20" t="inlineStr">
        <is>
          <t>0.000 SOL</t>
        </is>
      </c>
      <c r="G47" s="17" t="inlineStr">
        <is>
          <t>-0.101 SOL</t>
        </is>
      </c>
      <c r="H47" s="17" t="inlineStr">
        <is>
          <t>0.00%</t>
        </is>
      </c>
      <c r="I47" s="20" t="inlineStr">
        <is>
          <t>15,884</t>
        </is>
      </c>
      <c r="J47" s="20" t="n">
        <v>1</v>
      </c>
      <c r="K47" s="20" t="n">
        <v>0</v>
      </c>
      <c r="L47" s="20" t="inlineStr">
        <is>
          <t>25.10.2024 18:34:45</t>
        </is>
      </c>
      <c r="M47" s="18" t="inlineStr">
        <is>
          <t>0 sec</t>
        </is>
      </c>
      <c r="N47" s="20" t="inlineStr">
        <is>
          <t xml:space="preserve">          1M             1M            20K</t>
        </is>
      </c>
      <c r="O47" s="20" t="inlineStr">
        <is>
          <t>2cBwLnG1jwm4B6yFGJ13mKJcUFvuZS8v3bq6JwVmpump</t>
        </is>
      </c>
      <c r="P47" s="20">
        <f>HYPERLINK("https://dexscreener.com/solana/2cBwLnG1jwm4B6yFGJ13mKJcUFvuZS8v3bq6JwVmpump", "View")</f>
        <v/>
      </c>
    </row>
    <row r="48">
      <c r="A48" s="15" t="inlineStr">
        <is>
          <t>Popcorn</t>
        </is>
      </c>
      <c r="B48" s="16" t="n">
        <v>2044891</v>
      </c>
      <c r="C48" s="16" t="n">
        <v>0</v>
      </c>
      <c r="D48" s="16" t="inlineStr">
        <is>
          <t>0.000510</t>
        </is>
      </c>
      <c r="E48" s="16" t="inlineStr">
        <is>
          <t>0.107 SOL</t>
        </is>
      </c>
      <c r="F48" s="16" t="inlineStr">
        <is>
          <t>0.000 SOL</t>
        </is>
      </c>
      <c r="G48" s="17" t="inlineStr">
        <is>
          <t>-0.108 SOL</t>
        </is>
      </c>
      <c r="H48" s="17" t="inlineStr">
        <is>
          <t>0.00%</t>
        </is>
      </c>
      <c r="I48" s="16" t="inlineStr">
        <is>
          <t>2,044,891</t>
        </is>
      </c>
      <c r="J48" s="16" t="n">
        <v>1</v>
      </c>
      <c r="K48" s="16" t="n">
        <v>0</v>
      </c>
      <c r="L48" s="16" t="inlineStr">
        <is>
          <t>25.10.2024 18:34:17</t>
        </is>
      </c>
      <c r="M48" s="18" t="inlineStr">
        <is>
          <t>0 sec</t>
        </is>
      </c>
      <c r="N48" s="16" t="inlineStr">
        <is>
          <t xml:space="preserve">          9K             9K             5K</t>
        </is>
      </c>
      <c r="O48" s="16" t="inlineStr">
        <is>
          <t>8rB3Qwi4qoxPnX2tXrV3CHDD7qaMQLeUxYDZ4oNxpump</t>
        </is>
      </c>
      <c r="P48" s="16">
        <f>HYPERLINK("https://photon-sol.tinyastro.io/en/lp/8rB3Qwi4qoxPnX2tXrV3CHDD7qaMQLeUxYDZ4oNxpump?handle=676050794bc1b1657a56b", "View")</f>
        <v/>
      </c>
    </row>
    <row r="49">
      <c r="A49" s="19" t="inlineStr">
        <is>
          <t>YESCAT</t>
        </is>
      </c>
      <c r="B49" s="20" t="n">
        <v>1216351</v>
      </c>
      <c r="C49" s="20" t="n">
        <v>0</v>
      </c>
      <c r="D49" s="20" t="inlineStr">
        <is>
          <t>0.000510</t>
        </is>
      </c>
      <c r="E49" s="20" t="inlineStr">
        <is>
          <t>0.105 SOL</t>
        </is>
      </c>
      <c r="F49" s="20" t="inlineStr">
        <is>
          <t>0.000 SOL</t>
        </is>
      </c>
      <c r="G49" s="17" t="inlineStr">
        <is>
          <t>-0.105 SOL</t>
        </is>
      </c>
      <c r="H49" s="17" t="inlineStr">
        <is>
          <t>0.00%</t>
        </is>
      </c>
      <c r="I49" s="20" t="inlineStr">
        <is>
          <t>1,216,351</t>
        </is>
      </c>
      <c r="J49" s="20" t="n">
        <v>1</v>
      </c>
      <c r="K49" s="20" t="n">
        <v>0</v>
      </c>
      <c r="L49" s="20" t="inlineStr">
        <is>
          <t>25.10.2024 18:34:14</t>
        </is>
      </c>
      <c r="M49" s="18" t="inlineStr">
        <is>
          <t>0 sec</t>
        </is>
      </c>
      <c r="N49" s="20" t="inlineStr">
        <is>
          <t xml:space="preserve">         16K            16K             6K</t>
        </is>
      </c>
      <c r="O49" s="20" t="inlineStr">
        <is>
          <t>FeuT1rXyHGhDZdBYRTjVdosbtnwbCFepAKpWvMS6pump</t>
        </is>
      </c>
      <c r="P49" s="20">
        <f>HYPERLINK("https://photon-sol.tinyastro.io/en/lp/FeuT1rXyHGhDZdBYRTjVdosbtnwbCFepAKpWvMS6pump?handle=676050794bc1b1657a56b", "View")</f>
        <v/>
      </c>
    </row>
    <row r="50">
      <c r="A50" s="15" t="inlineStr">
        <is>
          <t>NO</t>
        </is>
      </c>
      <c r="B50" s="16" t="n">
        <v>1424123</v>
      </c>
      <c r="C50" s="16" t="n">
        <v>1424123</v>
      </c>
      <c r="D50" s="16" t="inlineStr">
        <is>
          <t>0.001020</t>
        </is>
      </c>
      <c r="E50" s="16" t="inlineStr">
        <is>
          <t>0.114 SOL</t>
        </is>
      </c>
      <c r="F50" s="16" t="inlineStr">
        <is>
          <t>0.144 SOL</t>
        </is>
      </c>
      <c r="G50" s="22" t="inlineStr">
        <is>
          <t>0.029 SOL</t>
        </is>
      </c>
      <c r="H50" s="22" t="inlineStr">
        <is>
          <t>24.86%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25.10.2024 18:34:11</t>
        </is>
      </c>
      <c r="M50" s="18" t="inlineStr">
        <is>
          <t>12 sec</t>
        </is>
      </c>
      <c r="N50" s="16" t="inlineStr">
        <is>
          <t xml:space="preserve">         14K            18K             5K</t>
        </is>
      </c>
      <c r="O50" s="16" t="inlineStr">
        <is>
          <t>A3wYEdWNRmgHGLridM7Mm9pF1RLVCpixpsDSxtT1pump</t>
        </is>
      </c>
      <c r="P50" s="16">
        <f>HYPERLINK("https://photon-sol.tinyastro.io/en/lp/A3wYEdWNRmgHGLridM7Mm9pF1RLVCpixpsDSxtT1pump?handle=676050794bc1b1657a56b", "View")</f>
        <v/>
      </c>
    </row>
    <row r="51">
      <c r="A51" s="19" t="inlineStr">
        <is>
          <t>ape</t>
        </is>
      </c>
      <c r="B51" s="20" t="n">
        <v>381540</v>
      </c>
      <c r="C51" s="20" t="n">
        <v>0</v>
      </c>
      <c r="D51" s="20" t="inlineStr">
        <is>
          <t>0.000510</t>
        </is>
      </c>
      <c r="E51" s="20" t="inlineStr">
        <is>
          <t>0.107 SOL</t>
        </is>
      </c>
      <c r="F51" s="20" t="inlineStr">
        <is>
          <t>0.000 SOL</t>
        </is>
      </c>
      <c r="G51" s="17" t="inlineStr">
        <is>
          <t>-0.108 SOL</t>
        </is>
      </c>
      <c r="H51" s="17" t="inlineStr">
        <is>
          <t>0.00%</t>
        </is>
      </c>
      <c r="I51" s="20" t="inlineStr">
        <is>
          <t>381,540</t>
        </is>
      </c>
      <c r="J51" s="20" t="n">
        <v>1</v>
      </c>
      <c r="K51" s="20" t="n">
        <v>0</v>
      </c>
      <c r="L51" s="20" t="inlineStr">
        <is>
          <t>25.10.2024 18:34:01</t>
        </is>
      </c>
      <c r="M51" s="18" t="inlineStr">
        <is>
          <t>0 sec</t>
        </is>
      </c>
      <c r="N51" s="20" t="inlineStr">
        <is>
          <t xml:space="preserve">         49K            49K             5K</t>
        </is>
      </c>
      <c r="O51" s="20" t="inlineStr">
        <is>
          <t>49X4JPv3ywi8vg5roWCRs2Wq5H8LiiwMonUQWdp7S12W</t>
        </is>
      </c>
      <c r="P51" s="20">
        <f>HYPERLINK("https://photon-sol.tinyastro.io/en/lp/49X4JPv3ywi8vg5roWCRs2Wq5H8LiiwMonUQWdp7S12W?handle=676050794bc1b1657a56b", "View")</f>
        <v/>
      </c>
    </row>
    <row r="52">
      <c r="A52" s="15" t="inlineStr">
        <is>
          <t>CONED</t>
        </is>
      </c>
      <c r="B52" s="16" t="n">
        <v>3339910</v>
      </c>
      <c r="C52" s="16" t="n">
        <v>0</v>
      </c>
      <c r="D52" s="16" t="inlineStr">
        <is>
          <t>0.000510</t>
        </is>
      </c>
      <c r="E52" s="16" t="inlineStr">
        <is>
          <t>0.105 SOL</t>
        </is>
      </c>
      <c r="F52" s="16" t="inlineStr">
        <is>
          <t>0.000 SOL</t>
        </is>
      </c>
      <c r="G52" s="17" t="inlineStr">
        <is>
          <t>-0.105 SOL</t>
        </is>
      </c>
      <c r="H52" s="17" t="inlineStr">
        <is>
          <t>0.00%</t>
        </is>
      </c>
      <c r="I52" s="16" t="inlineStr">
        <is>
          <t>3,339,910</t>
        </is>
      </c>
      <c r="J52" s="16" t="n">
        <v>1</v>
      </c>
      <c r="K52" s="16" t="n">
        <v>0</v>
      </c>
      <c r="L52" s="16" t="inlineStr">
        <is>
          <t>25.10.2024 18:33:55</t>
        </is>
      </c>
      <c r="M52" s="18" t="inlineStr">
        <is>
          <t>0 sec</t>
        </is>
      </c>
      <c r="N52" s="16" t="inlineStr">
        <is>
          <t xml:space="preserve">          5K             5K             5K</t>
        </is>
      </c>
      <c r="O52" s="16" t="inlineStr">
        <is>
          <t>vEPYgyTx8za3KM6f5LudGZHqmAJBASEMxU2RgfHnL6N</t>
        </is>
      </c>
      <c r="P52" s="16">
        <f>HYPERLINK("https://photon-sol.tinyastro.io/en/lp/vEPYgyTx8za3KM6f5LudGZHqmAJBASEMxU2RgfHnL6N?handle=676050794bc1b1657a56b", "View")</f>
        <v/>
      </c>
    </row>
    <row r="53">
      <c r="A53" s="19" t="inlineStr">
        <is>
          <t>TOKI</t>
        </is>
      </c>
      <c r="B53" s="20" t="n">
        <v>987923</v>
      </c>
      <c r="C53" s="20" t="n">
        <v>987922</v>
      </c>
      <c r="D53" s="20" t="inlineStr">
        <is>
          <t>0.001020</t>
        </is>
      </c>
      <c r="E53" s="20" t="inlineStr">
        <is>
          <t>0.100 SOL</t>
        </is>
      </c>
      <c r="F53" s="20" t="inlineStr">
        <is>
          <t>0.116 SOL</t>
        </is>
      </c>
      <c r="G53" s="22" t="inlineStr">
        <is>
          <t>0.015 SOL</t>
        </is>
      </c>
      <c r="H53" s="22" t="inlineStr">
        <is>
          <t>14.76%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25.10.2024 18:33:53</t>
        </is>
      </c>
      <c r="M53" s="18" t="inlineStr">
        <is>
          <t>32 sec</t>
        </is>
      </c>
      <c r="N53" s="20" t="inlineStr">
        <is>
          <t xml:space="preserve">         18K            21K             4K</t>
        </is>
      </c>
      <c r="O53" s="20" t="inlineStr">
        <is>
          <t>x4F6r2CTnScfJoZ7oNf9VPB5bzBkJHwNNsC9pizpump</t>
        </is>
      </c>
      <c r="P53" s="20">
        <f>HYPERLINK("https://dexscreener.com/solana/x4F6r2CTnScfJoZ7oNf9VPB5bzBkJHwNNsC9pizpump", "View")</f>
        <v/>
      </c>
    </row>
    <row r="54">
      <c r="A54" s="15" t="inlineStr">
        <is>
          <t>CKITTY</t>
        </is>
      </c>
      <c r="B54" s="16" t="n">
        <v>1782029</v>
      </c>
      <c r="C54" s="16" t="n">
        <v>0</v>
      </c>
      <c r="D54" s="16" t="inlineStr">
        <is>
          <t>0.000510</t>
        </is>
      </c>
      <c r="E54" s="16" t="inlineStr">
        <is>
          <t>0.082 SOL</t>
        </is>
      </c>
      <c r="F54" s="16" t="inlineStr">
        <is>
          <t>0.000 SOL</t>
        </is>
      </c>
      <c r="G54" s="17" t="inlineStr">
        <is>
          <t>-0.083 SOL</t>
        </is>
      </c>
      <c r="H54" s="17" t="inlineStr">
        <is>
          <t>0.00%</t>
        </is>
      </c>
      <c r="I54" s="16" t="inlineStr">
        <is>
          <t>1,782,029</t>
        </is>
      </c>
      <c r="J54" s="16" t="n">
        <v>1</v>
      </c>
      <c r="K54" s="16" t="n">
        <v>0</v>
      </c>
      <c r="L54" s="16" t="inlineStr">
        <is>
          <t>25.10.2024 18:33:52</t>
        </is>
      </c>
      <c r="M54" s="18" t="inlineStr">
        <is>
          <t>0 sec</t>
        </is>
      </c>
      <c r="N54" s="16" t="inlineStr">
        <is>
          <t xml:space="preserve">          9K             9K             5K</t>
        </is>
      </c>
      <c r="O54" s="16" t="inlineStr">
        <is>
          <t>A6jxPFABytXHL4kQQVEfdZSP1jgkVu1UDsMZ8J12pump</t>
        </is>
      </c>
      <c r="P54" s="16">
        <f>HYPERLINK("https://photon-sol.tinyastro.io/en/lp/A6jxPFABytXHL4kQQVEfdZSP1jgkVu1UDsMZ8J12pump?handle=676050794bc1b1657a56b", "View")</f>
        <v/>
      </c>
    </row>
    <row r="55">
      <c r="A55" s="19" t="inlineStr">
        <is>
          <t>TILLY</t>
        </is>
      </c>
      <c r="B55" s="20" t="n">
        <v>354986</v>
      </c>
      <c r="C55" s="20" t="n">
        <v>0</v>
      </c>
      <c r="D55" s="20" t="inlineStr">
        <is>
          <t>0.000510</t>
        </is>
      </c>
      <c r="E55" s="20" t="inlineStr">
        <is>
          <t>0.105 SOL</t>
        </is>
      </c>
      <c r="F55" s="20" t="inlineStr">
        <is>
          <t>0.000 SOL</t>
        </is>
      </c>
      <c r="G55" s="17" t="inlineStr">
        <is>
          <t>-0.105 SOL</t>
        </is>
      </c>
      <c r="H55" s="17" t="inlineStr">
        <is>
          <t>0.00%</t>
        </is>
      </c>
      <c r="I55" s="20" t="inlineStr">
        <is>
          <t>354,986</t>
        </is>
      </c>
      <c r="J55" s="20" t="n">
        <v>1</v>
      </c>
      <c r="K55" s="20" t="n">
        <v>0</v>
      </c>
      <c r="L55" s="20" t="inlineStr">
        <is>
          <t>25.10.2024 18:33:42</t>
        </is>
      </c>
      <c r="M55" s="18" t="inlineStr">
        <is>
          <t>0 sec</t>
        </is>
      </c>
      <c r="N55" s="20" t="inlineStr">
        <is>
          <t xml:space="preserve">         51K            51K             5K</t>
        </is>
      </c>
      <c r="O55" s="20" t="inlineStr">
        <is>
          <t>d9oyyTx4oAwFG41zJLi5EbU1mKcPg32XCAoqNQcpump</t>
        </is>
      </c>
      <c r="P55" s="20">
        <f>HYPERLINK("https://photon-sol.tinyastro.io/en/lp/d9oyyTx4oAwFG41zJLi5EbU1mKcPg32XCAoqNQcpump?handle=676050794bc1b1657a56b", "View")</f>
        <v/>
      </c>
    </row>
    <row r="56">
      <c r="A56" s="15" t="inlineStr">
        <is>
          <t>TECH</t>
        </is>
      </c>
      <c r="B56" s="16" t="n">
        <v>87232</v>
      </c>
      <c r="C56" s="16" t="n">
        <v>87231</v>
      </c>
      <c r="D56" s="16" t="inlineStr">
        <is>
          <t>0.001020</t>
        </is>
      </c>
      <c r="E56" s="16" t="inlineStr">
        <is>
          <t>0.100 SOL</t>
        </is>
      </c>
      <c r="F56" s="16" t="inlineStr">
        <is>
          <t>0.038 SOL</t>
        </is>
      </c>
      <c r="G56" s="24" t="inlineStr">
        <is>
          <t>-0.063 SOL</t>
        </is>
      </c>
      <c r="H56" s="24" t="inlineStr">
        <is>
          <t>-61.99%</t>
        </is>
      </c>
      <c r="I56" s="16" t="inlineStr">
        <is>
          <t>N/A</t>
        </is>
      </c>
      <c r="J56" s="16" t="n">
        <v>1</v>
      </c>
      <c r="K56" s="16" t="n">
        <v>1</v>
      </c>
      <c r="L56" s="16" t="inlineStr">
        <is>
          <t>23.10.2024 19:08:35</t>
        </is>
      </c>
      <c r="M56" s="16" t="inlineStr">
        <is>
          <t>3 min</t>
        </is>
      </c>
      <c r="N56" s="16" t="inlineStr">
        <is>
          <t xml:space="preserve">        202K            77K             5K</t>
        </is>
      </c>
      <c r="O56" s="16" t="inlineStr">
        <is>
          <t>HRnfcWw8xJY369fxU8yYaHqiLHRFWsAX4MbEWGpfpump</t>
        </is>
      </c>
      <c r="P56" s="16">
        <f>HYPERLINK("https://dexscreener.com/solana/HRnfcWw8xJY369fxU8yYaHqiLHRFWsAX4MbEWGpfpump", "View")</f>
        <v/>
      </c>
    </row>
    <row r="57">
      <c r="A57" s="19" t="inlineStr">
        <is>
          <t>CRYMNE</t>
        </is>
      </c>
      <c r="B57" s="20" t="n">
        <v>27183</v>
      </c>
      <c r="C57" s="20" t="n">
        <v>27182</v>
      </c>
      <c r="D57" s="20" t="inlineStr">
        <is>
          <t>0.001530</t>
        </is>
      </c>
      <c r="E57" s="20" t="inlineStr">
        <is>
          <t>0.100 SOL</t>
        </is>
      </c>
      <c r="F57" s="20" t="inlineStr">
        <is>
          <t>0.129 SOL</t>
        </is>
      </c>
      <c r="G57" s="22" t="inlineStr">
        <is>
          <t>0.028 SOL</t>
        </is>
      </c>
      <c r="H57" s="22" t="inlineStr">
        <is>
          <t>27.16%</t>
        </is>
      </c>
      <c r="I57" s="20" t="inlineStr">
        <is>
          <t>N/A</t>
        </is>
      </c>
      <c r="J57" s="20" t="n">
        <v>1</v>
      </c>
      <c r="K57" s="20" t="n">
        <v>2</v>
      </c>
      <c r="L57" s="20" t="inlineStr">
        <is>
          <t>23.10.2024 18:05:23</t>
        </is>
      </c>
      <c r="M57" s="20" t="inlineStr">
        <is>
          <t>14 min</t>
        </is>
      </c>
      <c r="N57" s="20" t="inlineStr">
        <is>
          <t xml:space="preserve">        630K           466K            18K</t>
        </is>
      </c>
      <c r="O57" s="20" t="inlineStr">
        <is>
          <t>4HEN6QcmzjGfhSgpyyfTsE7ohdamb5jMPHRg2RXapump</t>
        </is>
      </c>
      <c r="P57" s="20">
        <f>HYPERLINK("https://dexscreener.com/solana/4HEN6QcmzjGfhSgpyyfTsE7ohdamb5jMPHRg2RXapump", "View")</f>
        <v/>
      </c>
    </row>
    <row r="58">
      <c r="A58" s="15" t="inlineStr">
        <is>
          <t>STRZY</t>
        </is>
      </c>
      <c r="B58" s="16" t="n">
        <v>70927</v>
      </c>
      <c r="C58" s="16" t="n">
        <v>0</v>
      </c>
      <c r="D58" s="16" t="inlineStr">
        <is>
          <t>0.000510</t>
        </is>
      </c>
      <c r="E58" s="16" t="inlineStr">
        <is>
          <t>0.100 SOL</t>
        </is>
      </c>
      <c r="F58" s="16" t="inlineStr">
        <is>
          <t>0.000 SOL</t>
        </is>
      </c>
      <c r="G58" s="17" t="inlineStr">
        <is>
          <t>-0.101 SOL</t>
        </is>
      </c>
      <c r="H58" s="17" t="inlineStr">
        <is>
          <t>0.00%</t>
        </is>
      </c>
      <c r="I58" s="16" t="inlineStr">
        <is>
          <t>70,927</t>
        </is>
      </c>
      <c r="J58" s="16" t="n">
        <v>1</v>
      </c>
      <c r="K58" s="16" t="n">
        <v>0</v>
      </c>
      <c r="L58" s="16" t="inlineStr">
        <is>
          <t>23.10.2024 17:43:14</t>
        </is>
      </c>
      <c r="M58" s="18" t="inlineStr">
        <is>
          <t>0 sec</t>
        </is>
      </c>
      <c r="N58" s="16" t="inlineStr">
        <is>
          <t xml:space="preserve">        247K           247K             7K</t>
        </is>
      </c>
      <c r="O58" s="16" t="inlineStr">
        <is>
          <t>6SH9YZqVXfEmb1bV4ZHWtxUAaR4ua9bKjkd6z1ELpump</t>
        </is>
      </c>
      <c r="P58" s="16">
        <f>HYPERLINK("https://dexscreener.com/solana/6SH9YZqVXfEmb1bV4ZHWtxUAaR4ua9bKjkd6z1ELpump", "View")</f>
        <v/>
      </c>
    </row>
    <row r="59">
      <c r="A59" s="19" t="inlineStr">
        <is>
          <t>󠅔</t>
        </is>
      </c>
      <c r="B59" s="20" t="n">
        <v>41863</v>
      </c>
      <c r="C59" s="20" t="n">
        <v>0</v>
      </c>
      <c r="D59" s="20" t="inlineStr">
        <is>
          <t>0.000510</t>
        </is>
      </c>
      <c r="E59" s="20" t="inlineStr">
        <is>
          <t>0.100 SOL</t>
        </is>
      </c>
      <c r="F59" s="20" t="inlineStr">
        <is>
          <t>0.000 SOL</t>
        </is>
      </c>
      <c r="G59" s="17" t="inlineStr">
        <is>
          <t>-0.101 SOL</t>
        </is>
      </c>
      <c r="H59" s="17" t="inlineStr">
        <is>
          <t>0.00%</t>
        </is>
      </c>
      <c r="I59" s="20" t="inlineStr">
        <is>
          <t>41,863</t>
        </is>
      </c>
      <c r="J59" s="20" t="n">
        <v>1</v>
      </c>
      <c r="K59" s="20" t="n">
        <v>0</v>
      </c>
      <c r="L59" s="20" t="inlineStr">
        <is>
          <t>23.10.2024 17:11:01</t>
        </is>
      </c>
      <c r="M59" s="18" t="inlineStr">
        <is>
          <t>0 sec</t>
        </is>
      </c>
      <c r="N59" s="20" t="inlineStr">
        <is>
          <t xml:space="preserve">        418K           418K             5K</t>
        </is>
      </c>
      <c r="O59" s="20" t="inlineStr">
        <is>
          <t>KgGKSwPvhBDZbeN7hsvi7Bjx9VfKekqLRCMB6VBpump</t>
        </is>
      </c>
      <c r="P59" s="20">
        <f>HYPERLINK("https://dexscreener.com/solana/KgGKSwPvhBDZbeN7hsvi7Bjx9VfKekqLRCMB6VBpump", "View")</f>
        <v/>
      </c>
    </row>
    <row r="60">
      <c r="A60" s="15" t="inlineStr">
        <is>
          <t>$CLOWN</t>
        </is>
      </c>
      <c r="B60" s="16" t="n">
        <v>20097</v>
      </c>
      <c r="C60" s="16" t="n">
        <v>20096</v>
      </c>
      <c r="D60" s="16" t="inlineStr">
        <is>
          <t>0.001020</t>
        </is>
      </c>
      <c r="E60" s="16" t="inlineStr">
        <is>
          <t>0.100 SOL</t>
        </is>
      </c>
      <c r="F60" s="16" t="inlineStr">
        <is>
          <t>0.164 SOL</t>
        </is>
      </c>
      <c r="G60" s="23" t="inlineStr">
        <is>
          <t>0.063 SOL</t>
        </is>
      </c>
      <c r="H60" s="23" t="inlineStr">
        <is>
          <t>62.60%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23.10.2024 16:23:57</t>
        </is>
      </c>
      <c r="M60" s="16" t="inlineStr">
        <is>
          <t>1 min</t>
        </is>
      </c>
      <c r="N60" s="16" t="inlineStr">
        <is>
          <t xml:space="preserve">        874K             1M             8K</t>
        </is>
      </c>
      <c r="O60" s="16" t="inlineStr">
        <is>
          <t>BbFqMMfDfLNhr832iKthvyegYXQoALz16kdtJMjNpump</t>
        </is>
      </c>
      <c r="P60" s="16">
        <f>HYPERLINK("https://dexscreener.com/solana/BbFqMMfDfLNhr832iKthvyegYXQoALz16kdtJMjNpump", "View")</f>
        <v/>
      </c>
    </row>
    <row r="61">
      <c r="A61" s="19" t="inlineStr">
        <is>
          <t>RUSSELL</t>
        </is>
      </c>
      <c r="B61" s="20" t="n">
        <v>317752</v>
      </c>
      <c r="C61" s="20" t="n">
        <v>317751</v>
      </c>
      <c r="D61" s="20" t="inlineStr">
        <is>
          <t>0.001020</t>
        </is>
      </c>
      <c r="E61" s="20" t="inlineStr">
        <is>
          <t>0.100 SOL</t>
        </is>
      </c>
      <c r="F61" s="20" t="inlineStr">
        <is>
          <t>0.034 SOL</t>
        </is>
      </c>
      <c r="G61" s="24" t="inlineStr">
        <is>
          <t>-0.067 SOL</t>
        </is>
      </c>
      <c r="H61" s="24" t="inlineStr">
        <is>
          <t>-65.90%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23.10.2024 15:40:01</t>
        </is>
      </c>
      <c r="M61" s="18" t="inlineStr">
        <is>
          <t>11 sec</t>
        </is>
      </c>
      <c r="N61" s="20" t="inlineStr">
        <is>
          <t xml:space="preserve">         54K            19K             4K</t>
        </is>
      </c>
      <c r="O61" s="20" t="inlineStr">
        <is>
          <t>AvoeET9R59GGaQB953TBwaiutwKsvueKk6vfDd4XWjiD</t>
        </is>
      </c>
      <c r="P61" s="20">
        <f>HYPERLINK("https://dexscreener.com/solana/AvoeET9R59GGaQB953TBwaiutwKsvueKk6vfDd4XWjiD", "View")</f>
        <v/>
      </c>
    </row>
    <row r="62">
      <c r="A62" s="15" t="inlineStr">
        <is>
          <t>4KATY</t>
        </is>
      </c>
      <c r="B62" s="16" t="n">
        <v>57941</v>
      </c>
      <c r="C62" s="16" t="n">
        <v>0</v>
      </c>
      <c r="D62" s="16" t="inlineStr">
        <is>
          <t>0.000510</t>
        </is>
      </c>
      <c r="E62" s="16" t="inlineStr">
        <is>
          <t>0.100 SOL</t>
        </is>
      </c>
      <c r="F62" s="16" t="inlineStr">
        <is>
          <t>0.000 SOL</t>
        </is>
      </c>
      <c r="G62" s="17" t="inlineStr">
        <is>
          <t>-0.101 SOL</t>
        </is>
      </c>
      <c r="H62" s="17" t="inlineStr">
        <is>
          <t>0.00%</t>
        </is>
      </c>
      <c r="I62" s="16" t="inlineStr">
        <is>
          <t>57,941</t>
        </is>
      </c>
      <c r="J62" s="16" t="n">
        <v>1</v>
      </c>
      <c r="K62" s="16" t="n">
        <v>0</v>
      </c>
      <c r="L62" s="16" t="inlineStr">
        <is>
          <t>23.10.2024 15:17:05</t>
        </is>
      </c>
      <c r="M62" s="18" t="inlineStr">
        <is>
          <t>0 sec</t>
        </is>
      </c>
      <c r="N62" s="16" t="inlineStr">
        <is>
          <t xml:space="preserve">        304K           304K             4K</t>
        </is>
      </c>
      <c r="O62" s="16" t="inlineStr">
        <is>
          <t>2Ue4HsfofwVS8asD6jrmAHG453AZsgAXE8AMjUinpump</t>
        </is>
      </c>
      <c r="P62" s="16">
        <f>HYPERLINK("https://dexscreener.com/solana/2Ue4HsfofwVS8asD6jrmAHG453AZsgAXE8AMjUinpump", "View")</f>
        <v/>
      </c>
    </row>
    <row r="63">
      <c r="A63" s="19" t="inlineStr">
        <is>
          <t>DISCORD</t>
        </is>
      </c>
      <c r="B63" s="20" t="n">
        <v>138439</v>
      </c>
      <c r="C63" s="20" t="n">
        <v>138438</v>
      </c>
      <c r="D63" s="20" t="inlineStr">
        <is>
          <t>0.001530</t>
        </is>
      </c>
      <c r="E63" s="20" t="inlineStr">
        <is>
          <t>0.100 SOL</t>
        </is>
      </c>
      <c r="F63" s="20" t="inlineStr">
        <is>
          <t>0.109 SOL</t>
        </is>
      </c>
      <c r="G63" s="22" t="inlineStr">
        <is>
          <t>0.008 SOL</t>
        </is>
      </c>
      <c r="H63" s="22" t="inlineStr">
        <is>
          <t>7.53%</t>
        </is>
      </c>
      <c r="I63" s="20" t="inlineStr">
        <is>
          <t>N/A</t>
        </is>
      </c>
      <c r="J63" s="20" t="n">
        <v>1</v>
      </c>
      <c r="K63" s="20" t="n">
        <v>2</v>
      </c>
      <c r="L63" s="20" t="inlineStr">
        <is>
          <t>23.10.2024 14:45:11</t>
        </is>
      </c>
      <c r="M63" s="20" t="inlineStr">
        <is>
          <t>5 min</t>
        </is>
      </c>
      <c r="N63" s="20" t="inlineStr">
        <is>
          <t xml:space="preserve">        126K            70K             4K</t>
        </is>
      </c>
      <c r="O63" s="20" t="inlineStr">
        <is>
          <t>GCEpYKugdc9whwLEUuSNvc1ct6ehx7XBrUw44FdSpump</t>
        </is>
      </c>
      <c r="P63" s="20">
        <f>HYPERLINK("https://dexscreener.com/solana/GCEpYKugdc9whwLEUuSNvc1ct6ehx7XBrUw44FdSpump", "View")</f>
        <v/>
      </c>
    </row>
    <row r="64">
      <c r="A64" s="15" t="inlineStr">
        <is>
          <t>EVA</t>
        </is>
      </c>
      <c r="B64" s="16" t="n">
        <v>74991</v>
      </c>
      <c r="C64" s="16" t="n">
        <v>56242</v>
      </c>
      <c r="D64" s="16" t="inlineStr">
        <is>
          <t>0.001020</t>
        </is>
      </c>
      <c r="E64" s="16" t="inlineStr">
        <is>
          <t>0.100 SOL</t>
        </is>
      </c>
      <c r="F64" s="16" t="inlineStr">
        <is>
          <t>0.088 SOL</t>
        </is>
      </c>
      <c r="G64" s="21" t="inlineStr">
        <is>
          <t>-0.013 SOL</t>
        </is>
      </c>
      <c r="H64" s="21" t="inlineStr">
        <is>
          <t>-12.40%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23.10.2024 14:21:40</t>
        </is>
      </c>
      <c r="M64" s="16" t="inlineStr">
        <is>
          <t>4 min</t>
        </is>
      </c>
      <c r="N64" s="16" t="inlineStr">
        <is>
          <t xml:space="preserve">        225K           266K             6K</t>
        </is>
      </c>
      <c r="O64" s="16" t="inlineStr">
        <is>
          <t>Ffju557FLtavTnLpMKaRMZNsiiAoxeQmsxStpwnKpump</t>
        </is>
      </c>
      <c r="P64" s="16">
        <f>HYPERLINK("https://dexscreener.com/solana/Ffju557FLtavTnLpMKaRMZNsiiAoxeQmsxStpwnKpump", "View")</f>
        <v/>
      </c>
    </row>
    <row r="65">
      <c r="A65" s="19" t="inlineStr">
        <is>
          <t>VIKN</t>
        </is>
      </c>
      <c r="B65" s="20" t="n">
        <v>47643</v>
      </c>
      <c r="C65" s="20" t="n">
        <v>0</v>
      </c>
      <c r="D65" s="20" t="inlineStr">
        <is>
          <t>0.000510</t>
        </is>
      </c>
      <c r="E65" s="20" t="inlineStr">
        <is>
          <t>0.100 SOL</t>
        </is>
      </c>
      <c r="F65" s="20" t="inlineStr">
        <is>
          <t>0.000 SOL</t>
        </is>
      </c>
      <c r="G65" s="17" t="inlineStr">
        <is>
          <t>-0.101 SOL</t>
        </is>
      </c>
      <c r="H65" s="17" t="inlineStr">
        <is>
          <t>0.00%</t>
        </is>
      </c>
      <c r="I65" s="20" t="inlineStr">
        <is>
          <t>47,643</t>
        </is>
      </c>
      <c r="J65" s="20" t="n">
        <v>1</v>
      </c>
      <c r="K65" s="20" t="n">
        <v>0</v>
      </c>
      <c r="L65" s="20" t="inlineStr">
        <is>
          <t>23.10.2024 14:09:22</t>
        </is>
      </c>
      <c r="M65" s="18" t="inlineStr">
        <is>
          <t>0 sec</t>
        </is>
      </c>
      <c r="N65" s="20" t="inlineStr">
        <is>
          <t xml:space="preserve">        366K           366K           378K</t>
        </is>
      </c>
      <c r="O65" s="20" t="inlineStr">
        <is>
          <t>8aXbFD3A76tty5rmdEg5vYmjGpUvpC81RqoixgsNBWuo</t>
        </is>
      </c>
      <c r="P65" s="20">
        <f>HYPERLINK("https://dexscreener.com/solana/8aXbFD3A76tty5rmdEg5vYmjGpUvpC81RqoixgsNBWuo", "View")</f>
        <v/>
      </c>
    </row>
    <row r="66">
      <c r="A66" s="15" t="inlineStr">
        <is>
          <t>СОDЕDGF</t>
        </is>
      </c>
      <c r="B66" s="16" t="n">
        <v>343066</v>
      </c>
      <c r="C66" s="16" t="n">
        <v>0</v>
      </c>
      <c r="D66" s="16" t="inlineStr">
        <is>
          <t>0.000510</t>
        </is>
      </c>
      <c r="E66" s="16" t="inlineStr">
        <is>
          <t>0.105 SOL</t>
        </is>
      </c>
      <c r="F66" s="16" t="inlineStr">
        <is>
          <t>0.000 SOL</t>
        </is>
      </c>
      <c r="G66" s="17" t="inlineStr">
        <is>
          <t>-0.105 SOL</t>
        </is>
      </c>
      <c r="H66" s="17" t="inlineStr">
        <is>
          <t>0.00%</t>
        </is>
      </c>
      <c r="I66" s="16" t="inlineStr">
        <is>
          <t>343,066</t>
        </is>
      </c>
      <c r="J66" s="16" t="n">
        <v>1</v>
      </c>
      <c r="K66" s="16" t="n">
        <v>0</v>
      </c>
      <c r="L66" s="16" t="inlineStr">
        <is>
          <t>23.10.2024 14:08:51</t>
        </is>
      </c>
      <c r="M66" s="18" t="inlineStr">
        <is>
          <t>0 sec</t>
        </is>
      </c>
      <c r="N66" s="16" t="inlineStr">
        <is>
          <t xml:space="preserve">         54K            54K             5K</t>
        </is>
      </c>
      <c r="O66" s="16" t="inlineStr">
        <is>
          <t>7dvos6pG1HRuYdKkryjgUJPJBFgqg1DTGYfTJ6z9pump</t>
        </is>
      </c>
      <c r="P66" s="16">
        <f>HYPERLINK("https://photon-sol.tinyastro.io/en/lp/7dvos6pG1HRuYdKkryjgUJPJBFgqg1DTGYfTJ6z9pump?handle=676050794bc1b1657a56b", "View")</f>
        <v/>
      </c>
    </row>
    <row r="67">
      <c r="A67" s="19" t="inlineStr">
        <is>
          <t>Hello</t>
        </is>
      </c>
      <c r="B67" s="20" t="n">
        <v>860361</v>
      </c>
      <c r="C67" s="20" t="n">
        <v>0</v>
      </c>
      <c r="D67" s="20" t="inlineStr">
        <is>
          <t>0.000510</t>
        </is>
      </c>
      <c r="E67" s="20" t="inlineStr">
        <is>
          <t>0.132 SOL</t>
        </is>
      </c>
      <c r="F67" s="20" t="inlineStr">
        <is>
          <t>0.000 SOL</t>
        </is>
      </c>
      <c r="G67" s="17" t="inlineStr">
        <is>
          <t>-0.133 SOL</t>
        </is>
      </c>
      <c r="H67" s="17" t="inlineStr">
        <is>
          <t>0.00%</t>
        </is>
      </c>
      <c r="I67" s="20" t="inlineStr">
        <is>
          <t>860,361</t>
        </is>
      </c>
      <c r="J67" s="20" t="n">
        <v>1</v>
      </c>
      <c r="K67" s="20" t="n">
        <v>0</v>
      </c>
      <c r="L67" s="20" t="inlineStr">
        <is>
          <t>23.10.2024 14:08:47</t>
        </is>
      </c>
      <c r="M67" s="18" t="inlineStr">
        <is>
          <t>0 sec</t>
        </is>
      </c>
      <c r="N67" s="20" t="inlineStr">
        <is>
          <t xml:space="preserve">         26K            26K             5K</t>
        </is>
      </c>
      <c r="O67" s="20" t="inlineStr">
        <is>
          <t>GKUyoAho2SQYtt7oLeigbwkgEv75ipALq8nPpmV4pump</t>
        </is>
      </c>
      <c r="P67" s="20">
        <f>HYPERLINK("https://photon-sol.tinyastro.io/en/lp/GKUyoAho2SQYtt7oLeigbwkgEv75ipALq8nPpmV4pump?handle=676050794bc1b1657a56b", "View")</f>
        <v/>
      </c>
    </row>
    <row r="68">
      <c r="A68" s="15" t="inlineStr">
        <is>
          <t>Corru</t>
        </is>
      </c>
      <c r="B68" s="16" t="n">
        <v>718481</v>
      </c>
      <c r="C68" s="16" t="n">
        <v>0</v>
      </c>
      <c r="D68" s="16" t="inlineStr">
        <is>
          <t>0.000510</t>
        </is>
      </c>
      <c r="E68" s="16" t="inlineStr">
        <is>
          <t>0.093 SOL</t>
        </is>
      </c>
      <c r="F68" s="16" t="inlineStr">
        <is>
          <t>0.000 SOL</t>
        </is>
      </c>
      <c r="G68" s="17" t="inlineStr">
        <is>
          <t>-0.094 SOL</t>
        </is>
      </c>
      <c r="H68" s="17" t="inlineStr">
        <is>
          <t>0.00%</t>
        </is>
      </c>
      <c r="I68" s="16" t="inlineStr">
        <is>
          <t>718,481</t>
        </is>
      </c>
      <c r="J68" s="16" t="n">
        <v>1</v>
      </c>
      <c r="K68" s="16" t="n">
        <v>0</v>
      </c>
      <c r="L68" s="16" t="inlineStr">
        <is>
          <t>23.10.2024 14:07:33</t>
        </is>
      </c>
      <c r="M68" s="18" t="inlineStr">
        <is>
          <t>0 sec</t>
        </is>
      </c>
      <c r="N68" s="16" t="inlineStr">
        <is>
          <t xml:space="preserve">         23K            23K             4K</t>
        </is>
      </c>
      <c r="O68" s="16" t="inlineStr">
        <is>
          <t>7S3oTdnWf6SAU2PCHa9xsCR3qBLNnMroGfpzuXWhpump</t>
        </is>
      </c>
      <c r="P68" s="16">
        <f>HYPERLINK("https://photon-sol.tinyastro.io/en/lp/7S3oTdnWf6SAU2PCHa9xsCR3qBLNnMroGfpzuXWhpump?handle=676050794bc1b1657a56b", "View")</f>
        <v/>
      </c>
    </row>
    <row r="69">
      <c r="A69" s="19" t="inlineStr">
        <is>
          <t>ANDRON</t>
        </is>
      </c>
      <c r="B69" s="20" t="n">
        <v>1038895</v>
      </c>
      <c r="C69" s="20" t="n">
        <v>0</v>
      </c>
      <c r="D69" s="20" t="inlineStr">
        <is>
          <t>0.000510</t>
        </is>
      </c>
      <c r="E69" s="20" t="inlineStr">
        <is>
          <t>0.106 SOL</t>
        </is>
      </c>
      <c r="F69" s="20" t="inlineStr">
        <is>
          <t>0.000 SOL</t>
        </is>
      </c>
      <c r="G69" s="17" t="inlineStr">
        <is>
          <t>-0.107 SOL</t>
        </is>
      </c>
      <c r="H69" s="17" t="inlineStr">
        <is>
          <t>0.00%</t>
        </is>
      </c>
      <c r="I69" s="20" t="inlineStr">
        <is>
          <t>1,038,895</t>
        </is>
      </c>
      <c r="J69" s="20" t="n">
        <v>1</v>
      </c>
      <c r="K69" s="20" t="n">
        <v>0</v>
      </c>
      <c r="L69" s="20" t="inlineStr">
        <is>
          <t>23.10.2024 14:04:42</t>
        </is>
      </c>
      <c r="M69" s="18" t="inlineStr">
        <is>
          <t>0 sec</t>
        </is>
      </c>
      <c r="N69" s="20" t="inlineStr">
        <is>
          <t xml:space="preserve">         18K            18K             5K</t>
        </is>
      </c>
      <c r="O69" s="20" t="inlineStr">
        <is>
          <t>p9jd2RHrnbV9GMu8ce6Sf7UkdfnNQaJHa9zJDmMpump</t>
        </is>
      </c>
      <c r="P69" s="20">
        <f>HYPERLINK("https://photon-sol.tinyastro.io/en/lp/p9jd2RHrnbV9GMu8ce6Sf7UkdfnNQaJHa9zJDmMpump?handle=676050794bc1b1657a56b", "View")</f>
        <v/>
      </c>
    </row>
    <row r="70">
      <c r="A70" s="15" t="inlineStr">
        <is>
          <t>brchio</t>
        </is>
      </c>
      <c r="B70" s="16" t="n">
        <v>455231</v>
      </c>
      <c r="C70" s="16" t="n">
        <v>0</v>
      </c>
      <c r="D70" s="16" t="inlineStr">
        <is>
          <t>0.000510</t>
        </is>
      </c>
      <c r="E70" s="16" t="inlineStr">
        <is>
          <t>0.100 SOL</t>
        </is>
      </c>
      <c r="F70" s="16" t="inlineStr">
        <is>
          <t>0.000 SOL</t>
        </is>
      </c>
      <c r="G70" s="17" t="inlineStr">
        <is>
          <t>-0.101 SOL</t>
        </is>
      </c>
      <c r="H70" s="17" t="inlineStr">
        <is>
          <t>0.00%</t>
        </is>
      </c>
      <c r="I70" s="16" t="inlineStr">
        <is>
          <t>455,231</t>
        </is>
      </c>
      <c r="J70" s="16" t="n">
        <v>1</v>
      </c>
      <c r="K70" s="16" t="n">
        <v>0</v>
      </c>
      <c r="L70" s="16" t="inlineStr">
        <is>
          <t>23.10.2024 14:04:17</t>
        </is>
      </c>
      <c r="M70" s="18" t="inlineStr">
        <is>
          <t>0 sec</t>
        </is>
      </c>
      <c r="N70" s="16" t="inlineStr">
        <is>
          <t xml:space="preserve">         39K            39K            23K</t>
        </is>
      </c>
      <c r="O70" s="16" t="inlineStr">
        <is>
          <t>A11P4YzikysrP8KAwhiT2xTuGMHpH6i9oHSZnntapump</t>
        </is>
      </c>
      <c r="P70" s="16">
        <f>HYPERLINK("https://dexscreener.com/solana/A11P4YzikysrP8KAwhiT2xTuGMHpH6i9oHSZnntapump", "View")</f>
        <v/>
      </c>
    </row>
    <row r="71">
      <c r="A71" s="19" t="inlineStr">
        <is>
          <t>CHAD</t>
        </is>
      </c>
      <c r="B71" s="20" t="n">
        <v>2087930</v>
      </c>
      <c r="C71" s="20" t="n">
        <v>0</v>
      </c>
      <c r="D71" s="20" t="inlineStr">
        <is>
          <t>0.000510</t>
        </is>
      </c>
      <c r="E71" s="20" t="inlineStr">
        <is>
          <t>0.108 SOL</t>
        </is>
      </c>
      <c r="F71" s="20" t="inlineStr">
        <is>
          <t>0.000 SOL</t>
        </is>
      </c>
      <c r="G71" s="17" t="inlineStr">
        <is>
          <t>-0.109 SOL</t>
        </is>
      </c>
      <c r="H71" s="17" t="inlineStr">
        <is>
          <t>0.00%</t>
        </is>
      </c>
      <c r="I71" s="20" t="inlineStr">
        <is>
          <t>2,087,930</t>
        </is>
      </c>
      <c r="J71" s="20" t="n">
        <v>1</v>
      </c>
      <c r="K71" s="20" t="n">
        <v>0</v>
      </c>
      <c r="L71" s="20" t="inlineStr">
        <is>
          <t>23.10.2024 13:58:01</t>
        </is>
      </c>
      <c r="M71" s="18" t="inlineStr">
        <is>
          <t>0 sec</t>
        </is>
      </c>
      <c r="N71" s="20" t="inlineStr">
        <is>
          <t xml:space="preserve">          9K             9K             5K</t>
        </is>
      </c>
      <c r="O71" s="20" t="inlineStr">
        <is>
          <t>x1Ks2PjTyhtxiNu3iN5YSzRDSpa63LbRV7KAePNpump</t>
        </is>
      </c>
      <c r="P71" s="20">
        <f>HYPERLINK("https://photon-sol.tinyastro.io/en/lp/x1Ks2PjTyhtxiNu3iN5YSzRDSpa63LbRV7KAePNpump?handle=676050794bc1b1657a56b", "View")</f>
        <v/>
      </c>
    </row>
    <row r="72">
      <c r="A72" s="15" t="inlineStr">
        <is>
          <t>Black Wing</t>
        </is>
      </c>
      <c r="B72" s="16" t="n">
        <v>1408488</v>
      </c>
      <c r="C72" s="16" t="n">
        <v>0</v>
      </c>
      <c r="D72" s="16" t="inlineStr">
        <is>
          <t>0.000510</t>
        </is>
      </c>
      <c r="E72" s="16" t="inlineStr">
        <is>
          <t>0.110 SOL</t>
        </is>
      </c>
      <c r="F72" s="16" t="inlineStr">
        <is>
          <t>0.000 SOL</t>
        </is>
      </c>
      <c r="G72" s="17" t="inlineStr">
        <is>
          <t>-0.111 SOL</t>
        </is>
      </c>
      <c r="H72" s="17" t="inlineStr">
        <is>
          <t>0.00%</t>
        </is>
      </c>
      <c r="I72" s="16" t="inlineStr">
        <is>
          <t>1,408,488</t>
        </is>
      </c>
      <c r="J72" s="16" t="n">
        <v>1</v>
      </c>
      <c r="K72" s="16" t="n">
        <v>0</v>
      </c>
      <c r="L72" s="16" t="inlineStr">
        <is>
          <t>23.10.2024 13:52:48</t>
        </is>
      </c>
      <c r="M72" s="18" t="inlineStr">
        <is>
          <t>0 sec</t>
        </is>
      </c>
      <c r="N72" s="16" t="inlineStr">
        <is>
          <t xml:space="preserve">         14K            14K             5K</t>
        </is>
      </c>
      <c r="O72" s="16" t="inlineStr">
        <is>
          <t>AwwtCaiqbjZpNomJrKq7mm8P9PeX7bjzZcsrGhAPpump</t>
        </is>
      </c>
      <c r="P72" s="16">
        <f>HYPERLINK("https://photon-sol.tinyastro.io/en/lp/AwwtCaiqbjZpNomJrKq7mm8P9PeX7bjzZcsrGhAPpump?handle=676050794bc1b1657a56b", "View")</f>
        <v/>
      </c>
    </row>
    <row r="73">
      <c r="A73" s="19" t="inlineStr">
        <is>
          <t>Chiitan</t>
        </is>
      </c>
      <c r="B73" s="20" t="n">
        <v>2629621</v>
      </c>
      <c r="C73" s="20" t="n">
        <v>0</v>
      </c>
      <c r="D73" s="20" t="inlineStr">
        <is>
          <t>0.000510</t>
        </is>
      </c>
      <c r="E73" s="20" t="inlineStr">
        <is>
          <t>0.105 SOL</t>
        </is>
      </c>
      <c r="F73" s="20" t="inlineStr">
        <is>
          <t>0.000 SOL</t>
        </is>
      </c>
      <c r="G73" s="17" t="inlineStr">
        <is>
          <t>-0.105 SOL</t>
        </is>
      </c>
      <c r="H73" s="17" t="inlineStr">
        <is>
          <t>0.00%</t>
        </is>
      </c>
      <c r="I73" s="20" t="inlineStr">
        <is>
          <t>2,629,621</t>
        </is>
      </c>
      <c r="J73" s="20" t="n">
        <v>1</v>
      </c>
      <c r="K73" s="20" t="n">
        <v>0</v>
      </c>
      <c r="L73" s="20" t="inlineStr">
        <is>
          <t>23.10.2024 13:50:19</t>
        </is>
      </c>
      <c r="M73" s="18" t="inlineStr">
        <is>
          <t>0 sec</t>
        </is>
      </c>
      <c r="N73" s="20" t="inlineStr">
        <is>
          <t xml:space="preserve">          7K             7K             5K</t>
        </is>
      </c>
      <c r="O73" s="20" t="inlineStr">
        <is>
          <t>2SKAoMDt8HnGxgvTHBrUuAVL7rH3xWLRTMefhMEupump</t>
        </is>
      </c>
      <c r="P73" s="20">
        <f>HYPERLINK("https://photon-sol.tinyastro.io/en/lp/2SKAoMDt8HnGxgvTHBrUuAVL7rH3xWLRTMefhMEupump?handle=676050794bc1b1657a56b", "View")</f>
        <v/>
      </c>
    </row>
    <row r="74">
      <c r="A74" s="15" t="inlineStr">
        <is>
          <t>TOL</t>
        </is>
      </c>
      <c r="B74" s="16" t="n">
        <v>39222</v>
      </c>
      <c r="C74" s="16" t="n">
        <v>39221</v>
      </c>
      <c r="D74" s="16" t="inlineStr">
        <is>
          <t>0.001020</t>
        </is>
      </c>
      <c r="E74" s="16" t="inlineStr">
        <is>
          <t>0.100 SOL</t>
        </is>
      </c>
      <c r="F74" s="16" t="inlineStr">
        <is>
          <t>0.110 SOL</t>
        </is>
      </c>
      <c r="G74" s="22" t="inlineStr">
        <is>
          <t>0.009 SOL</t>
        </is>
      </c>
      <c r="H74" s="22" t="inlineStr">
        <is>
          <t>8.49%</t>
        </is>
      </c>
      <c r="I74" s="16" t="inlineStr">
        <is>
          <t>N/A</t>
        </is>
      </c>
      <c r="J74" s="16" t="n">
        <v>1</v>
      </c>
      <c r="K74" s="16" t="n">
        <v>1</v>
      </c>
      <c r="L74" s="16" t="inlineStr">
        <is>
          <t>23.10.2024 13:43:10</t>
        </is>
      </c>
      <c r="M74" s="16" t="inlineStr">
        <is>
          <t>5 min</t>
        </is>
      </c>
      <c r="N74" s="16" t="inlineStr">
        <is>
          <t xml:space="preserve">        424K           464K            18K</t>
        </is>
      </c>
      <c r="O74" s="16" t="inlineStr">
        <is>
          <t>8SJHvukeqYDyGi64zdv4AM4GrktUtaB7wPMgM3EHpump</t>
        </is>
      </c>
      <c r="P74" s="16">
        <f>HYPERLINK("https://dexscreener.com/solana/8SJHvukeqYDyGi64zdv4AM4GrktUtaB7wPMgM3EHpump", "View")</f>
        <v/>
      </c>
    </row>
    <row r="75">
      <c r="A75" s="19" t="inlineStr">
        <is>
          <t>ZENO</t>
        </is>
      </c>
      <c r="B75" s="20" t="n">
        <v>3287</v>
      </c>
      <c r="C75" s="20" t="n">
        <v>3286</v>
      </c>
      <c r="D75" s="20" t="inlineStr">
        <is>
          <t>0.001020</t>
        </is>
      </c>
      <c r="E75" s="20" t="inlineStr">
        <is>
          <t>0.100 SOL</t>
        </is>
      </c>
      <c r="F75" s="20" t="inlineStr">
        <is>
          <t>0.153 SOL</t>
        </is>
      </c>
      <c r="G75" s="23" t="inlineStr">
        <is>
          <t>0.052 SOL</t>
        </is>
      </c>
      <c r="H75" s="23" t="inlineStr">
        <is>
          <t>51.74%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23.10.2024 13:42:57</t>
        </is>
      </c>
      <c r="M75" s="20" t="inlineStr">
        <is>
          <t>2 min</t>
        </is>
      </c>
      <c r="N75" s="20" t="inlineStr">
        <is>
          <t xml:space="preserve">          5M             8M            20K</t>
        </is>
      </c>
      <c r="O75" s="20" t="inlineStr">
        <is>
          <t>G7whDtx7WD1wZT6Uct58ebrKmuESqhxCrkZLMnZUcez2</t>
        </is>
      </c>
      <c r="P75" s="20">
        <f>HYPERLINK("https://dexscreener.com/solana/G7whDtx7WD1wZT6Uct58ebrKmuESqhxCrkZLMnZUcez2", "View")</f>
        <v/>
      </c>
    </row>
    <row r="76">
      <c r="A76" s="15" t="inlineStr">
        <is>
          <t>Jungians</t>
        </is>
      </c>
      <c r="B76" s="16" t="n">
        <v>393504</v>
      </c>
      <c r="C76" s="16" t="n">
        <v>393503</v>
      </c>
      <c r="D76" s="16" t="inlineStr">
        <is>
          <t>0.001020</t>
        </is>
      </c>
      <c r="E76" s="16" t="inlineStr">
        <is>
          <t>0.106 SOL</t>
        </is>
      </c>
      <c r="F76" s="16" t="inlineStr">
        <is>
          <t>0.115 SOL</t>
        </is>
      </c>
      <c r="G76" s="22" t="inlineStr">
        <is>
          <t>0.008 SOL</t>
        </is>
      </c>
      <c r="H76" s="22" t="inlineStr">
        <is>
          <t>7.49%</t>
        </is>
      </c>
      <c r="I76" s="16" t="inlineStr">
        <is>
          <t>N/A</t>
        </is>
      </c>
      <c r="J76" s="16" t="n">
        <v>1</v>
      </c>
      <c r="K76" s="16" t="n">
        <v>1</v>
      </c>
      <c r="L76" s="16" t="inlineStr">
        <is>
          <t>23.10.2024 13:42:42</t>
        </is>
      </c>
      <c r="M76" s="16" t="inlineStr">
        <is>
          <t>6 min</t>
        </is>
      </c>
      <c r="N76" s="16" t="inlineStr">
        <is>
          <t xml:space="preserve">         47K            51K             4K</t>
        </is>
      </c>
      <c r="O76" s="16" t="inlineStr">
        <is>
          <t>8T7n6U2GSzpCqFNbNdt4JSoZHtdXp6kdb9BXHs8Ypump</t>
        </is>
      </c>
      <c r="P76" s="16">
        <f>HYPERLINK("https://photon-sol.tinyastro.io/en/lp/8T7n6U2GSzpCqFNbNdt4JSoZHtdXp6kdb9BXHs8Ypump?handle=676050794bc1b1657a56b", "View")</f>
        <v/>
      </c>
    </row>
    <row r="77">
      <c r="A77" s="19" t="inlineStr">
        <is>
          <t>Claudius</t>
        </is>
      </c>
      <c r="B77" s="20" t="n">
        <v>795402</v>
      </c>
      <c r="C77" s="20" t="n">
        <v>795401</v>
      </c>
      <c r="D77" s="20" t="inlineStr">
        <is>
          <t>0.001020</t>
        </is>
      </c>
      <c r="E77" s="20" t="inlineStr">
        <is>
          <t>0.124 SOL</t>
        </is>
      </c>
      <c r="F77" s="20" t="inlineStr">
        <is>
          <t>0.218 SOL</t>
        </is>
      </c>
      <c r="G77" s="23" t="inlineStr">
        <is>
          <t>0.093 SOL</t>
        </is>
      </c>
      <c r="H77" s="23" t="inlineStr">
        <is>
          <t>74.18%</t>
        </is>
      </c>
      <c r="I77" s="20" t="inlineStr">
        <is>
          <t>N/A</t>
        </is>
      </c>
      <c r="J77" s="20" t="n">
        <v>1</v>
      </c>
      <c r="K77" s="20" t="n">
        <v>1</v>
      </c>
      <c r="L77" s="20" t="inlineStr">
        <is>
          <t>23.10.2024 13:42:24</t>
        </is>
      </c>
      <c r="M77" s="20" t="inlineStr">
        <is>
          <t>21 min</t>
        </is>
      </c>
      <c r="N77" s="20" t="inlineStr">
        <is>
          <t xml:space="preserve">         28K            47K            18K</t>
        </is>
      </c>
      <c r="O77" s="20" t="inlineStr">
        <is>
          <t>BHXxM6XnRd8ytGoiUd4HH74K3Xaoyz8odLoAgx8ppump</t>
        </is>
      </c>
      <c r="P77" s="20">
        <f>HYPERLINK("https://photon-sol.tinyastro.io/en/lp/BHXxM6XnRd8ytGoiUd4HH74K3Xaoyz8odLoAgx8ppump?handle=676050794bc1b1657a56b", "View")</f>
        <v/>
      </c>
    </row>
    <row r="78">
      <c r="A78" s="15" t="inlineStr">
        <is>
          <t>PEOPLE</t>
        </is>
      </c>
      <c r="B78" s="16" t="n">
        <v>1510954</v>
      </c>
      <c r="C78" s="16" t="n">
        <v>0</v>
      </c>
      <c r="D78" s="16" t="inlineStr">
        <is>
          <t>0.000510</t>
        </is>
      </c>
      <c r="E78" s="16" t="inlineStr">
        <is>
          <t>0.123 SOL</t>
        </is>
      </c>
      <c r="F78" s="16" t="inlineStr">
        <is>
          <t>0.000 SOL</t>
        </is>
      </c>
      <c r="G78" s="17" t="inlineStr">
        <is>
          <t>-0.123 SOL</t>
        </is>
      </c>
      <c r="H78" s="17" t="inlineStr">
        <is>
          <t>0.00%</t>
        </is>
      </c>
      <c r="I78" s="16" t="inlineStr">
        <is>
          <t>1,510,954</t>
        </is>
      </c>
      <c r="J78" s="16" t="n">
        <v>1</v>
      </c>
      <c r="K78" s="16" t="n">
        <v>0</v>
      </c>
      <c r="L78" s="16" t="inlineStr">
        <is>
          <t>23.10.2024 13:39:26</t>
        </is>
      </c>
      <c r="M78" s="18" t="inlineStr">
        <is>
          <t>0 sec</t>
        </is>
      </c>
      <c r="N78" s="16" t="inlineStr">
        <is>
          <t xml:space="preserve">         14K            14K             5K</t>
        </is>
      </c>
      <c r="O78" s="16" t="inlineStr">
        <is>
          <t>4JDERrmVQ6GDunHdwVbBp5wPJqBrF3CvHsGpm5RA4c9n</t>
        </is>
      </c>
      <c r="P78" s="16">
        <f>HYPERLINK("https://photon-sol.tinyastro.io/en/lp/4JDERrmVQ6GDunHdwVbBp5wPJqBrF3CvHsGpm5RA4c9n?handle=676050794bc1b1657a56b", "View")</f>
        <v/>
      </c>
    </row>
    <row r="79">
      <c r="A79" s="19" t="inlineStr">
        <is>
          <t>WWDB</t>
        </is>
      </c>
      <c r="B79" s="20" t="n">
        <v>325236</v>
      </c>
      <c r="C79" s="20" t="n">
        <v>0</v>
      </c>
      <c r="D79" s="20" t="inlineStr">
        <is>
          <t>0.000510</t>
        </is>
      </c>
      <c r="E79" s="20" t="inlineStr">
        <is>
          <t>0.106 SOL</t>
        </is>
      </c>
      <c r="F79" s="20" t="inlineStr">
        <is>
          <t>0.000 SOL</t>
        </is>
      </c>
      <c r="G79" s="17" t="inlineStr">
        <is>
          <t>-0.107 SOL</t>
        </is>
      </c>
      <c r="H79" s="17" t="inlineStr">
        <is>
          <t>0.00%</t>
        </is>
      </c>
      <c r="I79" s="20" t="inlineStr">
        <is>
          <t>325,236</t>
        </is>
      </c>
      <c r="J79" s="20" t="n">
        <v>1</v>
      </c>
      <c r="K79" s="20" t="n">
        <v>0</v>
      </c>
      <c r="L79" s="20" t="inlineStr">
        <is>
          <t>23.10.2024 13:39:00</t>
        </is>
      </c>
      <c r="M79" s="18" t="inlineStr">
        <is>
          <t>0 sec</t>
        </is>
      </c>
      <c r="N79" s="20" t="inlineStr">
        <is>
          <t xml:space="preserve">         58K            58K             3K</t>
        </is>
      </c>
      <c r="O79" s="20" t="inlineStr">
        <is>
          <t>Hc7q9ZqCBid89etDzvmANfgLqSMbLjj3h4naJXpGpump</t>
        </is>
      </c>
      <c r="P79" s="20">
        <f>HYPERLINK("https://photon-sol.tinyastro.io/en/lp/Hc7q9ZqCBid89etDzvmANfgLqSMbLjj3h4naJXpGpump?handle=676050794bc1b1657a56b", "View")</f>
        <v/>
      </c>
    </row>
    <row r="80">
      <c r="A80" s="15" t="inlineStr">
        <is>
          <t>TOC</t>
        </is>
      </c>
      <c r="B80" s="16" t="n">
        <v>1537392</v>
      </c>
      <c r="C80" s="16" t="n">
        <v>0</v>
      </c>
      <c r="D80" s="16" t="inlineStr">
        <is>
          <t>0.000510</t>
        </is>
      </c>
      <c r="E80" s="16" t="inlineStr">
        <is>
          <t>0.089 SOL</t>
        </is>
      </c>
      <c r="F80" s="16" t="inlineStr">
        <is>
          <t>0.000 SOL</t>
        </is>
      </c>
      <c r="G80" s="17" t="inlineStr">
        <is>
          <t>-0.090 SOL</t>
        </is>
      </c>
      <c r="H80" s="17" t="inlineStr">
        <is>
          <t>0.00%</t>
        </is>
      </c>
      <c r="I80" s="16" t="inlineStr">
        <is>
          <t>1,537,392</t>
        </is>
      </c>
      <c r="J80" s="16" t="n">
        <v>1</v>
      </c>
      <c r="K80" s="16" t="n">
        <v>0</v>
      </c>
      <c r="L80" s="16" t="inlineStr">
        <is>
          <t>23.10.2024 13:34:55</t>
        </is>
      </c>
      <c r="M80" s="18" t="inlineStr">
        <is>
          <t>0 sec</t>
        </is>
      </c>
      <c r="N80" s="16" t="inlineStr">
        <is>
          <t xml:space="preserve">         11K            11K             5K</t>
        </is>
      </c>
      <c r="O80" s="16" t="inlineStr">
        <is>
          <t>5GeMGBNzQPGh1oYxxdXGD9ANHFbcQrDK8TNTfNLDpump</t>
        </is>
      </c>
      <c r="P80" s="16">
        <f>HYPERLINK("https://photon-sol.tinyastro.io/en/lp/5GeMGBNzQPGh1oYxxdXGD9ANHFbcQrDK8TNTfNLDpump?handle=676050794bc1b1657a56b", "View")</f>
        <v/>
      </c>
    </row>
    <row r="81">
      <c r="A81" s="19" t="inlineStr">
        <is>
          <t>Zeno</t>
        </is>
      </c>
      <c r="B81" s="20" t="n">
        <v>131618</v>
      </c>
      <c r="C81" s="20" t="n">
        <v>0</v>
      </c>
      <c r="D81" s="20" t="inlineStr">
        <is>
          <t>0.000510</t>
        </is>
      </c>
      <c r="E81" s="20" t="inlineStr">
        <is>
          <t>0.100 SOL</t>
        </is>
      </c>
      <c r="F81" s="20" t="inlineStr">
        <is>
          <t>0.000 SOL</t>
        </is>
      </c>
      <c r="G81" s="17" t="inlineStr">
        <is>
          <t>-0.101 SOL</t>
        </is>
      </c>
      <c r="H81" s="17" t="inlineStr">
        <is>
          <t>0.00%</t>
        </is>
      </c>
      <c r="I81" s="20" t="inlineStr">
        <is>
          <t>131,618</t>
        </is>
      </c>
      <c r="J81" s="20" t="n">
        <v>1</v>
      </c>
      <c r="K81" s="20" t="n">
        <v>0</v>
      </c>
      <c r="L81" s="20" t="inlineStr">
        <is>
          <t>23.10.2024 13:31:54</t>
        </is>
      </c>
      <c r="M81" s="18" t="inlineStr">
        <is>
          <t>0 sec</t>
        </is>
      </c>
      <c r="N81" s="20" t="inlineStr">
        <is>
          <t xml:space="preserve">        133K           133K             4K</t>
        </is>
      </c>
      <c r="O81" s="20" t="inlineStr">
        <is>
          <t>5uwgqM42sJKPZmmZSuAmRiYE4TPBP1zXUjU2E9Lapump</t>
        </is>
      </c>
      <c r="P81" s="20">
        <f>HYPERLINK("https://dexscreener.com/solana/5uwgqM42sJKPZmmZSuAmRiYE4TPBP1zXUjU2E9Lapump", "View")</f>
        <v/>
      </c>
    </row>
    <row r="82">
      <c r="A82" s="15" t="inlineStr">
        <is>
          <t>ｒｉｆ</t>
        </is>
      </c>
      <c r="B82" s="16" t="n">
        <v>1220595</v>
      </c>
      <c r="C82" s="16" t="n">
        <v>0</v>
      </c>
      <c r="D82" s="16" t="inlineStr">
        <is>
          <t>0.000510</t>
        </is>
      </c>
      <c r="E82" s="16" t="inlineStr">
        <is>
          <t>0.134 SOL</t>
        </is>
      </c>
      <c r="F82" s="16" t="inlineStr">
        <is>
          <t>0.000 SOL</t>
        </is>
      </c>
      <c r="G82" s="17" t="inlineStr">
        <is>
          <t>-0.135 SOL</t>
        </is>
      </c>
      <c r="H82" s="17" t="inlineStr">
        <is>
          <t>0.00%</t>
        </is>
      </c>
      <c r="I82" s="16" t="inlineStr">
        <is>
          <t>1,220,595</t>
        </is>
      </c>
      <c r="J82" s="16" t="n">
        <v>1</v>
      </c>
      <c r="K82" s="16" t="n">
        <v>0</v>
      </c>
      <c r="L82" s="16" t="inlineStr">
        <is>
          <t>23.10.2024 13:31:50</t>
        </is>
      </c>
      <c r="M82" s="18" t="inlineStr">
        <is>
          <t>0 sec</t>
        </is>
      </c>
      <c r="N82" s="16" t="inlineStr">
        <is>
          <t xml:space="preserve">         19K            19K             5K</t>
        </is>
      </c>
      <c r="O82" s="16" t="inlineStr">
        <is>
          <t>HL9f9suAG4ZdQJouUp8GxES8yiadFiotSiAyzMqbpump</t>
        </is>
      </c>
      <c r="P82" s="16">
        <f>HYPERLINK("https://photon-sol.tinyastro.io/en/lp/HL9f9suAG4ZdQJouUp8GxES8yiadFiotSiAyzMqbpump?handle=676050794bc1b1657a56b", "View")</f>
        <v/>
      </c>
    </row>
    <row r="83">
      <c r="A83" s="19" t="inlineStr">
        <is>
          <t>MONETA</t>
        </is>
      </c>
      <c r="B83" s="20" t="n">
        <v>37578</v>
      </c>
      <c r="C83" s="20" t="n">
        <v>0</v>
      </c>
      <c r="D83" s="20" t="inlineStr">
        <is>
          <t>0.000510</t>
        </is>
      </c>
      <c r="E83" s="20" t="inlineStr">
        <is>
          <t>0.100 SOL</t>
        </is>
      </c>
      <c r="F83" s="20" t="inlineStr">
        <is>
          <t>0.000 SOL</t>
        </is>
      </c>
      <c r="G83" s="17" t="inlineStr">
        <is>
          <t>-0.101 SOL</t>
        </is>
      </c>
      <c r="H83" s="17" t="inlineStr">
        <is>
          <t>0.00%</t>
        </is>
      </c>
      <c r="I83" s="20" t="inlineStr">
        <is>
          <t>37,578</t>
        </is>
      </c>
      <c r="J83" s="20" t="n">
        <v>1</v>
      </c>
      <c r="K83" s="20" t="n">
        <v>0</v>
      </c>
      <c r="L83" s="20" t="inlineStr">
        <is>
          <t>23.10.2024 13:29:49</t>
        </is>
      </c>
      <c r="M83" s="18" t="inlineStr">
        <is>
          <t>0 sec</t>
        </is>
      </c>
      <c r="N83" s="20" t="inlineStr">
        <is>
          <t xml:space="preserve">        467K           467K             5K</t>
        </is>
      </c>
      <c r="O83" s="20" t="inlineStr">
        <is>
          <t>7kSZS11hdWAj2cmyK49AMdN3FdbY8vnU1YsEKdLppump</t>
        </is>
      </c>
      <c r="P83" s="20">
        <f>HYPERLINK("https://dexscreener.com/solana/7kSZS11hdWAj2cmyK49AMdN3FdbY8vnU1YsEKdLppump", "View")</f>
        <v/>
      </c>
    </row>
    <row r="84">
      <c r="A84" s="15" t="inlineStr">
        <is>
          <t>kuku</t>
        </is>
      </c>
      <c r="B84" s="16" t="n">
        <v>218967</v>
      </c>
      <c r="C84" s="16" t="n">
        <v>0</v>
      </c>
      <c r="D84" s="16" t="inlineStr">
        <is>
          <t>0.000510</t>
        </is>
      </c>
      <c r="E84" s="16" t="inlineStr">
        <is>
          <t>0.100 SOL</t>
        </is>
      </c>
      <c r="F84" s="16" t="inlineStr">
        <is>
          <t>0.000 SOL</t>
        </is>
      </c>
      <c r="G84" s="17" t="inlineStr">
        <is>
          <t>-0.101 SOL</t>
        </is>
      </c>
      <c r="H84" s="17" t="inlineStr">
        <is>
          <t>0.00%</t>
        </is>
      </c>
      <c r="I84" s="16" t="inlineStr">
        <is>
          <t>218,967</t>
        </is>
      </c>
      <c r="J84" s="16" t="n">
        <v>1</v>
      </c>
      <c r="K84" s="16" t="n">
        <v>0</v>
      </c>
      <c r="L84" s="16" t="inlineStr">
        <is>
          <t>23.10.2024 13:12:22</t>
        </is>
      </c>
      <c r="M84" s="18" t="inlineStr">
        <is>
          <t>0 sec</t>
        </is>
      </c>
      <c r="N84" s="16" t="inlineStr">
        <is>
          <t xml:space="preserve">         81K            81K             6K</t>
        </is>
      </c>
      <c r="O84" s="16" t="inlineStr">
        <is>
          <t>F71wBWAiHXyb6GV32ooEZz1C5eN6VYnYEb4tjV9zpump</t>
        </is>
      </c>
      <c r="P84" s="16">
        <f>HYPERLINK("https://dexscreener.com/solana/F71wBWAiHXyb6GV32ooEZz1C5eN6VYnYEb4tjV9zpump", "View")</f>
        <v/>
      </c>
    </row>
    <row r="85">
      <c r="A85" s="19" t="inlineStr">
        <is>
          <t>WAO</t>
        </is>
      </c>
      <c r="B85" s="20" t="n">
        <v>211604</v>
      </c>
      <c r="C85" s="20" t="n">
        <v>0</v>
      </c>
      <c r="D85" s="20" t="inlineStr">
        <is>
          <t>0.000510</t>
        </is>
      </c>
      <c r="E85" s="20" t="inlineStr">
        <is>
          <t>0.100 SOL</t>
        </is>
      </c>
      <c r="F85" s="20" t="inlineStr">
        <is>
          <t>0.000 SOL</t>
        </is>
      </c>
      <c r="G85" s="17" t="inlineStr">
        <is>
          <t>-0.101 SOL</t>
        </is>
      </c>
      <c r="H85" s="17" t="inlineStr">
        <is>
          <t>0.00%</t>
        </is>
      </c>
      <c r="I85" s="20" t="inlineStr">
        <is>
          <t>211,604</t>
        </is>
      </c>
      <c r="J85" s="20" t="n">
        <v>1</v>
      </c>
      <c r="K85" s="20" t="n">
        <v>0</v>
      </c>
      <c r="L85" s="20" t="inlineStr">
        <is>
          <t>23.10.2024 13:12:05</t>
        </is>
      </c>
      <c r="M85" s="18" t="inlineStr">
        <is>
          <t>0 sec</t>
        </is>
      </c>
      <c r="N85" s="20" t="inlineStr">
        <is>
          <t xml:space="preserve">         83K            83K             4K</t>
        </is>
      </c>
      <c r="O85" s="20" t="inlineStr">
        <is>
          <t>7UigdSBX8L4W2TRxDtRThFzMDyButQLiLLekyiZmpump</t>
        </is>
      </c>
      <c r="P85" s="20">
        <f>HYPERLINK("https://dexscreener.com/solana/7UigdSBX8L4W2TRxDtRThFzMDyButQLiLLekyiZmpump", "View")</f>
        <v/>
      </c>
    </row>
    <row r="86">
      <c r="A86" s="15" t="inlineStr">
        <is>
          <t>Octo</t>
        </is>
      </c>
      <c r="B86" s="16" t="n">
        <v>355772</v>
      </c>
      <c r="C86" s="16" t="n">
        <v>0</v>
      </c>
      <c r="D86" s="16" t="inlineStr">
        <is>
          <t>0.000510</t>
        </is>
      </c>
      <c r="E86" s="16" t="inlineStr">
        <is>
          <t>0.105 SOL</t>
        </is>
      </c>
      <c r="F86" s="16" t="inlineStr">
        <is>
          <t>0.000 SOL</t>
        </is>
      </c>
      <c r="G86" s="17" t="inlineStr">
        <is>
          <t>-0.105 SOL</t>
        </is>
      </c>
      <c r="H86" s="17" t="inlineStr">
        <is>
          <t>0.00%</t>
        </is>
      </c>
      <c r="I86" s="16" t="inlineStr">
        <is>
          <t>355,772</t>
        </is>
      </c>
      <c r="J86" s="16" t="n">
        <v>1</v>
      </c>
      <c r="K86" s="16" t="n">
        <v>0</v>
      </c>
      <c r="L86" s="16" t="inlineStr">
        <is>
          <t>23.10.2024 13:11:53</t>
        </is>
      </c>
      <c r="M86" s="18" t="inlineStr">
        <is>
          <t>0 sec</t>
        </is>
      </c>
      <c r="N86" s="16" t="inlineStr">
        <is>
          <t xml:space="preserve">         51K            51K             6K</t>
        </is>
      </c>
      <c r="O86" s="16" t="inlineStr">
        <is>
          <t>6naKNrRrNQe9NXAxVujgNk9UXi5d6U8kRJoiKdo6d6nP</t>
        </is>
      </c>
      <c r="P86" s="16">
        <f>HYPERLINK("https://photon-sol.tinyastro.io/en/lp/6naKNrRrNQe9NXAxVujgNk9UXi5d6U8kRJoiKdo6d6nP?handle=676050794bc1b1657a56b", "View")</f>
        <v/>
      </c>
    </row>
    <row r="87">
      <c r="A87" s="19" t="inlineStr">
        <is>
          <t>koto</t>
        </is>
      </c>
      <c r="B87" s="20" t="n">
        <v>2663</v>
      </c>
      <c r="C87" s="20" t="n">
        <v>0</v>
      </c>
      <c r="D87" s="20" t="inlineStr">
        <is>
          <t>0.000510</t>
        </is>
      </c>
      <c r="E87" s="20" t="inlineStr">
        <is>
          <t>0.100 SOL</t>
        </is>
      </c>
      <c r="F87" s="20" t="inlineStr">
        <is>
          <t>0.000 SOL</t>
        </is>
      </c>
      <c r="G87" s="17" t="inlineStr">
        <is>
          <t>-0.101 SOL</t>
        </is>
      </c>
      <c r="H87" s="17" t="inlineStr">
        <is>
          <t>0.00%</t>
        </is>
      </c>
      <c r="I87" s="20" t="inlineStr">
        <is>
          <t>2,663</t>
        </is>
      </c>
      <c r="J87" s="20" t="n">
        <v>1</v>
      </c>
      <c r="K87" s="20" t="n">
        <v>0</v>
      </c>
      <c r="L87" s="20" t="inlineStr">
        <is>
          <t>23.10.2024 13:10:58</t>
        </is>
      </c>
      <c r="M87" s="18" t="inlineStr">
        <is>
          <t>0 sec</t>
        </is>
      </c>
      <c r="N87" s="20" t="inlineStr">
        <is>
          <t xml:space="preserve">          6M             6M             2M</t>
        </is>
      </c>
      <c r="O87" s="20" t="inlineStr">
        <is>
          <t>BfdVHnbt9LSNAFCZU9kvTjbrH3jX78sv2siLKGQ7pump</t>
        </is>
      </c>
      <c r="P87" s="20">
        <f>HYPERLINK("https://dexscreener.com/solana/BfdVHnbt9LSNAFCZU9kvTjbrH3jX78sv2siLKGQ7pump", "View")</f>
        <v/>
      </c>
    </row>
    <row r="88">
      <c r="A88" s="15" t="inlineStr">
        <is>
          <t>TOS</t>
        </is>
      </c>
      <c r="B88" s="16" t="n">
        <v>9868</v>
      </c>
      <c r="C88" s="16" t="n">
        <v>0</v>
      </c>
      <c r="D88" s="16" t="inlineStr">
        <is>
          <t>0.000510</t>
        </is>
      </c>
      <c r="E88" s="16" t="inlineStr">
        <is>
          <t>0.100 SOL</t>
        </is>
      </c>
      <c r="F88" s="16" t="inlineStr">
        <is>
          <t>0.000 SOL</t>
        </is>
      </c>
      <c r="G88" s="17" t="inlineStr">
        <is>
          <t>-0.101 SOL</t>
        </is>
      </c>
      <c r="H88" s="17" t="inlineStr">
        <is>
          <t>0.00%</t>
        </is>
      </c>
      <c r="I88" s="16" t="inlineStr">
        <is>
          <t>9,868</t>
        </is>
      </c>
      <c r="J88" s="16" t="n">
        <v>1</v>
      </c>
      <c r="K88" s="16" t="n">
        <v>0</v>
      </c>
      <c r="L88" s="16" t="inlineStr">
        <is>
          <t>23.10.2024 13:10:51</t>
        </is>
      </c>
      <c r="M88" s="18" t="inlineStr">
        <is>
          <t>0 sec</t>
        </is>
      </c>
      <c r="N88" s="16" t="inlineStr">
        <is>
          <t xml:space="preserve">          2M             2M            12K</t>
        </is>
      </c>
      <c r="O88" s="16" t="inlineStr">
        <is>
          <t>HFHkPuirz5Wz6pADpGzwijmDByAU2vrPexrcWTwmpump</t>
        </is>
      </c>
      <c r="P88" s="16">
        <f>HYPERLINK("https://dexscreener.com/solana/HFHkPuirz5Wz6pADpGzwijmDByAU2vrPexrcWTwmpump", "View")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40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HYPERLINK("https://gmgn.ai/sol/address/4g6kN5xeMhtBBFM4oBZTyoWAuSerRrJqAsFGKYTCz1VP", "GMGN")</f>
        <v/>
      </c>
    </row>
    <row r="2">
      <c r="A2" s="3" t="inlineStr">
        <is>
          <t>4g6kN5xeMhtBBFM4oBZTyoWAuSerRrJqAsFGKYTCz1VP</t>
        </is>
      </c>
      <c r="B2" s="3" t="inlineStr">
        <is>
          <t>55.13 SOL</t>
        </is>
      </c>
      <c r="C2" s="3" t="inlineStr">
        <is>
          <t>52%</t>
        </is>
      </c>
      <c r="D2" s="3" t="inlineStr">
        <is>
          <t>75%</t>
        </is>
      </c>
      <c r="E2" s="3" t="inlineStr">
        <is>
          <t>59.67 SOL</t>
        </is>
      </c>
      <c r="F2" s="3" t="inlineStr">
        <is>
          <t>0 (0%)</t>
        </is>
      </c>
      <c r="G2" s="3" t="inlineStr">
        <is>
          <t>6 (29%)</t>
        </is>
      </c>
      <c r="H2" s="3" t="n">
        <v>21</v>
      </c>
      <c r="I2" s="3" t="n">
        <v>0</v>
      </c>
      <c r="J2" s="3" t="inlineStr">
        <is>
          <t>56 days</t>
        </is>
      </c>
      <c r="K2" s="3" t="inlineStr">
        <is>
          <t>2 days</t>
        </is>
      </c>
      <c r="L2" s="3" t="n">
        <v>10</v>
      </c>
      <c r="M2" s="3" t="n">
        <v>99</v>
      </c>
      <c r="N2" s="3">
        <f>HYPERLINK("https://solscan.io/account/4g6kN5xeMhtBBFM4oBZTyoWAuSerRrJqAsFGKYTCz1VP", "Solscan")</f>
        <v/>
      </c>
    </row>
    <row r="3">
      <c r="A3" s="6" t="inlineStr">
        <is>
          <t>Median ROI</t>
        </is>
      </c>
      <c r="B3" s="4" t="inlineStr">
        <is>
          <t>6.84%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HYPERLINK("https://birdeye.so/profile/4g6kN5xeMhtBBFM4oBZTyoWAuSerRrJqAsFGKYTCz1VP", "Birdeye")</f>
        <v/>
      </c>
    </row>
    <row r="4">
      <c r="A4" s="6" t="inlineStr">
        <is>
          <t>Rockets percent</t>
        </is>
      </c>
      <c r="B4" s="3" t="inlineStr">
        <is>
          <t>29%</t>
        </is>
      </c>
      <c r="C4" s="3" t="inlineStr"/>
      <c r="D4" s="3" t="inlineStr">
        <is>
          <t>2446%</t>
        </is>
      </c>
      <c r="E4" s="3" t="inlineStr">
        <is>
          <t>1930.7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687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1.6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3</v>
      </c>
      <c r="C10" s="6" t="n">
        <v>3</v>
      </c>
      <c r="D10" s="6" t="n">
        <v>3</v>
      </c>
      <c r="E10" s="6" t="n">
        <v>2</v>
      </c>
      <c r="F10" s="6" t="n">
        <v>3</v>
      </c>
      <c r="G10" s="6" t="n">
        <v>7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14.3%</t>
        </is>
      </c>
      <c r="C11" s="6" t="inlineStr">
        <is>
          <t>14.3%</t>
        </is>
      </c>
      <c r="D11" s="6" t="inlineStr">
        <is>
          <t>14.3%</t>
        </is>
      </c>
      <c r="E11" s="6" t="inlineStr">
        <is>
          <t>9.5%</t>
        </is>
      </c>
      <c r="F11" s="6" t="inlineStr">
        <is>
          <t>14.3%</t>
        </is>
      </c>
      <c r="G11" s="6" t="inlineStr">
        <is>
          <t>33.3%</t>
        </is>
      </c>
      <c r="H11" s="3" t="n"/>
      <c r="I11" s="3" t="inlineStr">
        <is>
          <t>5k-30k</t>
        </is>
      </c>
      <c r="J11" s="3" t="inlineStr">
        <is>
          <t>5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59.6 SOL</t>
        </is>
      </c>
      <c r="C12" s="6" t="inlineStr">
        <is>
          <t>7.7 SOL</t>
        </is>
      </c>
      <c r="D12" s="6" t="inlineStr">
        <is>
          <t>15.7 SOL</t>
        </is>
      </c>
      <c r="E12" s="6" t="inlineStr">
        <is>
          <t>1.2 SOL</t>
        </is>
      </c>
      <c r="F12" s="6" t="inlineStr">
        <is>
          <t>-2.7 SOL</t>
        </is>
      </c>
      <c r="G12" s="6" t="inlineStr">
        <is>
          <t>-21.8 SOL</t>
        </is>
      </c>
      <c r="H12" s="3" t="n"/>
      <c r="I12" s="3" t="inlineStr">
        <is>
          <t>30k-100k</t>
        </is>
      </c>
      <c r="J12" s="3" t="inlineStr">
        <is>
          <t>6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7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3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90.0K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USDT</t>
        </is>
      </c>
      <c r="B20" s="16" t="n">
        <v>108576677</v>
      </c>
      <c r="C20" s="16" t="n">
        <v>5813</v>
      </c>
      <c r="D20" s="16" t="inlineStr">
        <is>
          <t>0.002660</t>
        </is>
      </c>
      <c r="E20" s="16" t="inlineStr">
        <is>
          <t>22.211 SOL</t>
        </is>
      </c>
      <c r="F20" s="16" t="inlineStr">
        <is>
          <t>35.325 SOL</t>
        </is>
      </c>
      <c r="G20" s="23" t="inlineStr">
        <is>
          <t>13.112 SOL</t>
        </is>
      </c>
      <c r="H20" s="23" t="inlineStr">
        <is>
          <t>59.03%</t>
        </is>
      </c>
      <c r="I20" s="16" t="inlineStr">
        <is>
          <t>N/A</t>
        </is>
      </c>
      <c r="J20" s="16" t="n">
        <v>10</v>
      </c>
      <c r="K20" s="16" t="n">
        <v>16</v>
      </c>
      <c r="L20" s="16" t="inlineStr">
        <is>
          <t>30.10.2024 06:29:56</t>
        </is>
      </c>
      <c r="M20" s="16" t="inlineStr">
        <is>
          <t>1 months</t>
        </is>
      </c>
      <c r="N20" s="16" t="inlineStr">
        <is>
          <t xml:space="preserve">        302K             3M             2B</t>
        </is>
      </c>
      <c r="O20" s="16" t="inlineStr">
        <is>
          <t>Es9vMFrzaCERmJfrF4H2FYD4KCoNkY11McCe8BenwNYB</t>
        </is>
      </c>
      <c r="P20" s="16">
        <f>HYPERLINK("https://photon-sol.tinyastro.io/en/lp/Es9vMFrzaCERmJfrF4H2FYD4KCoNkY11McCe8BenwNYB?handle=676050794bc1b1657a56b", "View")</f>
        <v/>
      </c>
    </row>
    <row r="21">
      <c r="A21" s="19" t="inlineStr">
        <is>
          <t>REN</t>
        </is>
      </c>
      <c r="B21" s="20" t="n">
        <v>3093327</v>
      </c>
      <c r="C21" s="20" t="n">
        <v>8853919</v>
      </c>
      <c r="D21" s="20" t="inlineStr">
        <is>
          <t>0.000010</t>
        </is>
      </c>
      <c r="E21" s="20" t="inlineStr">
        <is>
          <t>0.802 SOL</t>
        </is>
      </c>
      <c r="F21" s="20" t="inlineStr">
        <is>
          <t>0.737 SOL</t>
        </is>
      </c>
      <c r="G21" s="21" t="inlineStr">
        <is>
          <t>-0.065 SOL</t>
        </is>
      </c>
      <c r="H21" s="21" t="inlineStr">
        <is>
          <t>-8.09%</t>
        </is>
      </c>
      <c r="I21" s="20" t="inlineStr">
        <is>
          <t>N/A</t>
        </is>
      </c>
      <c r="J21" s="20" t="n">
        <v>1</v>
      </c>
      <c r="K21" s="20" t="n">
        <v>1</v>
      </c>
      <c r="L21" s="20" t="inlineStr">
        <is>
          <t>30.10.2024 04:58:24</t>
        </is>
      </c>
      <c r="M21" s="20" t="inlineStr">
        <is>
          <t>10 days</t>
        </is>
      </c>
      <c r="N21" s="20" t="inlineStr">
        <is>
          <t xml:space="preserve">         46K            46K            14K</t>
        </is>
      </c>
      <c r="O21" s="20" t="inlineStr">
        <is>
          <t>H2zb37x5nyW1yeCzVn2RecQFCdt8JK9ZioxqSNsFpump</t>
        </is>
      </c>
      <c r="P21" s="20">
        <f>HYPERLINK("https://photon-sol.tinyastro.io/en/lp/H2zb37x5nyW1yeCzVn2RecQFCdt8JK9ZioxqSNsFpump?handle=676050794bc1b1657a56b", "View")</f>
        <v/>
      </c>
    </row>
    <row r="22">
      <c r="A22" s="15" t="inlineStr">
        <is>
          <t>CATANA</t>
        </is>
      </c>
      <c r="B22" s="16" t="n">
        <v>110086</v>
      </c>
      <c r="C22" s="16" t="n">
        <v>500000</v>
      </c>
      <c r="D22" s="16" t="inlineStr">
        <is>
          <t>0.000020</t>
        </is>
      </c>
      <c r="E22" s="16" t="inlineStr">
        <is>
          <t>2.000 SOL</t>
        </is>
      </c>
      <c r="F22" s="16" t="inlineStr">
        <is>
          <t>21.111 SOL</t>
        </is>
      </c>
      <c r="G22" s="23" t="inlineStr">
        <is>
          <t>19.111 SOL</t>
        </is>
      </c>
      <c r="H22" s="23" t="inlineStr">
        <is>
          <t>955.56%</t>
        </is>
      </c>
      <c r="I22" s="16" t="inlineStr">
        <is>
          <t>N/A</t>
        </is>
      </c>
      <c r="J22" s="16" t="n">
        <v>1</v>
      </c>
      <c r="K22" s="16" t="n">
        <v>3</v>
      </c>
      <c r="L22" s="16" t="inlineStr">
        <is>
          <t>28.10.2024 12:35:46</t>
        </is>
      </c>
      <c r="M22" s="16" t="inlineStr">
        <is>
          <t>9 days</t>
        </is>
      </c>
      <c r="N22" s="16" t="inlineStr">
        <is>
          <t xml:space="preserve">          3M             3M            19M</t>
        </is>
      </c>
      <c r="O22" s="16" t="inlineStr">
        <is>
          <t>GmbC2HgWpHpq9SHnmEXZNT5e1zgcU9oASDqbAkGTpump</t>
        </is>
      </c>
      <c r="P22" s="16">
        <f>HYPERLINK("https://dexscreener.com/solana/GmbC2HgWpHpq9SHnmEXZNT5e1zgcU9oASDqbAkGTpump", "View")</f>
        <v/>
      </c>
    </row>
    <row r="23">
      <c r="A23" s="19" t="inlineStr">
        <is>
          <t>I-405</t>
        </is>
      </c>
      <c r="B23" s="20" t="n">
        <v>3382748</v>
      </c>
      <c r="C23" s="20" t="n">
        <v>0</v>
      </c>
      <c r="D23" s="20" t="inlineStr">
        <is>
          <t>0.000010</t>
        </is>
      </c>
      <c r="E23" s="20" t="inlineStr">
        <is>
          <t>1.708 SOL</t>
        </is>
      </c>
      <c r="F23" s="20" t="inlineStr">
        <is>
          <t>0.000 SOL</t>
        </is>
      </c>
      <c r="G23" s="17" t="inlineStr">
        <is>
          <t>-1.708 SOL</t>
        </is>
      </c>
      <c r="H23" s="17" t="inlineStr">
        <is>
          <t>0.00%</t>
        </is>
      </c>
      <c r="I23" s="20" t="inlineStr">
        <is>
          <t>3,382,748</t>
        </is>
      </c>
      <c r="J23" s="20" t="n">
        <v>1</v>
      </c>
      <c r="K23" s="20" t="n">
        <v>0</v>
      </c>
      <c r="L23" s="20" t="inlineStr">
        <is>
          <t>27.10.2024 22:46:43</t>
        </is>
      </c>
      <c r="M23" s="18" t="inlineStr">
        <is>
          <t>0 sec</t>
        </is>
      </c>
      <c r="N23" s="20" t="inlineStr">
        <is>
          <t xml:space="preserve">         90K            90K            36K</t>
        </is>
      </c>
      <c r="O23" s="20" t="inlineStr">
        <is>
          <t>82jE2mJaHvkUruxzkkyiVFSs2qWeHengLv6Qmycmpump</t>
        </is>
      </c>
      <c r="P23" s="20">
        <f>HYPERLINK("https://dexscreener.com/solana/82jE2mJaHvkUruxzkkyiVFSs2qWeHengLv6Qmycmpump", "View")</f>
        <v/>
      </c>
    </row>
    <row r="24">
      <c r="A24" s="15" t="inlineStr">
        <is>
          <t>BUU</t>
        </is>
      </c>
      <c r="B24" s="16" t="n">
        <v>9146713</v>
      </c>
      <c r="C24" s="16" t="n">
        <v>19111186</v>
      </c>
      <c r="D24" s="16" t="inlineStr">
        <is>
          <t>0.000040</t>
        </is>
      </c>
      <c r="E24" s="16" t="inlineStr">
        <is>
          <t>1.424 SOL</t>
        </is>
      </c>
      <c r="F24" s="16" t="inlineStr">
        <is>
          <t>30.505 SOL</t>
        </is>
      </c>
      <c r="G24" s="23" t="inlineStr">
        <is>
          <t>29.080 SOL</t>
        </is>
      </c>
      <c r="H24" s="23" t="inlineStr">
        <is>
          <t>2041.95%</t>
        </is>
      </c>
      <c r="I24" s="16" t="inlineStr">
        <is>
          <t>N/A</t>
        </is>
      </c>
      <c r="J24" s="16" t="n">
        <v>1</v>
      </c>
      <c r="K24" s="16" t="n">
        <v>6</v>
      </c>
      <c r="L24" s="16" t="inlineStr">
        <is>
          <t>26.10.2024 01:32:59</t>
        </is>
      </c>
      <c r="M24" s="16" t="inlineStr">
        <is>
          <t>13 days</t>
        </is>
      </c>
      <c r="N24" s="16" t="inlineStr">
        <is>
          <t xml:space="preserve">         28K            28K             1M</t>
        </is>
      </c>
      <c r="O24" s="16" t="inlineStr">
        <is>
          <t>28tVhteKZkzzWjrdHGXzxfm4SQkhrDrjLur9TYCDVULE</t>
        </is>
      </c>
      <c r="P24" s="16">
        <f>HYPERLINK("https://photon-sol.tinyastro.io/en/lp/28tVhteKZkzzWjrdHGXzxfm4SQkhrDrjLur9TYCDVULE?handle=676050794bc1b1657a56b", "View")</f>
        <v/>
      </c>
    </row>
    <row r="25">
      <c r="A25" s="19" t="inlineStr">
        <is>
          <t>ULTRA</t>
        </is>
      </c>
      <c r="B25" s="20" t="n">
        <v>1152165</v>
      </c>
      <c r="C25" s="20" t="n">
        <v>7200000</v>
      </c>
      <c r="D25" s="20" t="inlineStr">
        <is>
          <t>0.003670</t>
        </is>
      </c>
      <c r="E25" s="20" t="inlineStr">
        <is>
          <t>1.841 SOL</t>
        </is>
      </c>
      <c r="F25" s="20" t="inlineStr">
        <is>
          <t>13.214 SOL</t>
        </is>
      </c>
      <c r="G25" s="23" t="inlineStr">
        <is>
          <t>11.369 SOL</t>
        </is>
      </c>
      <c r="H25" s="23" t="inlineStr">
        <is>
          <t>616.28%</t>
        </is>
      </c>
      <c r="I25" s="20" t="inlineStr">
        <is>
          <t>N/A</t>
        </is>
      </c>
      <c r="J25" s="20" t="n">
        <v>1</v>
      </c>
      <c r="K25" s="20" t="n">
        <v>4</v>
      </c>
      <c r="L25" s="20" t="inlineStr">
        <is>
          <t>23.10.2024 13:45:14</t>
        </is>
      </c>
      <c r="M25" s="20" t="inlineStr">
        <is>
          <t>11 days</t>
        </is>
      </c>
      <c r="N25" s="20" t="inlineStr">
        <is>
          <t xml:space="preserve">         79K            87K            27K</t>
        </is>
      </c>
      <c r="O25" s="20" t="inlineStr">
        <is>
          <t>4fjeVNcWeg1FuPiJZLjcTQ6D6xAJT3Y2RL8pMc72HNMK</t>
        </is>
      </c>
      <c r="P25" s="20">
        <f>HYPERLINK("https://dexscreener.com/solana/4fjeVNcWeg1FuPiJZLjcTQ6D6xAJT3Y2RL8pMc72HNMK", "View")</f>
        <v/>
      </c>
    </row>
    <row r="26">
      <c r="A26" s="15" t="inlineStr">
        <is>
          <t>ton</t>
        </is>
      </c>
      <c r="B26" s="16" t="n">
        <v>7233195</v>
      </c>
      <c r="C26" s="16" t="n">
        <v>1397470</v>
      </c>
      <c r="D26" s="16" t="inlineStr">
        <is>
          <t>0.000070</t>
        </is>
      </c>
      <c r="E26" s="16" t="inlineStr">
        <is>
          <t>2.360 SOL</t>
        </is>
      </c>
      <c r="F26" s="16" t="inlineStr">
        <is>
          <t>4.436 SOL</t>
        </is>
      </c>
      <c r="G26" s="23" t="inlineStr">
        <is>
          <t>2.076 SOL</t>
        </is>
      </c>
      <c r="H26" s="23" t="inlineStr">
        <is>
          <t>87.95%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23.10.2024 02:26:29</t>
        </is>
      </c>
      <c r="M26" s="16" t="inlineStr">
        <is>
          <t>2 days</t>
        </is>
      </c>
      <c r="N26" s="16" t="inlineStr">
        <is>
          <t xml:space="preserve">         58K           557K            26K</t>
        </is>
      </c>
      <c r="O26" s="16" t="inlineStr">
        <is>
          <t>DQ9ecb5Pxgz9YTUBaB4PyhRkmM2jSK4P4j6kTZUFpump</t>
        </is>
      </c>
      <c r="P26" s="16">
        <f>HYPERLINK("https://dexscreener.com/solana/DQ9ecb5Pxgz9YTUBaB4PyhRkmM2jSK4P4j6kTZUFpump", "View")</f>
        <v/>
      </c>
    </row>
    <row r="27">
      <c r="A27" s="19" t="inlineStr">
        <is>
          <t>AI</t>
        </is>
      </c>
      <c r="B27" s="20" t="n">
        <v>10382122</v>
      </c>
      <c r="C27" s="20" t="n">
        <v>0</v>
      </c>
      <c r="D27" s="20" t="inlineStr">
        <is>
          <t>0.000010</t>
        </is>
      </c>
      <c r="E27" s="20" t="inlineStr">
        <is>
          <t>3.400 SOL</t>
        </is>
      </c>
      <c r="F27" s="20" t="inlineStr">
        <is>
          <t>0.000 SOL</t>
        </is>
      </c>
      <c r="G27" s="17" t="inlineStr">
        <is>
          <t>-3.400 SOL</t>
        </is>
      </c>
      <c r="H27" s="17" t="inlineStr">
        <is>
          <t>0.00%</t>
        </is>
      </c>
      <c r="I27" s="20" t="inlineStr">
        <is>
          <t>10,382,122</t>
        </is>
      </c>
      <c r="J27" s="20" t="n">
        <v>2</v>
      </c>
      <c r="K27" s="20" t="n">
        <v>0</v>
      </c>
      <c r="L27" s="20" t="inlineStr">
        <is>
          <t>21.10.2024 10:19:08</t>
        </is>
      </c>
      <c r="M27" s="20" t="inlineStr">
        <is>
          <t>19 min</t>
        </is>
      </c>
      <c r="N27" s="20" t="inlineStr">
        <is>
          <t xml:space="preserve">         61K            56K            11K</t>
        </is>
      </c>
      <c r="O27" s="20" t="inlineStr">
        <is>
          <t>CZGP1EJUjPRSf3sB8MqoEbUrADHxG3ad6s7iAC7d1ao5</t>
        </is>
      </c>
      <c r="P27" s="20">
        <f>HYPERLINK("https://dexscreener.com/solana/CZGP1EJUjPRSf3sB8MqoEbUrADHxG3ad6s7iAC7d1ao5", "View")</f>
        <v/>
      </c>
    </row>
    <row r="28">
      <c r="A28" s="15" t="inlineStr">
        <is>
          <t>FR</t>
        </is>
      </c>
      <c r="B28" s="16" t="n">
        <v>13840493</v>
      </c>
      <c r="C28" s="16" t="n">
        <v>1713772</v>
      </c>
      <c r="D28" s="16" t="inlineStr">
        <is>
          <t>0.000010</t>
        </is>
      </c>
      <c r="E28" s="16" t="inlineStr">
        <is>
          <t>2.908 SOL</t>
        </is>
      </c>
      <c r="F28" s="16" t="inlineStr">
        <is>
          <t>3.982 SOL</t>
        </is>
      </c>
      <c r="G28" s="22" t="inlineStr">
        <is>
          <t>1.075 SOL</t>
        </is>
      </c>
      <c r="H28" s="22" t="inlineStr">
        <is>
          <t>36.96%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19.10.2024 07:20:53</t>
        </is>
      </c>
      <c r="M28" s="16" t="inlineStr">
        <is>
          <t>1 days</t>
        </is>
      </c>
      <c r="N28" s="16" t="inlineStr">
        <is>
          <t xml:space="preserve">        146K             2M           495K</t>
        </is>
      </c>
      <c r="O28" s="16" t="inlineStr">
        <is>
          <t>4aU642ras3Dnaddk44hjUTNUSM7hpgeMdeUj2sexiZkK</t>
        </is>
      </c>
      <c r="P28" s="16">
        <f>HYPERLINK("https://dexscreener.com/solana/4aU642ras3Dnaddk44hjUTNUSM7hpgeMdeUj2sexiZkK", "View")</f>
        <v/>
      </c>
    </row>
    <row r="29">
      <c r="A29" s="19" t="inlineStr">
        <is>
          <t>ORB</t>
        </is>
      </c>
      <c r="B29" s="20" t="n">
        <v>12559548</v>
      </c>
      <c r="C29" s="20" t="n">
        <v>11361787</v>
      </c>
      <c r="D29" s="20" t="inlineStr">
        <is>
          <t>0.000010</t>
        </is>
      </c>
      <c r="E29" s="20" t="inlineStr">
        <is>
          <t>0.902 SOL</t>
        </is>
      </c>
      <c r="F29" s="20" t="inlineStr">
        <is>
          <t>1.414 SOL</t>
        </is>
      </c>
      <c r="G29" s="23" t="inlineStr">
        <is>
          <t>0.512 SOL</t>
        </is>
      </c>
      <c r="H29" s="23" t="inlineStr">
        <is>
          <t>56.80%</t>
        </is>
      </c>
      <c r="I29" s="20" t="inlineStr">
        <is>
          <t>N/A</t>
        </is>
      </c>
      <c r="J29" s="20" t="n">
        <v>1</v>
      </c>
      <c r="K29" s="20" t="n">
        <v>1</v>
      </c>
      <c r="L29" s="20" t="inlineStr">
        <is>
          <t>19.10.2024 07:17:33</t>
        </is>
      </c>
      <c r="M29" s="20" t="inlineStr">
        <is>
          <t>7 hours</t>
        </is>
      </c>
      <c r="N29" s="20" t="inlineStr">
        <is>
          <t xml:space="preserve">         12K            12K             5K</t>
        </is>
      </c>
      <c r="O29" s="20" t="inlineStr">
        <is>
          <t>FYDiqvzkdo1crshRQ9NSw2pXX9dNwJr77m7ootG5pump</t>
        </is>
      </c>
      <c r="P29" s="20">
        <f>HYPERLINK("https://photon-sol.tinyastro.io/en/lp/FYDiqvzkdo1crshRQ9NSw2pXX9dNwJr77m7ootG5pump?handle=676050794bc1b1657a56b", "View")</f>
        <v/>
      </c>
    </row>
    <row r="30">
      <c r="A30" s="15" t="inlineStr">
        <is>
          <t>oCAT</t>
        </is>
      </c>
      <c r="B30" s="16" t="n">
        <v>1077922</v>
      </c>
      <c r="C30" s="16" t="n">
        <v>2082847</v>
      </c>
      <c r="D30" s="16" t="inlineStr">
        <is>
          <t>0.000020</t>
        </is>
      </c>
      <c r="E30" s="16" t="inlineStr">
        <is>
          <t>0.700 SOL</t>
        </is>
      </c>
      <c r="F30" s="16" t="inlineStr">
        <is>
          <t>2.020 SOL</t>
        </is>
      </c>
      <c r="G30" s="23" t="inlineStr">
        <is>
          <t>1.320 SOL</t>
        </is>
      </c>
      <c r="H30" s="23" t="inlineStr">
        <is>
          <t>188.50%</t>
        </is>
      </c>
      <c r="I30" s="16" t="inlineStr">
        <is>
          <t>N/A</t>
        </is>
      </c>
      <c r="J30" s="16" t="n">
        <v>1</v>
      </c>
      <c r="K30" s="16" t="n">
        <v>2</v>
      </c>
      <c r="L30" s="16" t="inlineStr">
        <is>
          <t>18.10.2024 23:00:40</t>
        </is>
      </c>
      <c r="M30" s="16" t="inlineStr">
        <is>
          <t>11 hours</t>
        </is>
      </c>
      <c r="N30" s="16" t="inlineStr">
        <is>
          <t xml:space="preserve">        114K           256K             7K</t>
        </is>
      </c>
      <c r="O30" s="16" t="inlineStr">
        <is>
          <t>8GoqNAmJB61CYFnuq9rLXpbBomNrZcw1HArceUmFpump</t>
        </is>
      </c>
      <c r="P30" s="16">
        <f>HYPERLINK("https://dexscreener.com/solana/8GoqNAmJB61CYFnuq9rLXpbBomNrZcw1HArceUmFpump", "View")</f>
        <v/>
      </c>
    </row>
    <row r="31">
      <c r="A31" s="19" t="inlineStr">
        <is>
          <t>FERAL</t>
        </is>
      </c>
      <c r="B31" s="20" t="n">
        <v>1021170</v>
      </c>
      <c r="C31" s="20" t="n">
        <v>0</v>
      </c>
      <c r="D31" s="20" t="inlineStr">
        <is>
          <t>0.000010</t>
        </is>
      </c>
      <c r="E31" s="20" t="inlineStr">
        <is>
          <t>2.000 SOL</t>
        </is>
      </c>
      <c r="F31" s="20" t="inlineStr">
        <is>
          <t>0.000 SOL</t>
        </is>
      </c>
      <c r="G31" s="17" t="inlineStr">
        <is>
          <t>-2.000 SOL</t>
        </is>
      </c>
      <c r="H31" s="17" t="inlineStr">
        <is>
          <t>0.00%</t>
        </is>
      </c>
      <c r="I31" s="20" t="inlineStr">
        <is>
          <t>1,021,170</t>
        </is>
      </c>
      <c r="J31" s="20" t="n">
        <v>1</v>
      </c>
      <c r="K31" s="20" t="n">
        <v>0</v>
      </c>
      <c r="L31" s="20" t="inlineStr">
        <is>
          <t>18.10.2024 07:33:01</t>
        </is>
      </c>
      <c r="M31" s="18" t="inlineStr">
        <is>
          <t>0 sec</t>
        </is>
      </c>
      <c r="N31" s="20" t="inlineStr">
        <is>
          <t xml:space="preserve">        344K           344K           466K</t>
        </is>
      </c>
      <c r="O31" s="20" t="inlineStr">
        <is>
          <t>CJvntLDFY1bQCcc2Y8u5BwcqZJuHfcLs3cFnizp4pump</t>
        </is>
      </c>
      <c r="P31" s="20">
        <f>HYPERLINK("https://dexscreener.com/solana/CJvntLDFY1bQCcc2Y8u5BwcqZJuHfcLs3cFnizp4pump", "View")</f>
        <v/>
      </c>
    </row>
    <row r="32">
      <c r="A32" s="15" t="inlineStr">
        <is>
          <t>QuantAI</t>
        </is>
      </c>
      <c r="B32" s="16" t="n">
        <v>2967634</v>
      </c>
      <c r="C32" s="16" t="n">
        <v>0</v>
      </c>
      <c r="D32" s="16" t="inlineStr">
        <is>
          <t>0.000010</t>
        </is>
      </c>
      <c r="E32" s="16" t="inlineStr">
        <is>
          <t>1.000 SOL</t>
        </is>
      </c>
      <c r="F32" s="16" t="inlineStr">
        <is>
          <t>0.000 SOL</t>
        </is>
      </c>
      <c r="G32" s="17" t="inlineStr">
        <is>
          <t>-1.000 SOL</t>
        </is>
      </c>
      <c r="H32" s="17" t="inlineStr">
        <is>
          <t>0.00%</t>
        </is>
      </c>
      <c r="I32" s="16" t="inlineStr">
        <is>
          <t>2,967,634</t>
        </is>
      </c>
      <c r="J32" s="16" t="n">
        <v>1</v>
      </c>
      <c r="K32" s="16" t="n">
        <v>0</v>
      </c>
      <c r="L32" s="16" t="inlineStr">
        <is>
          <t>18.10.2024 06:31:01</t>
        </is>
      </c>
      <c r="M32" s="18" t="inlineStr">
        <is>
          <t>0 sec</t>
        </is>
      </c>
      <c r="N32" s="16" t="inlineStr">
        <is>
          <t xml:space="preserve">         60K            60K             3K</t>
        </is>
      </c>
      <c r="O32" s="16" t="inlineStr">
        <is>
          <t>8pTHa8DWFKKU2Xus34k8qBUiSfo5NwWBQw7fzyDqpump</t>
        </is>
      </c>
      <c r="P32" s="16">
        <f>HYPERLINK("https://dexscreener.com/solana/8pTHa8DWFKKU2Xus34k8qBUiSfo5NwWBQw7fzyDqpump", "View")</f>
        <v/>
      </c>
    </row>
    <row r="33">
      <c r="A33" s="19" t="inlineStr">
        <is>
          <t>ECHO</t>
        </is>
      </c>
      <c r="B33" s="20" t="n">
        <v>46070149</v>
      </c>
      <c r="C33" s="20" t="n">
        <v>11549154</v>
      </c>
      <c r="D33" s="20" t="inlineStr">
        <is>
          <t>0.000020</t>
        </is>
      </c>
      <c r="E33" s="20" t="inlineStr">
        <is>
          <t>9.000 SOL</t>
        </is>
      </c>
      <c r="F33" s="20" t="inlineStr">
        <is>
          <t>0.969 SOL</t>
        </is>
      </c>
      <c r="G33" s="24" t="inlineStr">
        <is>
          <t>-8.031 SOL</t>
        </is>
      </c>
      <c r="H33" s="24" t="inlineStr">
        <is>
          <t>-89.24%</t>
        </is>
      </c>
      <c r="I33" s="20" t="inlineStr">
        <is>
          <t>N/A</t>
        </is>
      </c>
      <c r="J33" s="20" t="n">
        <v>2</v>
      </c>
      <c r="K33" s="20" t="n">
        <v>1</v>
      </c>
      <c r="L33" s="20" t="inlineStr">
        <is>
          <t>18.10.2024 03:19:10</t>
        </is>
      </c>
      <c r="M33" s="20" t="inlineStr">
        <is>
          <t>2 days</t>
        </is>
      </c>
      <c r="N33" s="20" t="inlineStr">
        <is>
          <t xml:space="preserve">         12K            44K            11K</t>
        </is>
      </c>
      <c r="O33" s="20" t="inlineStr">
        <is>
          <t>4hfQJDxMFaBsHjwUd5kKsLTdvJuAqWyvuT5pUQrEpump</t>
        </is>
      </c>
      <c r="P33" s="20">
        <f>HYPERLINK("https://dexscreener.com/solana/4hfQJDxMFaBsHjwUd5kKsLTdvJuAqWyvuT5pUQrEpump", "View")</f>
        <v/>
      </c>
    </row>
    <row r="34">
      <c r="A34" s="15" t="inlineStr">
        <is>
          <t>HENRY</t>
        </is>
      </c>
      <c r="B34" s="16" t="n">
        <v>993579</v>
      </c>
      <c r="C34" s="16" t="n">
        <v>7087543</v>
      </c>
      <c r="D34" s="16" t="inlineStr">
        <is>
          <t>0.000010</t>
        </is>
      </c>
      <c r="E34" s="16" t="inlineStr">
        <is>
          <t>1.080 SOL</t>
        </is>
      </c>
      <c r="F34" s="16" t="inlineStr">
        <is>
          <t>3.828 SOL</t>
        </is>
      </c>
      <c r="G34" s="23" t="inlineStr">
        <is>
          <t>2.749 SOL</t>
        </is>
      </c>
      <c r="H34" s="23" t="inlineStr">
        <is>
          <t>254.60%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17.10.2024 12:28:41</t>
        </is>
      </c>
      <c r="M34" s="16" t="inlineStr">
        <is>
          <t>1 hours</t>
        </is>
      </c>
      <c r="N34" s="16" t="inlineStr">
        <is>
          <t xml:space="preserve">        191K            95K             8K</t>
        </is>
      </c>
      <c r="O34" s="16" t="inlineStr">
        <is>
          <t>22xFvyBVYwaVLHkYv1u6qmJ864LMrx89JiLZ6YXXpump</t>
        </is>
      </c>
      <c r="P34" s="16">
        <f>HYPERLINK("https://photon-sol.tinyastro.io/en/lp/22xFvyBVYwaVLHkYv1u6qmJ864LMrx89JiLZ6YXXpump?handle=676050794bc1b1657a56b", "View")</f>
        <v/>
      </c>
    </row>
    <row r="35">
      <c r="A35" s="19" t="inlineStr">
        <is>
          <t>terminal</t>
        </is>
      </c>
      <c r="B35" s="20" t="n">
        <v>4262262</v>
      </c>
      <c r="C35" s="20" t="n">
        <v>398291</v>
      </c>
      <c r="D35" s="20" t="inlineStr">
        <is>
          <t>0.000010</t>
        </is>
      </c>
      <c r="E35" s="20" t="inlineStr">
        <is>
          <t>2.549 SOL</t>
        </is>
      </c>
      <c r="F35" s="20" t="inlineStr">
        <is>
          <t>1.779 SOL</t>
        </is>
      </c>
      <c r="G35" s="21" t="inlineStr">
        <is>
          <t>-0.771 SOL</t>
        </is>
      </c>
      <c r="H35" s="21" t="inlineStr">
        <is>
          <t>-30.22%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16.10.2024 23:17:18</t>
        </is>
      </c>
      <c r="M35" s="20" t="inlineStr">
        <is>
          <t>2 days</t>
        </is>
      </c>
      <c r="N35" s="20" t="inlineStr">
        <is>
          <t xml:space="preserve">        105K           785K             9M</t>
        </is>
      </c>
      <c r="O35" s="20" t="inlineStr">
        <is>
          <t>A8rnTyqWyM6bPYqFTxA37YcwwXdQARP9AeL1XznQpump</t>
        </is>
      </c>
      <c r="P35" s="20">
        <f>HYPERLINK("https://dexscreener.com/solana/A8rnTyqWyM6bPYqFTxA37YcwwXdQARP9AeL1XznQpump", "View")</f>
        <v/>
      </c>
    </row>
    <row r="36">
      <c r="A36" s="15" t="inlineStr">
        <is>
          <t>TRUST</t>
        </is>
      </c>
      <c r="B36" s="16" t="n">
        <v>1455510</v>
      </c>
      <c r="C36" s="16" t="n">
        <v>1455510</v>
      </c>
      <c r="D36" s="16" t="inlineStr">
        <is>
          <t>0.000010</t>
        </is>
      </c>
      <c r="E36" s="16" t="inlineStr">
        <is>
          <t>1.756 SOL</t>
        </is>
      </c>
      <c r="F36" s="16" t="inlineStr">
        <is>
          <t>1.876 SOL</t>
        </is>
      </c>
      <c r="G36" s="22" t="inlineStr">
        <is>
          <t>0.120 SOL</t>
        </is>
      </c>
      <c r="H36" s="22" t="inlineStr">
        <is>
          <t>6.84%</t>
        </is>
      </c>
      <c r="I36" s="16" t="inlineStr">
        <is>
          <t>N/A</t>
        </is>
      </c>
      <c r="J36" s="16" t="n">
        <v>1</v>
      </c>
      <c r="K36" s="16" t="n">
        <v>1</v>
      </c>
      <c r="L36" s="16" t="inlineStr">
        <is>
          <t>14.10.2024 22:40:17</t>
        </is>
      </c>
      <c r="M36" s="16" t="inlineStr">
        <is>
          <t>2 hours</t>
        </is>
      </c>
      <c r="N36" s="16" t="inlineStr">
        <is>
          <t xml:space="preserve">        212K           226K            87K</t>
        </is>
      </c>
      <c r="O36" s="16" t="inlineStr">
        <is>
          <t>jNw3UW47CkLwmrF4gQzD6GrW7DhnJVBr6H3hZZBpump</t>
        </is>
      </c>
      <c r="P36" s="16">
        <f>HYPERLINK("https://dexscreener.com/solana/jNw3UW47CkLwmrF4gQzD6GrW7DhnJVBr6H3hZZBpump", "View")</f>
        <v/>
      </c>
    </row>
    <row r="37">
      <c r="A37" s="19" t="inlineStr">
        <is>
          <t>YRUGAY</t>
        </is>
      </c>
      <c r="B37" s="20" t="n">
        <v>4980459</v>
      </c>
      <c r="C37" s="20" t="n">
        <v>400000</v>
      </c>
      <c r="D37" s="20" t="inlineStr">
        <is>
          <t>0.000010</t>
        </is>
      </c>
      <c r="E37" s="20" t="inlineStr">
        <is>
          <t>6.147 SOL</t>
        </is>
      </c>
      <c r="F37" s="20" t="inlineStr">
        <is>
          <t>0.998 SOL</t>
        </is>
      </c>
      <c r="G37" s="24" t="inlineStr">
        <is>
          <t>-5.149 SOL</t>
        </is>
      </c>
      <c r="H37" s="24" t="inlineStr">
        <is>
          <t>-83.77%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10.10.2024 08:19:49</t>
        </is>
      </c>
      <c r="M37" s="20" t="inlineStr">
        <is>
          <t>6 hours</t>
        </is>
      </c>
      <c r="N37" s="20" t="inlineStr">
        <is>
          <t xml:space="preserve">        216K           437K           115K</t>
        </is>
      </c>
      <c r="O37" s="20" t="inlineStr">
        <is>
          <t>Gx3jYBPFCKzDZmg466yHtEuCXKUpYuXTUWFwq9etpump</t>
        </is>
      </c>
      <c r="P37" s="20">
        <f>HYPERLINK("https://dexscreener.com/solana/Gx3jYBPFCKzDZmg466yHtEuCXKUpYuXTUWFwq9etpump", "View")</f>
        <v/>
      </c>
    </row>
    <row r="38">
      <c r="A38" s="15" t="inlineStr">
        <is>
          <t>fomo3d.fun</t>
        </is>
      </c>
      <c r="B38" s="16" t="n">
        <v>38900932</v>
      </c>
      <c r="C38" s="16" t="n">
        <v>4893352</v>
      </c>
      <c r="D38" s="16" t="inlineStr">
        <is>
          <t>0.000120</t>
        </is>
      </c>
      <c r="E38" s="16" t="inlineStr">
        <is>
          <t>13.824 SOL</t>
        </is>
      </c>
      <c r="F38" s="16" t="inlineStr">
        <is>
          <t>11.935 SOL</t>
        </is>
      </c>
      <c r="G38" s="21" t="inlineStr">
        <is>
          <t>-1.889 SOL</t>
        </is>
      </c>
      <c r="H38" s="21" t="inlineStr">
        <is>
          <t>-13.67%</t>
        </is>
      </c>
      <c r="I38" s="16" t="inlineStr">
        <is>
          <t>N/A</t>
        </is>
      </c>
      <c r="J38" s="16" t="n">
        <v>2</v>
      </c>
      <c r="K38" s="16" t="n">
        <v>6</v>
      </c>
      <c r="L38" s="16" t="inlineStr">
        <is>
          <t>09.10.2024 13:33:32</t>
        </is>
      </c>
      <c r="M38" s="16" t="inlineStr">
        <is>
          <t>1 months</t>
        </is>
      </c>
      <c r="N38" s="16" t="inlineStr">
        <is>
          <t xml:space="preserve">        244K            21K             8M</t>
        </is>
      </c>
      <c r="O38" s="16" t="inlineStr">
        <is>
          <t>BQpGv6LVWG1JRm1NdjerNSFdChMdAULJr3x9t2Swpump</t>
        </is>
      </c>
      <c r="P38" s="16">
        <f>HYPERLINK("https://dexscreener.com/solana/BQpGv6LVWG1JRm1NdjerNSFdChMdAULJr3x9t2Swpump", "View")</f>
        <v/>
      </c>
    </row>
    <row r="39">
      <c r="A39" s="19" t="inlineStr">
        <is>
          <t>PSL</t>
        </is>
      </c>
      <c r="B39" s="20" t="n">
        <v>7653681</v>
      </c>
      <c r="C39" s="20" t="n">
        <v>0</v>
      </c>
      <c r="D39" s="20" t="inlineStr">
        <is>
          <t>0.000050</t>
        </is>
      </c>
      <c r="E39" s="20" t="inlineStr">
        <is>
          <t>0.516 SOL</t>
        </is>
      </c>
      <c r="F39" s="20" t="inlineStr">
        <is>
          <t>0.000 SOL</t>
        </is>
      </c>
      <c r="G39" s="17" t="inlineStr">
        <is>
          <t>-0.516 SOL</t>
        </is>
      </c>
      <c r="H39" s="17" t="inlineStr">
        <is>
          <t>0.00%</t>
        </is>
      </c>
      <c r="I39" s="20" t="inlineStr">
        <is>
          <t>7,653,681</t>
        </is>
      </c>
      <c r="J39" s="20" t="n">
        <v>1</v>
      </c>
      <c r="K39" s="20" t="n">
        <v>0</v>
      </c>
      <c r="L39" s="20" t="inlineStr">
        <is>
          <t>07.09.2024 10:53:47</t>
        </is>
      </c>
      <c r="M39" s="18" t="inlineStr">
        <is>
          <t>0 sec</t>
        </is>
      </c>
      <c r="N39" s="20" t="inlineStr">
        <is>
          <t xml:space="preserve">         12K            12K            32K</t>
        </is>
      </c>
      <c r="O39" s="20" t="inlineStr">
        <is>
          <t>78XLqFvnRAAsjPEFVMfzBeMy1qkxbzNRrWtLuivP6VVX</t>
        </is>
      </c>
      <c r="P39" s="20">
        <f>HYPERLINK("https://photon-sol.tinyastro.io/en/lp/78XLqFvnRAAsjPEFVMfzBeMy1qkxbzNRrWtLuivP6VVX?handle=676050794bc1b1657a56b", "View")</f>
        <v/>
      </c>
    </row>
    <row r="40">
      <c r="A40" s="15" t="inlineStr">
        <is>
          <t>WORK</t>
        </is>
      </c>
      <c r="B40" s="16" t="n">
        <v>8697285</v>
      </c>
      <c r="C40" s="16" t="n">
        <v>399843</v>
      </c>
      <c r="D40" s="16" t="inlineStr">
        <is>
          <t>0.001400</t>
        </is>
      </c>
      <c r="E40" s="16" t="inlineStr">
        <is>
          <t>0.805 SOL</t>
        </is>
      </c>
      <c r="F40" s="16" t="inlineStr">
        <is>
          <t>4.482 SOL</t>
        </is>
      </c>
      <c r="G40" s="23" t="inlineStr">
        <is>
          <t>3.675 SOL</t>
        </is>
      </c>
      <c r="H40" s="23" t="inlineStr">
        <is>
          <t>455.57%</t>
        </is>
      </c>
      <c r="I40" s="16" t="inlineStr">
        <is>
          <t>N/A</t>
        </is>
      </c>
      <c r="J40" s="16" t="n">
        <v>1</v>
      </c>
      <c r="K40" s="16" t="n">
        <v>2</v>
      </c>
      <c r="L40" s="16" t="inlineStr">
        <is>
          <t>06.09.2024 04:03:47</t>
        </is>
      </c>
      <c r="M40" s="16" t="inlineStr">
        <is>
          <t>1 days</t>
        </is>
      </c>
      <c r="N40" s="16" t="inlineStr">
        <is>
          <t xml:space="preserve">         16K             2M             1M</t>
        </is>
      </c>
      <c r="O40" s="16" t="inlineStr">
        <is>
          <t>F7Hwf8ib5DVCoiuyGr618Y3gon429Rnd1r5F9R5upump</t>
        </is>
      </c>
      <c r="P40" s="16">
        <f>HYPERLINK("https://photon-sol.tinyastro.io/en/lp/F7Hwf8ib5DVCoiuyGr618Y3gon429Rnd1r5F9R5upump?handle=676050794bc1b1657a56b", "View")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HYPERLINK("https://gmgn.ai/sol/address/HvTryrVpsizutDPadRkRGo323oS8mzsP2kQD4mWHX5br", "GMGN")</f>
        <v/>
      </c>
    </row>
    <row r="2">
      <c r="A2" s="3" t="inlineStr">
        <is>
          <t>HvTryrVpsizutDPadRkRGo323oS8mzsP2kQD4mWHX5br</t>
        </is>
      </c>
      <c r="B2" s="3" t="inlineStr">
        <is>
          <t>13.49 SOL</t>
        </is>
      </c>
      <c r="C2" s="3" t="inlineStr">
        <is>
          <t>89%</t>
        </is>
      </c>
      <c r="D2" s="3" t="inlineStr">
        <is>
          <t>67%</t>
        </is>
      </c>
      <c r="E2" s="3" t="inlineStr">
        <is>
          <t>14.11 SOL</t>
        </is>
      </c>
      <c r="F2" s="3" t="inlineStr">
        <is>
          <t>0 (0%)</t>
        </is>
      </c>
      <c r="G2" s="3" t="inlineStr">
        <is>
          <t>0 (0%)</t>
        </is>
      </c>
      <c r="H2" s="3" t="n">
        <v>18</v>
      </c>
      <c r="I2" s="3" t="n">
        <v>0</v>
      </c>
      <c r="J2" s="3" t="inlineStr">
        <is>
          <t>2 days</t>
        </is>
      </c>
      <c r="K2" s="3" t="inlineStr">
        <is>
          <t>3 min</t>
        </is>
      </c>
      <c r="L2" s="3" t="n">
        <v>16</v>
      </c>
      <c r="M2" s="3" t="n">
        <v>18</v>
      </c>
      <c r="N2" s="3">
        <f>HYPERLINK("https://solscan.io/account/HvTryrVpsizutDPadRkRGo323oS8mzsP2kQD4mWHX5br", "Solscan")</f>
        <v/>
      </c>
    </row>
    <row r="3">
      <c r="A3" s="6" t="inlineStr">
        <is>
          <t>Median ROI</t>
        </is>
      </c>
      <c r="B3" s="4" t="inlineStr">
        <is>
          <t>47.40%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HYPERLINK("https://birdeye.so/profile/HvTryrVpsizutDPadRkRGo323oS8mzsP2kQD4mWHX5br", "Birdeye")</f>
        <v/>
      </c>
    </row>
    <row r="4">
      <c r="A4" s="6" t="inlineStr">
        <is>
          <t>Rockets percent</t>
        </is>
      </c>
      <c r="B4" s="3" t="inlineStr">
        <is>
          <t>17%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3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0</v>
      </c>
      <c r="C10" s="6" t="n">
        <v>3</v>
      </c>
      <c r="D10" s="6" t="n">
        <v>6</v>
      </c>
      <c r="E10" s="6" t="n">
        <v>7</v>
      </c>
      <c r="F10" s="6" t="n">
        <v>1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0.0%</t>
        </is>
      </c>
      <c r="C11" s="6" t="inlineStr">
        <is>
          <t>16.7%</t>
        </is>
      </c>
      <c r="D11" s="6" t="inlineStr">
        <is>
          <t>33.3%</t>
        </is>
      </c>
      <c r="E11" s="6" t="inlineStr">
        <is>
          <t>38.9%</t>
        </is>
      </c>
      <c r="F11" s="6" t="inlineStr">
        <is>
          <t>5.6%</t>
        </is>
      </c>
      <c r="G11" s="6" t="inlineStr">
        <is>
          <t>5.6%</t>
        </is>
      </c>
      <c r="H11" s="3" t="n"/>
      <c r="I11" s="3" t="inlineStr">
        <is>
          <t>5k-30k</t>
        </is>
      </c>
      <c r="J11" s="3" t="inlineStr">
        <is>
          <t>16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0.0 SOL</t>
        </is>
      </c>
      <c r="C12" s="6" t="inlineStr">
        <is>
          <t>8.1 SOL</t>
        </is>
      </c>
      <c r="D12" s="6" t="inlineStr">
        <is>
          <t>4.7 SOL</t>
        </is>
      </c>
      <c r="E12" s="6" t="inlineStr">
        <is>
          <t>1.4 SOL</t>
        </is>
      </c>
      <c r="F12" s="6" t="inlineStr">
        <is>
          <t>-0.0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1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7.0K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ghost</t>
        </is>
      </c>
      <c r="B20" s="16" t="n">
        <v>45867746</v>
      </c>
      <c r="C20" s="16" t="n">
        <v>45867746</v>
      </c>
      <c r="D20" s="16" t="inlineStr">
        <is>
          <t>0.010520</t>
        </is>
      </c>
      <c r="E20" s="16" t="inlineStr">
        <is>
          <t>1.539 SOL</t>
        </is>
      </c>
      <c r="F20" s="16" t="inlineStr">
        <is>
          <t>1.812 SOL</t>
        </is>
      </c>
      <c r="G20" s="22" t="inlineStr">
        <is>
          <t>0.263 SOL</t>
        </is>
      </c>
      <c r="H20" s="22" t="inlineStr">
        <is>
          <t>16.95%</t>
        </is>
      </c>
      <c r="I20" s="16" t="inlineStr">
        <is>
          <t>N/A</t>
        </is>
      </c>
      <c r="J20" s="16" t="n">
        <v>1</v>
      </c>
      <c r="K20" s="16" t="n">
        <v>2</v>
      </c>
      <c r="L20" s="16" t="inlineStr">
        <is>
          <t>30.10.2024 21:30:02</t>
        </is>
      </c>
      <c r="M20" s="16" t="inlineStr">
        <is>
          <t>15 min</t>
        </is>
      </c>
      <c r="N20" s="16" t="inlineStr">
        <is>
          <t xml:space="preserve">          5K             5K             6K</t>
        </is>
      </c>
      <c r="O20" s="16" t="inlineStr">
        <is>
          <t>CqMja5ApPjpwx5tSM5AvB42D9GcpxdAVzYNxAJjNpump</t>
        </is>
      </c>
      <c r="P20" s="16">
        <f>HYPERLINK("https://photon-sol.tinyastro.io/en/lp/CqMja5ApPjpwx5tSM5AvB42D9GcpxdAVzYNxAJjNpump?handle=676050794bc1b1657a56b", "View")</f>
        <v/>
      </c>
    </row>
    <row r="21">
      <c r="A21" s="19" t="inlineStr">
        <is>
          <t>Feast</t>
        </is>
      </c>
      <c r="B21" s="20" t="n">
        <v>45513505</v>
      </c>
      <c r="C21" s="20" t="n">
        <v>45513505</v>
      </c>
      <c r="D21" s="20" t="inlineStr">
        <is>
          <t>0.010520</t>
        </is>
      </c>
      <c r="E21" s="20" t="inlineStr">
        <is>
          <t>1.922 SOL</t>
        </is>
      </c>
      <c r="F21" s="20" t="inlineStr">
        <is>
          <t>3.025 SOL</t>
        </is>
      </c>
      <c r="G21" s="23" t="inlineStr">
        <is>
          <t>1.093 SOL</t>
        </is>
      </c>
      <c r="H21" s="23" t="inlineStr">
        <is>
          <t>56.56%</t>
        </is>
      </c>
      <c r="I21" s="20" t="inlineStr">
        <is>
          <t>N/A</t>
        </is>
      </c>
      <c r="J21" s="20" t="n">
        <v>1</v>
      </c>
      <c r="K21" s="20" t="n">
        <v>2</v>
      </c>
      <c r="L21" s="20" t="inlineStr">
        <is>
          <t>30.10.2024 13:39:22</t>
        </is>
      </c>
      <c r="M21" s="20" t="inlineStr">
        <is>
          <t>12 min</t>
        </is>
      </c>
      <c r="N21" s="20" t="inlineStr">
        <is>
          <t xml:space="preserve">          7K            12K             5K</t>
        </is>
      </c>
      <c r="O21" s="20" t="inlineStr">
        <is>
          <t>5Ei4PUvVHctAQD3PwDR1ckZcf4q2c6FjBQhjVcghpump</t>
        </is>
      </c>
      <c r="P21" s="20">
        <f>HYPERLINK("https://photon-sol.tinyastro.io/en/lp/5Ei4PUvVHctAQD3PwDR1ckZcf4q2c6FjBQhjVcghpump?handle=676050794bc1b1657a56b", "View")</f>
        <v/>
      </c>
    </row>
    <row r="22">
      <c r="A22" s="15" t="inlineStr">
        <is>
          <t>WYR</t>
        </is>
      </c>
      <c r="B22" s="16" t="n">
        <v>709156</v>
      </c>
      <c r="C22" s="16" t="n">
        <v>709156</v>
      </c>
      <c r="D22" s="16" t="inlineStr">
        <is>
          <t>0.015510</t>
        </is>
      </c>
      <c r="E22" s="16" t="inlineStr">
        <is>
          <t>0.200 SOL</t>
        </is>
      </c>
      <c r="F22" s="16" t="inlineStr">
        <is>
          <t>0.097 SOL</t>
        </is>
      </c>
      <c r="G22" s="24" t="inlineStr">
        <is>
          <t>-0.119 SOL</t>
        </is>
      </c>
      <c r="H22" s="24" t="inlineStr">
        <is>
          <t>-55.14%</t>
        </is>
      </c>
      <c r="I22" s="16" t="inlineStr">
        <is>
          <t>N/A</t>
        </is>
      </c>
      <c r="J22" s="16" t="n">
        <v>1</v>
      </c>
      <c r="K22" s="16" t="n">
        <v>1</v>
      </c>
      <c r="L22" s="16" t="inlineStr">
        <is>
          <t>30.10.2024 13:20:21</t>
        </is>
      </c>
      <c r="M22" s="16" t="inlineStr">
        <is>
          <t>3 hours</t>
        </is>
      </c>
      <c r="N22" s="16" t="inlineStr">
        <is>
          <t xml:space="preserve">         49K            49K            11K</t>
        </is>
      </c>
      <c r="O22" s="16" t="inlineStr">
        <is>
          <t>7595tbPqDXijgZ3q2raR9aS311agcokwAJ21aczVpump</t>
        </is>
      </c>
      <c r="P22" s="16">
        <f>HYPERLINK("https://dexscreener.com/solana/7595tbPqDXijgZ3q2raR9aS311agcokwAJ21aczVpump", "View")</f>
        <v/>
      </c>
    </row>
    <row r="23">
      <c r="A23" s="19" t="inlineStr">
        <is>
          <t>pumpkin</t>
        </is>
      </c>
      <c r="B23" s="20" t="n">
        <v>21235400</v>
      </c>
      <c r="C23" s="20" t="n">
        <v>21235400</v>
      </c>
      <c r="D23" s="20" t="inlineStr">
        <is>
          <t>0.010520</t>
        </is>
      </c>
      <c r="E23" s="20" t="inlineStr">
        <is>
          <t>1.335 SOL</t>
        </is>
      </c>
      <c r="F23" s="20" t="inlineStr">
        <is>
          <t>3.367 SOL</t>
        </is>
      </c>
      <c r="G23" s="23" t="inlineStr">
        <is>
          <t>2.021 SOL</t>
        </is>
      </c>
      <c r="H23" s="23" t="inlineStr">
        <is>
          <t>150.21%</t>
        </is>
      </c>
      <c r="I23" s="20" t="inlineStr">
        <is>
          <t>N/A</t>
        </is>
      </c>
      <c r="J23" s="20" t="n">
        <v>1</v>
      </c>
      <c r="K23" s="20" t="n">
        <v>2</v>
      </c>
      <c r="L23" s="20" t="inlineStr">
        <is>
          <t>30.10.2024 13:06:01</t>
        </is>
      </c>
      <c r="M23" s="20" t="inlineStr">
        <is>
          <t>12 min</t>
        </is>
      </c>
      <c r="N23" s="20" t="inlineStr">
        <is>
          <t xml:space="preserve">         11K            26K             6K</t>
        </is>
      </c>
      <c r="O23" s="20" t="inlineStr">
        <is>
          <t>rcZFVQswtu3ixRkuvL1daeLcHNrhu33N1sG7BaSpump</t>
        </is>
      </c>
      <c r="P23" s="20">
        <f>HYPERLINK("https://photon-sol.tinyastro.io/en/lp/rcZFVQswtu3ixRkuvL1daeLcHNrhu33N1sG7BaSpump?handle=676050794bc1b1657a56b", "View")</f>
        <v/>
      </c>
    </row>
    <row r="24">
      <c r="A24" s="15" t="inlineStr">
        <is>
          <t>HALLOW</t>
        </is>
      </c>
      <c r="B24" s="16" t="n">
        <v>24574226</v>
      </c>
      <c r="C24" s="16" t="n">
        <v>24574226</v>
      </c>
      <c r="D24" s="16" t="inlineStr">
        <is>
          <t>0.010520</t>
        </is>
      </c>
      <c r="E24" s="16" t="inlineStr">
        <is>
          <t>2.251 SOL</t>
        </is>
      </c>
      <c r="F24" s="16" t="inlineStr">
        <is>
          <t>2.724 SOL</t>
        </is>
      </c>
      <c r="G24" s="22" t="inlineStr">
        <is>
          <t>0.463 SOL</t>
        </is>
      </c>
      <c r="H24" s="22" t="inlineStr">
        <is>
          <t>20.46%</t>
        </is>
      </c>
      <c r="I24" s="16" t="inlineStr">
        <is>
          <t>N/A</t>
        </is>
      </c>
      <c r="J24" s="16" t="n">
        <v>1</v>
      </c>
      <c r="K24" s="16" t="n">
        <v>2</v>
      </c>
      <c r="L24" s="16" t="inlineStr">
        <is>
          <t>30.10.2024 12:04:04</t>
        </is>
      </c>
      <c r="M24" s="16" t="inlineStr">
        <is>
          <t>2 min</t>
        </is>
      </c>
      <c r="N24" s="16" t="inlineStr">
        <is>
          <t xml:space="preserve">         16K            21K             5K</t>
        </is>
      </c>
      <c r="O24" s="16" t="inlineStr">
        <is>
          <t>E6urR7A3p4FgqCWwtShpkd7JMLVWG6rMmYdhvHszpump</t>
        </is>
      </c>
      <c r="P24" s="16">
        <f>HYPERLINK("https://photon-sol.tinyastro.io/en/lp/E6urR7A3p4FgqCWwtShpkd7JMLVWG6rMmYdhvHszpump?handle=676050794bc1b1657a56b", "View")</f>
        <v/>
      </c>
    </row>
    <row r="25">
      <c r="A25" s="19" t="inlineStr">
        <is>
          <t>Samhain</t>
        </is>
      </c>
      <c r="B25" s="20" t="n">
        <v>45597484</v>
      </c>
      <c r="C25" s="20" t="n">
        <v>45597484</v>
      </c>
      <c r="D25" s="20" t="inlineStr">
        <is>
          <t>0.014020</t>
        </is>
      </c>
      <c r="E25" s="20" t="inlineStr">
        <is>
          <t>1.539 SOL</t>
        </is>
      </c>
      <c r="F25" s="20" t="inlineStr">
        <is>
          <t>6.371 SOL</t>
        </is>
      </c>
      <c r="G25" s="23" t="inlineStr">
        <is>
          <t>4.818 SOL</t>
        </is>
      </c>
      <c r="H25" s="23" t="inlineStr">
        <is>
          <t>310.20%</t>
        </is>
      </c>
      <c r="I25" s="20" t="inlineStr">
        <is>
          <t>N/A</t>
        </is>
      </c>
      <c r="J25" s="20" t="n">
        <v>1</v>
      </c>
      <c r="K25" s="20" t="n">
        <v>3</v>
      </c>
      <c r="L25" s="20" t="inlineStr">
        <is>
          <t>30.10.2024 11:44:31</t>
        </is>
      </c>
      <c r="M25" s="20" t="inlineStr">
        <is>
          <t>2 min</t>
        </is>
      </c>
      <c r="N25" s="20" t="inlineStr">
        <is>
          <t xml:space="preserve">          5K            32K             5K</t>
        </is>
      </c>
      <c r="O25" s="20" t="inlineStr">
        <is>
          <t>99Kd3d2fzTtuAJGwuBHTERLNaNgLWydwvTieG1knpump</t>
        </is>
      </c>
      <c r="P25" s="20">
        <f>HYPERLINK("https://photon-sol.tinyastro.io/en/lp/99Kd3d2fzTtuAJGwuBHTERLNaNgLWydwvTieG1knpump?handle=676050794bc1b1657a56b", "View")</f>
        <v/>
      </c>
    </row>
    <row r="26">
      <c r="A26" s="15" t="inlineStr">
        <is>
          <t>NUTBUTT</t>
        </is>
      </c>
      <c r="B26" s="16" t="n">
        <v>137324</v>
      </c>
      <c r="C26" s="16" t="n">
        <v>137324</v>
      </c>
      <c r="D26" s="16" t="inlineStr">
        <is>
          <t>0.038520</t>
        </is>
      </c>
      <c r="E26" s="16" t="inlineStr">
        <is>
          <t>0.100 SOL</t>
        </is>
      </c>
      <c r="F26" s="16" t="inlineStr">
        <is>
          <t>0.258 SOL</t>
        </is>
      </c>
      <c r="G26" s="23" t="inlineStr">
        <is>
          <t>0.119 SOL</t>
        </is>
      </c>
      <c r="H26" s="23" t="inlineStr">
        <is>
          <t>86.16%</t>
        </is>
      </c>
      <c r="I26" s="16" t="inlineStr">
        <is>
          <t>N/A</t>
        </is>
      </c>
      <c r="J26" s="16" t="n">
        <v>1</v>
      </c>
      <c r="K26" s="16" t="n">
        <v>3</v>
      </c>
      <c r="L26" s="16" t="inlineStr">
        <is>
          <t>30.10.2024 06:13:40</t>
        </is>
      </c>
      <c r="M26" s="16" t="inlineStr">
        <is>
          <t>59 min</t>
        </is>
      </c>
      <c r="N26" s="16" t="inlineStr">
        <is>
          <t xml:space="preserve">        128K           390K           657K</t>
        </is>
      </c>
      <c r="O26" s="16" t="inlineStr">
        <is>
          <t>CFBYjzT357obRmihT9F5uyCY3kqgksRvXKM3RJN1pump</t>
        </is>
      </c>
      <c r="P26" s="16">
        <f>HYPERLINK("https://dexscreener.com/solana/CFBYjzT357obRmihT9F5uyCY3kqgksRvXKM3RJN1pump", "View")</f>
        <v/>
      </c>
    </row>
    <row r="27">
      <c r="A27" s="19" t="inlineStr">
        <is>
          <t>LUNA</t>
        </is>
      </c>
      <c r="B27" s="20" t="n">
        <v>24913933</v>
      </c>
      <c r="C27" s="20" t="n">
        <v>24887910</v>
      </c>
      <c r="D27" s="20" t="inlineStr">
        <is>
          <t>0.014480</t>
        </is>
      </c>
      <c r="E27" s="20" t="inlineStr">
        <is>
          <t>1.552 SOL</t>
        </is>
      </c>
      <c r="F27" s="20" t="inlineStr">
        <is>
          <t>1.556 SOL</t>
        </is>
      </c>
      <c r="G27" s="21" t="inlineStr">
        <is>
          <t>-0.011 SOL</t>
        </is>
      </c>
      <c r="H27" s="21" t="inlineStr">
        <is>
          <t>-0.71%</t>
        </is>
      </c>
      <c r="I27" s="20" t="inlineStr">
        <is>
          <t>N/A</t>
        </is>
      </c>
      <c r="J27" s="20" t="n">
        <v>2</v>
      </c>
      <c r="K27" s="20" t="n">
        <v>1</v>
      </c>
      <c r="L27" s="20" t="inlineStr">
        <is>
          <t>29.10.2024 18:20:33</t>
        </is>
      </c>
      <c r="M27" s="20" t="inlineStr">
        <is>
          <t>9 min</t>
        </is>
      </c>
      <c r="N27" s="20" t="inlineStr">
        <is>
          <t xml:space="preserve">         11K            72K             5K</t>
        </is>
      </c>
      <c r="O27" s="20" t="inlineStr">
        <is>
          <t>7vqS9P8w3r2UBQJL6hq8mLkCqdhYP1XNzPLVzkuqpump</t>
        </is>
      </c>
      <c r="P27" s="20">
        <f>HYPERLINK("https://photon-sol.tinyastro.io/en/lp/7vqS9P8w3r2UBQJL6hq8mLkCqdhYP1XNzPLVzkuqpump?handle=676050794bc1b1657a56b", "View")</f>
        <v/>
      </c>
    </row>
    <row r="28">
      <c r="A28" s="15" t="inlineStr">
        <is>
          <t>LUCK</t>
        </is>
      </c>
      <c r="B28" s="16" t="n">
        <v>25846993</v>
      </c>
      <c r="C28" s="16" t="n">
        <v>25846993</v>
      </c>
      <c r="D28" s="16" t="inlineStr">
        <is>
          <t>0.015010</t>
        </is>
      </c>
      <c r="E28" s="16" t="inlineStr">
        <is>
          <t>1.688 SOL</t>
        </is>
      </c>
      <c r="F28" s="16" t="inlineStr">
        <is>
          <t>2.686 SOL</t>
        </is>
      </c>
      <c r="G28" s="23" t="inlineStr">
        <is>
          <t>0.983 SOL</t>
        </is>
      </c>
      <c r="H28" s="23" t="inlineStr">
        <is>
          <t>57.73%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29.10.2024 16:50:27</t>
        </is>
      </c>
      <c r="M28" s="16" t="inlineStr">
        <is>
          <t>1 min</t>
        </is>
      </c>
      <c r="N28" s="16" t="inlineStr">
        <is>
          <t xml:space="preserve">         12K            18K             7K</t>
        </is>
      </c>
      <c r="O28" s="16" t="inlineStr">
        <is>
          <t>pqZQ2pr2idU9MSZJMXzCzNn3twbZHvd1oLYTWCBpump</t>
        </is>
      </c>
      <c r="P28" s="16">
        <f>HYPERLINK("https://photon-sol.tinyastro.io/en/lp/pqZQ2pr2idU9MSZJMXzCzNn3twbZHvd1oLYTWCBpump?handle=676050794bc1b1657a56b", "View")</f>
        <v/>
      </c>
    </row>
    <row r="29">
      <c r="A29" s="19" t="inlineStr">
        <is>
          <t>StarRail</t>
        </is>
      </c>
      <c r="B29" s="20" t="n">
        <v>13382500</v>
      </c>
      <c r="C29" s="20" t="n">
        <v>13382500</v>
      </c>
      <c r="D29" s="20" t="inlineStr">
        <is>
          <t>0.010520</t>
        </is>
      </c>
      <c r="E29" s="20" t="inlineStr">
        <is>
          <t>1.029 SOL</t>
        </is>
      </c>
      <c r="F29" s="20" t="inlineStr">
        <is>
          <t>2.270 SOL</t>
        </is>
      </c>
      <c r="G29" s="23" t="inlineStr">
        <is>
          <t>1.230 SOL</t>
        </is>
      </c>
      <c r="H29" s="23" t="inlineStr">
        <is>
          <t>118.34%</t>
        </is>
      </c>
      <c r="I29" s="20" t="inlineStr">
        <is>
          <t>N/A</t>
        </is>
      </c>
      <c r="J29" s="20" t="n">
        <v>1</v>
      </c>
      <c r="K29" s="20" t="n">
        <v>2</v>
      </c>
      <c r="L29" s="20" t="inlineStr">
        <is>
          <t>29.10.2024 12:22:03</t>
        </is>
      </c>
      <c r="M29" s="20" t="inlineStr">
        <is>
          <t>1 min</t>
        </is>
      </c>
      <c r="N29" s="20" t="inlineStr">
        <is>
          <t xml:space="preserve">         14K            19K             6K</t>
        </is>
      </c>
      <c r="O29" s="20" t="inlineStr">
        <is>
          <t>6H2WMsuSV4hPbbEBy7rRdswy6vJWPwdFkewHcVzRpump</t>
        </is>
      </c>
      <c r="P29" s="20">
        <f>HYPERLINK("https://photon-sol.tinyastro.io/en/lp/6H2WMsuSV4hPbbEBy7rRdswy6vJWPwdFkewHcVzRpump?handle=676050794bc1b1657a56b", "View")</f>
        <v/>
      </c>
    </row>
    <row r="30">
      <c r="A30" s="15" t="inlineStr">
        <is>
          <t>Boat</t>
        </is>
      </c>
      <c r="B30" s="16" t="n">
        <v>15967262</v>
      </c>
      <c r="C30" s="16" t="n">
        <v>15967262</v>
      </c>
      <c r="D30" s="16" t="inlineStr">
        <is>
          <t>0.007010</t>
        </is>
      </c>
      <c r="E30" s="16" t="inlineStr">
        <is>
          <t>0.699 SOL</t>
        </is>
      </c>
      <c r="F30" s="16" t="inlineStr">
        <is>
          <t>1.005 SOL</t>
        </is>
      </c>
      <c r="G30" s="22" t="inlineStr">
        <is>
          <t>0.299 SOL</t>
        </is>
      </c>
      <c r="H30" s="22" t="inlineStr">
        <is>
          <t>42.35%</t>
        </is>
      </c>
      <c r="I30" s="16" t="inlineStr">
        <is>
          <t>N/A</t>
        </is>
      </c>
      <c r="J30" s="16" t="n">
        <v>1</v>
      </c>
      <c r="K30" s="16" t="n">
        <v>1</v>
      </c>
      <c r="L30" s="16" t="inlineStr">
        <is>
          <t>29.10.2024 07:44:56</t>
        </is>
      </c>
      <c r="M30" s="16" t="inlineStr">
        <is>
          <t>2 min</t>
        </is>
      </c>
      <c r="N30" s="16" t="inlineStr">
        <is>
          <t xml:space="preserve">          7K            11K             5K</t>
        </is>
      </c>
      <c r="O30" s="16" t="inlineStr">
        <is>
          <t>76T82XDqJRQ7qn25n6obDVCcVxVD6VXZnNMDSo2Spump</t>
        </is>
      </c>
      <c r="P30" s="16">
        <f>HYPERLINK("https://photon-sol.tinyastro.io/en/lp/76T82XDqJRQ7qn25n6obDVCcVxVD6VXZnNMDSo2Spump?handle=676050794bc1b1657a56b", "View")</f>
        <v/>
      </c>
    </row>
    <row r="31">
      <c r="A31" s="19" t="inlineStr">
        <is>
          <t>Lisa</t>
        </is>
      </c>
      <c r="B31" s="20" t="n">
        <v>11977148</v>
      </c>
      <c r="C31" s="20" t="n">
        <v>11977148</v>
      </c>
      <c r="D31" s="20" t="inlineStr">
        <is>
          <t>0.007010</t>
        </is>
      </c>
      <c r="E31" s="20" t="inlineStr">
        <is>
          <t>0.519 SOL</t>
        </is>
      </c>
      <c r="F31" s="20" t="inlineStr">
        <is>
          <t>0.569 SOL</t>
        </is>
      </c>
      <c r="G31" s="22" t="inlineStr">
        <is>
          <t>0.043 SOL</t>
        </is>
      </c>
      <c r="H31" s="22" t="inlineStr">
        <is>
          <t>8.17%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29.10.2024 07:35:44</t>
        </is>
      </c>
      <c r="M31" s="20" t="inlineStr">
        <is>
          <t>4 min</t>
        </is>
      </c>
      <c r="N31" s="20" t="inlineStr">
        <is>
          <t xml:space="preserve">          7K             9K             5K</t>
        </is>
      </c>
      <c r="O31" s="20" t="inlineStr">
        <is>
          <t>33iz655TkQB61VqHLP7o5Ch5CjqnvcczBYWLhrh8pump</t>
        </is>
      </c>
      <c r="P31" s="20">
        <f>HYPERLINK("https://photon-sol.tinyastro.io/en/lp/33iz655TkQB61VqHLP7o5Ch5CjqnvcczBYWLhrh8pump?handle=676050794bc1b1657a56b", "View")</f>
        <v/>
      </c>
    </row>
    <row r="32">
      <c r="A32" s="15" t="inlineStr">
        <is>
          <t>clown</t>
        </is>
      </c>
      <c r="B32" s="16" t="n">
        <v>15937128</v>
      </c>
      <c r="C32" s="16" t="n">
        <v>15937128</v>
      </c>
      <c r="D32" s="16" t="inlineStr">
        <is>
          <t>0.007280</t>
        </is>
      </c>
      <c r="E32" s="16" t="inlineStr">
        <is>
          <t>0.700 SOL</t>
        </is>
      </c>
      <c r="F32" s="16" t="inlineStr">
        <is>
          <t>0.796 SOL</t>
        </is>
      </c>
      <c r="G32" s="22" t="inlineStr">
        <is>
          <t>0.089 SOL</t>
        </is>
      </c>
      <c r="H32" s="22" t="inlineStr">
        <is>
          <t>12.58%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28.10.2024 15:25:31</t>
        </is>
      </c>
      <c r="M32" s="16" t="inlineStr">
        <is>
          <t>4 min</t>
        </is>
      </c>
      <c r="N32" s="16" t="inlineStr">
        <is>
          <t xml:space="preserve">          7K             9K             5K</t>
        </is>
      </c>
      <c r="O32" s="16" t="inlineStr">
        <is>
          <t>5SRBUoWjakQbkbxDx69uAop9NugCy7yYBLc67sudpump</t>
        </is>
      </c>
      <c r="P32" s="16">
        <f>HYPERLINK("https://photon-sol.tinyastro.io/en/lp/5SRBUoWjakQbkbxDx69uAop9NugCy7yYBLc67sudpump?handle=676050794bc1b1657a56b", "View")</f>
        <v/>
      </c>
    </row>
    <row r="33">
      <c r="A33" s="19" t="inlineStr">
        <is>
          <t>Model</t>
        </is>
      </c>
      <c r="B33" s="20" t="n">
        <v>28875132</v>
      </c>
      <c r="C33" s="20" t="n">
        <v>28875132</v>
      </c>
      <c r="D33" s="20" t="inlineStr">
        <is>
          <t>0.014010</t>
        </is>
      </c>
      <c r="E33" s="20" t="inlineStr">
        <is>
          <t>1.538 SOL</t>
        </is>
      </c>
      <c r="F33" s="20" t="inlineStr">
        <is>
          <t>2.463 SOL</t>
        </is>
      </c>
      <c r="G33" s="23" t="inlineStr">
        <is>
          <t>0.910 SOL</t>
        </is>
      </c>
      <c r="H33" s="23" t="inlineStr">
        <is>
          <t>58.65%</t>
        </is>
      </c>
      <c r="I33" s="20" t="inlineStr">
        <is>
          <t>N/A</t>
        </is>
      </c>
      <c r="J33" s="20" t="n">
        <v>2</v>
      </c>
      <c r="K33" s="20" t="n">
        <v>1</v>
      </c>
      <c r="L33" s="20" t="inlineStr">
        <is>
          <t>28.10.2024 13:59:33</t>
        </is>
      </c>
      <c r="M33" s="20" t="inlineStr">
        <is>
          <t>1 min</t>
        </is>
      </c>
      <c r="N33" s="20" t="inlineStr">
        <is>
          <t xml:space="preserve">          9K            16K             5K</t>
        </is>
      </c>
      <c r="O33" s="20" t="inlineStr">
        <is>
          <t>Df8yTKmQ9R69CQTNDrYcEJMtY61oB8TJ9a2GioWzpump</t>
        </is>
      </c>
      <c r="P33" s="20">
        <f>HYPERLINK("https://photon-sol.tinyastro.io/en/lp/Df8yTKmQ9R69CQTNDrYcEJMtY61oB8TJ9a2GioWzpump?handle=676050794bc1b1657a56b", "View")</f>
        <v/>
      </c>
    </row>
    <row r="34">
      <c r="A34" s="15" t="inlineStr">
        <is>
          <t>SAD</t>
        </is>
      </c>
      <c r="B34" s="16" t="n">
        <v>17465366</v>
      </c>
      <c r="C34" s="16" t="n">
        <v>17465366</v>
      </c>
      <c r="D34" s="16" t="inlineStr">
        <is>
          <t>0.007010</t>
        </is>
      </c>
      <c r="E34" s="16" t="inlineStr">
        <is>
          <t>0.573 SOL</t>
        </is>
      </c>
      <c r="F34" s="16" t="inlineStr">
        <is>
          <t>1.144 SOL</t>
        </is>
      </c>
      <c r="G34" s="23" t="inlineStr">
        <is>
          <t>0.564 SOL</t>
        </is>
      </c>
      <c r="H34" s="23" t="inlineStr">
        <is>
          <t>97.31%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28.10.2024 13:11:37</t>
        </is>
      </c>
      <c r="M34" s="16" t="inlineStr">
        <is>
          <t>1 min</t>
        </is>
      </c>
      <c r="N34" s="16" t="inlineStr">
        <is>
          <t xml:space="preserve">          5K            12K             5K</t>
        </is>
      </c>
      <c r="O34" s="16" t="inlineStr">
        <is>
          <t>9JJBT2PncCE1XAQa5FpuA9wgLB2AnR1vtYVFdbLGpump</t>
        </is>
      </c>
      <c r="P34" s="16">
        <f>HYPERLINK("https://photon-sol.tinyastro.io/en/lp/9JJBT2PncCE1XAQa5FpuA9wgLB2AnR1vtYVFdbLGpump?handle=676050794bc1b1657a56b", "View")</f>
        <v/>
      </c>
    </row>
    <row r="35">
      <c r="A35" s="19" t="inlineStr">
        <is>
          <t>water</t>
        </is>
      </c>
      <c r="B35" s="20" t="n">
        <v>26269594</v>
      </c>
      <c r="C35" s="20" t="n">
        <v>26269594</v>
      </c>
      <c r="D35" s="20" t="inlineStr">
        <is>
          <t>0.009000</t>
        </is>
      </c>
      <c r="E35" s="20" t="inlineStr">
        <is>
          <t>1.171 SOL</t>
        </is>
      </c>
      <c r="F35" s="20" t="inlineStr">
        <is>
          <t>1.235 SOL</t>
        </is>
      </c>
      <c r="G35" s="22" t="inlineStr">
        <is>
          <t>0.054 SOL</t>
        </is>
      </c>
      <c r="H35" s="22" t="inlineStr">
        <is>
          <t>4.60%</t>
        </is>
      </c>
      <c r="I35" s="20" t="inlineStr">
        <is>
          <t>N/A</t>
        </is>
      </c>
      <c r="J35" s="20" t="n">
        <v>1</v>
      </c>
      <c r="K35" s="20" t="n">
        <v>1</v>
      </c>
      <c r="L35" s="20" t="inlineStr">
        <is>
          <t>28.10.2024 13:00:12</t>
        </is>
      </c>
      <c r="M35" s="20" t="inlineStr">
        <is>
          <t>3 min</t>
        </is>
      </c>
      <c r="N35" s="20" t="inlineStr">
        <is>
          <t xml:space="preserve">          7K             9K             5K</t>
        </is>
      </c>
      <c r="O35" s="20" t="inlineStr">
        <is>
          <t>J3VogcDaWun6np3oZNBRLR47wxSXsb4CiQTaWwS6pump</t>
        </is>
      </c>
      <c r="P35" s="20">
        <f>HYPERLINK("https://photon-sol.tinyastro.io/en/lp/J3VogcDaWun6np3oZNBRLR47wxSXsb4CiQTaWwS6pump?handle=676050794bc1b1657a56b", "View")</f>
        <v/>
      </c>
    </row>
    <row r="36">
      <c r="A36" s="15" t="inlineStr">
        <is>
          <t>Sperm</t>
        </is>
      </c>
      <c r="B36" s="16" t="n">
        <v>61069969</v>
      </c>
      <c r="C36" s="16" t="n">
        <v>61069969</v>
      </c>
      <c r="D36" s="16" t="inlineStr">
        <is>
          <t>0.017310</t>
        </is>
      </c>
      <c r="E36" s="16" t="inlineStr">
        <is>
          <t>2.035 SOL</t>
        </is>
      </c>
      <c r="F36" s="16" t="inlineStr">
        <is>
          <t>3.115 SOL</t>
        </is>
      </c>
      <c r="G36" s="23" t="inlineStr">
        <is>
          <t>1.063 SOL</t>
        </is>
      </c>
      <c r="H36" s="23" t="inlineStr">
        <is>
          <t>51.77%</t>
        </is>
      </c>
      <c r="I36" s="16" t="inlineStr">
        <is>
          <t>N/A</t>
        </is>
      </c>
      <c r="J36" s="16" t="n">
        <v>2</v>
      </c>
      <c r="K36" s="16" t="n">
        <v>2</v>
      </c>
      <c r="L36" s="16" t="inlineStr">
        <is>
          <t>28.10.2024 12:49:24</t>
        </is>
      </c>
      <c r="M36" s="16" t="inlineStr">
        <is>
          <t>3 min</t>
        </is>
      </c>
      <c r="N36" s="16" t="inlineStr">
        <is>
          <t xml:space="preserve">          7K             5K             5K</t>
        </is>
      </c>
      <c r="O36" s="16" t="inlineStr">
        <is>
          <t>6YCacvumEQRx8h7V3EnVjYPsuciGxmE8unQuQXk9pump</t>
        </is>
      </c>
      <c r="P36" s="16">
        <f>HYPERLINK("https://photon-sol.tinyastro.io/en/lp/6YCacvumEQRx8h7V3EnVjYPsuciGxmE8unQuQXk9pump?handle=676050794bc1b1657a56b", "View")</f>
        <v/>
      </c>
    </row>
    <row r="37">
      <c r="A37" s="19" t="inlineStr">
        <is>
          <t>Clips</t>
        </is>
      </c>
      <c r="B37" s="20" t="n">
        <v>15967262</v>
      </c>
      <c r="C37" s="20" t="n">
        <v>15967262</v>
      </c>
      <c r="D37" s="20" t="inlineStr">
        <is>
          <t>0.007440</t>
        </is>
      </c>
      <c r="E37" s="20" t="inlineStr">
        <is>
          <t>0.519 SOL</t>
        </is>
      </c>
      <c r="F37" s="20" t="inlineStr">
        <is>
          <t>0.753 SOL</t>
        </is>
      </c>
      <c r="G37" s="22" t="inlineStr">
        <is>
          <t>0.227 SOL</t>
        </is>
      </c>
      <c r="H37" s="22" t="inlineStr">
        <is>
          <t>43.02%</t>
        </is>
      </c>
      <c r="I37" s="20" t="inlineStr">
        <is>
          <t>N/A</t>
        </is>
      </c>
      <c r="J37" s="20" t="n">
        <v>1</v>
      </c>
      <c r="K37" s="20" t="n">
        <v>1</v>
      </c>
      <c r="L37" s="20" t="inlineStr">
        <is>
          <t>28.10.2024 12:40:46</t>
        </is>
      </c>
      <c r="M37" s="20" t="inlineStr">
        <is>
          <t>3 min</t>
        </is>
      </c>
      <c r="N37" s="20" t="inlineStr">
        <is>
          <t xml:space="preserve">          5K             9K             5K</t>
        </is>
      </c>
      <c r="O37" s="20" t="inlineStr">
        <is>
          <t>4iTVLyoAozbaJrYrnRA9XpqG5yctaPpza3LEj2JNpump</t>
        </is>
      </c>
      <c r="P37" s="20">
        <f>HYPERLINK("https://photon-sol.tinyastro.io/en/lp/4iTVLyoAozbaJrYrnRA9XpqG5yctaPpza3LEj2JNpump?handle=676050794bc1b1657a56b", "View")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HYPERLINK("https://gmgn.ai/sol/address/ELkNor3GYGMDvvJNW3vNhNVorbFbjvBoA8HYbnHr9DhK", "GMGN")</f>
        <v/>
      </c>
    </row>
    <row r="2">
      <c r="A2" s="3" t="inlineStr">
        <is>
          <t>ELkNor3GYGMDvvJNW3vNhNVorbFbjvBoA8HYbnHr9DhK</t>
        </is>
      </c>
      <c r="B2" s="3" t="inlineStr">
        <is>
          <t>24.28 SOL</t>
        </is>
      </c>
      <c r="C2" s="3" t="inlineStr">
        <is>
          <t>33%</t>
        </is>
      </c>
      <c r="D2" s="3" t="inlineStr">
        <is>
          <t>90%</t>
        </is>
      </c>
      <c r="E2" s="3" t="inlineStr">
        <is>
          <t>16.35 SOL</t>
        </is>
      </c>
      <c r="F2" s="3" t="inlineStr">
        <is>
          <t>0 (0%)</t>
        </is>
      </c>
      <c r="G2" s="3" t="inlineStr">
        <is>
          <t>0 (0%)</t>
        </is>
      </c>
      <c r="H2" s="3" t="n">
        <v>3</v>
      </c>
      <c r="I2" s="3" t="n">
        <v>0</v>
      </c>
      <c r="J2" s="3" t="inlineStr">
        <is>
          <t>83 days</t>
        </is>
      </c>
      <c r="K2" s="3" t="inlineStr">
        <is>
          <t>10 min</t>
        </is>
      </c>
      <c r="L2" s="3" t="n">
        <v>1</v>
      </c>
      <c r="M2" s="3" t="n">
        <v>1</v>
      </c>
      <c r="N2" s="3">
        <f>HYPERLINK("https://solscan.io/account/ELkNor3GYGMDvvJNW3vNhNVorbFbjvBoA8HYbnHr9DhK", "Solscan")</f>
        <v/>
      </c>
    </row>
    <row r="3">
      <c r="A3" s="6" t="inlineStr">
        <is>
          <t>Median ROI</t>
        </is>
      </c>
      <c r="B3" s="5" t="inlineStr">
        <is>
          <t>-26.13%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HYPERLINK("https://birdeye.so/profile/ELkNor3GYGMDvvJNW3vNhNVorbFbjvBoA8HYbnHr9DhK", "Birdeye")</f>
        <v/>
      </c>
    </row>
    <row r="4">
      <c r="A4" s="6" t="inlineStr">
        <is>
          <t>Rockets percent</t>
        </is>
      </c>
      <c r="B4" s="4" t="inlineStr">
        <is>
          <t>33%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100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2.3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0</v>
      </c>
      <c r="D10" s="6" t="n">
        <v>0</v>
      </c>
      <c r="E10" s="6" t="n">
        <v>0</v>
      </c>
      <c r="F10" s="6" t="n">
        <v>2</v>
      </c>
      <c r="G10" s="6" t="n">
        <v>0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33.3%</t>
        </is>
      </c>
      <c r="C11" s="6" t="inlineStr">
        <is>
          <t>0.0%</t>
        </is>
      </c>
      <c r="D11" s="6" t="inlineStr">
        <is>
          <t>0.0%</t>
        </is>
      </c>
      <c r="E11" s="6" t="inlineStr">
        <is>
          <t>0.0%</t>
        </is>
      </c>
      <c r="F11" s="6" t="inlineStr">
        <is>
          <t>66.7%</t>
        </is>
      </c>
      <c r="G11" s="6" t="inlineStr">
        <is>
          <t>0.0%</t>
        </is>
      </c>
      <c r="H11" s="3" t="n"/>
      <c r="I11" s="3" t="inlineStr">
        <is>
          <t>5k-30k</t>
        </is>
      </c>
      <c r="J11" s="3" t="inlineStr">
        <is>
          <t>1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22.5 SOL</t>
        </is>
      </c>
      <c r="C12" s="6" t="inlineStr">
        <is>
          <t>0.0 SOL</t>
        </is>
      </c>
      <c r="D12" s="6" t="inlineStr">
        <is>
          <t>0.0 SOL</t>
        </is>
      </c>
      <c r="E12" s="6" t="inlineStr">
        <is>
          <t>0.0 SOL</t>
        </is>
      </c>
      <c r="F12" s="6" t="inlineStr">
        <is>
          <t>-6.1 SOL</t>
        </is>
      </c>
      <c r="G12" s="6" t="inlineStr">
        <is>
          <t>0.0 SOL</t>
        </is>
      </c>
      <c r="H12" s="3" t="n"/>
      <c r="I12" s="3" t="inlineStr">
        <is>
          <t>30k-100k</t>
        </is>
      </c>
      <c r="J12" s="3" t="inlineStr">
        <is>
          <t>0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733.0K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BUBBLE</t>
        </is>
      </c>
      <c r="B20" s="16" t="n">
        <v>54616335</v>
      </c>
      <c r="C20" s="16" t="n">
        <v>54616335</v>
      </c>
      <c r="D20" s="16" t="inlineStr">
        <is>
          <t>0.089060</t>
        </is>
      </c>
      <c r="E20" s="16" t="inlineStr">
        <is>
          <t>2.972 SOL</t>
        </is>
      </c>
      <c r="F20" s="16" t="inlineStr">
        <is>
          <t>25.517 SOL</t>
        </is>
      </c>
      <c r="G20" s="23" t="inlineStr">
        <is>
          <t>22.456 SOL</t>
        </is>
      </c>
      <c r="H20" s="23" t="inlineStr">
        <is>
          <t>733.59%</t>
        </is>
      </c>
      <c r="I20" s="16" t="inlineStr">
        <is>
          <t>N/A</t>
        </is>
      </c>
      <c r="J20" s="16" t="n">
        <v>2</v>
      </c>
      <c r="K20" s="16" t="n">
        <v>11</v>
      </c>
      <c r="L20" s="16" t="inlineStr">
        <is>
          <t>30.10.2024 18:46:25</t>
        </is>
      </c>
      <c r="M20" s="16" t="inlineStr">
        <is>
          <t>10 min</t>
        </is>
      </c>
      <c r="N20" s="16" t="inlineStr">
        <is>
          <t xml:space="preserve">          7K            48K             8K</t>
        </is>
      </c>
      <c r="O20" s="16" t="inlineStr">
        <is>
          <t>6f6YNipzMAKWtpY2GiezoKnT1n3W33CA3bBtEvS4pump</t>
        </is>
      </c>
      <c r="P20" s="16">
        <f>HYPERLINK("https://photon-sol.tinyastro.io/en/lp/6f6YNipzMAKWtpY2GiezoKnT1n3W33CA3bBtEvS4pump?handle=676050794bc1b1657a56b", "View")</f>
        <v/>
      </c>
    </row>
    <row r="21">
      <c r="A21" s="19" t="inlineStr">
        <is>
          <t>NIA</t>
        </is>
      </c>
      <c r="B21" s="20" t="n">
        <v>747562</v>
      </c>
      <c r="C21" s="20" t="n">
        <v>747562</v>
      </c>
      <c r="D21" s="20" t="inlineStr">
        <is>
          <t>0.008870</t>
        </is>
      </c>
      <c r="E21" s="20" t="inlineStr">
        <is>
          <t>12.000 SOL</t>
        </is>
      </c>
      <c r="F21" s="20" t="inlineStr">
        <is>
          <t>6.686 SOL</t>
        </is>
      </c>
      <c r="G21" s="21" t="inlineStr">
        <is>
          <t>-5.323 SOL</t>
        </is>
      </c>
      <c r="H21" s="21" t="inlineStr">
        <is>
          <t>-44.32%</t>
        </is>
      </c>
      <c r="I21" s="20" t="inlineStr">
        <is>
          <t>N/A</t>
        </is>
      </c>
      <c r="J21" s="20" t="n">
        <v>4</v>
      </c>
      <c r="K21" s="20" t="n">
        <v>3</v>
      </c>
      <c r="L21" s="20" t="inlineStr">
        <is>
          <t>13.08.2024 21:17:49</t>
        </is>
      </c>
      <c r="M21" s="20" t="inlineStr">
        <is>
          <t>3 days</t>
        </is>
      </c>
      <c r="N21" s="20" t="inlineStr">
        <is>
          <t xml:space="preserve">          2M             1M            18K</t>
        </is>
      </c>
      <c r="O21" s="20" t="inlineStr">
        <is>
          <t>7krcfjY1NDuPXXkAaPJXMnVYpyxp1VzLZidSVQFnPovq</t>
        </is>
      </c>
      <c r="P21" s="20">
        <f>HYPERLINK("https://dexscreener.com/solana/7krcfjY1NDuPXXkAaPJXMnVYpyxp1VzLZidSVQFnPovq", "View")</f>
        <v/>
      </c>
    </row>
    <row r="22">
      <c r="A22" s="15" t="inlineStr">
        <is>
          <t>HPAGE</t>
        </is>
      </c>
      <c r="B22" s="16" t="n">
        <v>584466</v>
      </c>
      <c r="C22" s="16" t="n">
        <v>584466</v>
      </c>
      <c r="D22" s="16" t="inlineStr">
        <is>
          <t>0.000800</t>
        </is>
      </c>
      <c r="E22" s="16" t="inlineStr">
        <is>
          <t>3.000 SOL</t>
        </is>
      </c>
      <c r="F22" s="16" t="inlineStr">
        <is>
          <t>2.217 SOL</t>
        </is>
      </c>
      <c r="G22" s="21" t="inlineStr">
        <is>
          <t>-0.784 SOL</t>
        </is>
      </c>
      <c r="H22" s="21" t="inlineStr">
        <is>
          <t>-26.13%</t>
        </is>
      </c>
      <c r="I22" s="16" t="inlineStr">
        <is>
          <t>N/A</t>
        </is>
      </c>
      <c r="J22" s="16" t="n">
        <v>1</v>
      </c>
      <c r="K22" s="16" t="n">
        <v>4</v>
      </c>
      <c r="L22" s="16" t="inlineStr">
        <is>
          <t>07.08.2024 22:55:36</t>
        </is>
      </c>
      <c r="M22" s="16" t="inlineStr">
        <is>
          <t>1 min</t>
        </is>
      </c>
      <c r="N22" s="16" t="inlineStr">
        <is>
          <t xml:space="preserve">        733K           452K             9K</t>
        </is>
      </c>
      <c r="O22" s="16" t="inlineStr">
        <is>
          <t>66JEAguwGTwFZ8TGjW5tuEiFX8W35Dzv2u12fvFHpump</t>
        </is>
      </c>
      <c r="P22" s="16">
        <f>HYPERLINK("https://dexscreener.com/solana/66JEAguwGTwFZ8TGjW5tuEiFX8W35Dzv2u12fvFHpump", "View")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96"/>
  <sheetViews>
    <sheetView workbookViewId="0">
      <selection activeCell="A1" sqref="A1"/>
    </sheetView>
  </sheetViews>
  <sheetFormatPr baseColWidth="8" defaultRowHeight="15"/>
  <cols>
    <col width="46" customWidth="1" min="1" max="1"/>
    <col width="13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HYPERLINK("https://gmgn.ai/sol/address/3q8tXcDjpDm4Kxow8GsMvCyr2A5GzVH2qQU8YX8qpExd", "GMGN")</f>
        <v/>
      </c>
    </row>
    <row r="2">
      <c r="A2" s="3" t="inlineStr">
        <is>
          <t>3q8tXcDjpDm4Kxow8GsMvCyr2A5GzVH2qQU8YX8qpExd</t>
        </is>
      </c>
      <c r="B2" s="3" t="inlineStr">
        <is>
          <t>1.01 SOL</t>
        </is>
      </c>
      <c r="C2" s="3" t="inlineStr">
        <is>
          <t>21%</t>
        </is>
      </c>
      <c r="D2" s="3" t="inlineStr">
        <is>
          <t>-7%</t>
        </is>
      </c>
      <c r="E2" s="3" t="inlineStr">
        <is>
          <t>-2.60 SOL</t>
        </is>
      </c>
      <c r="F2" s="3" t="inlineStr">
        <is>
          <t>0 (0%)</t>
        </is>
      </c>
      <c r="G2" s="3" t="inlineStr">
        <is>
          <t>2 (1%)</t>
        </is>
      </c>
      <c r="H2" s="3" t="n">
        <v>277</v>
      </c>
      <c r="I2" s="3" t="n">
        <v>53</v>
      </c>
      <c r="J2" s="3" t="inlineStr">
        <is>
          <t>12 days</t>
        </is>
      </c>
      <c r="K2" s="3" t="inlineStr">
        <is>
          <t>2 days</t>
        </is>
      </c>
      <c r="L2" s="3" t="n">
        <v>7</v>
      </c>
      <c r="M2" s="3" t="n">
        <v>155</v>
      </c>
      <c r="N2" s="3">
        <f>HYPERLINK("https://solscan.io/account/3q8tXcDjpDm4Kxow8GsMvCyr2A5GzVH2qQU8YX8qpExd", "Solscan")</f>
        <v/>
      </c>
    </row>
    <row r="3">
      <c r="A3" s="6" t="inlineStr">
        <is>
          <t>Median ROI</t>
        </is>
      </c>
      <c r="B3" s="5" t="inlineStr">
        <is>
          <t>-100.00%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HYPERLINK("https://birdeye.so/profile/3q8tXcDjpDm4Kxow8GsMvCyr2A5GzVH2qQU8YX8qpExd", "Birdeye")</f>
        <v/>
      </c>
    </row>
    <row r="4">
      <c r="A4" s="6" t="inlineStr">
        <is>
          <t>Rockets percent</t>
        </is>
      </c>
      <c r="B4" s="3" t="inlineStr">
        <is>
          <t>13%</t>
        </is>
      </c>
      <c r="C4" s="3" t="inlineStr"/>
      <c r="D4" s="3" t="inlineStr">
        <is>
          <t>8%</t>
        </is>
      </c>
      <c r="E4" s="3" t="inlineStr">
        <is>
          <t>2.84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29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6</v>
      </c>
      <c r="C10" s="6" t="n">
        <v>29</v>
      </c>
      <c r="D10" s="6" t="n">
        <v>13</v>
      </c>
      <c r="E10" s="6" t="n">
        <v>11</v>
      </c>
      <c r="F10" s="6" t="n">
        <v>18</v>
      </c>
      <c r="G10" s="6" t="n">
        <v>200</v>
      </c>
      <c r="H10" s="3" t="n"/>
      <c r="I10" s="3" t="inlineStr">
        <is>
          <t>&lt;5k</t>
        </is>
      </c>
      <c r="J10" s="3" t="inlineStr">
        <is>
          <t>3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2.2%</t>
        </is>
      </c>
      <c r="C11" s="6" t="inlineStr">
        <is>
          <t>10.5%</t>
        </is>
      </c>
      <c r="D11" s="6" t="inlineStr">
        <is>
          <t>4.7%</t>
        </is>
      </c>
      <c r="E11" s="6" t="inlineStr">
        <is>
          <t>4.0%</t>
        </is>
      </c>
      <c r="F11" s="6" t="inlineStr">
        <is>
          <t>6.5%</t>
        </is>
      </c>
      <c r="G11" s="6" t="inlineStr">
        <is>
          <t>72.2%</t>
        </is>
      </c>
      <c r="H11" s="3" t="n"/>
      <c r="I11" s="3" t="inlineStr">
        <is>
          <t>5k-30k</t>
        </is>
      </c>
      <c r="J11" s="3" t="inlineStr">
        <is>
          <t>44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9.4 SOL</t>
        </is>
      </c>
      <c r="C12" s="6" t="inlineStr">
        <is>
          <t>8.3 SOL</t>
        </is>
      </c>
      <c r="D12" s="6" t="inlineStr">
        <is>
          <t>1.5 SOL</t>
        </is>
      </c>
      <c r="E12" s="6" t="inlineStr">
        <is>
          <t>0.4 SOL</t>
        </is>
      </c>
      <c r="F12" s="6" t="inlineStr">
        <is>
          <t>-0.5 SOL</t>
        </is>
      </c>
      <c r="G12" s="6" t="inlineStr">
        <is>
          <t>-21.7 SOL</t>
        </is>
      </c>
      <c r="H12" s="3" t="n"/>
      <c r="I12" s="3" t="inlineStr">
        <is>
          <t>30k-100k</t>
        </is>
      </c>
      <c r="J12" s="3" t="inlineStr">
        <is>
          <t>72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113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41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109.0K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BRAINS</t>
        </is>
      </c>
      <c r="B20" s="16" t="n">
        <v>47552</v>
      </c>
      <c r="C20" s="16" t="n">
        <v>0</v>
      </c>
      <c r="D20" s="16" t="inlineStr">
        <is>
          <t>0.005600</t>
        </is>
      </c>
      <c r="E20" s="16" t="inlineStr">
        <is>
          <t>0.100 SOL</t>
        </is>
      </c>
      <c r="F20" s="16" t="inlineStr">
        <is>
          <t>0.000 SOL</t>
        </is>
      </c>
      <c r="G20" s="17" t="inlineStr">
        <is>
          <t>-0.106 SOL</t>
        </is>
      </c>
      <c r="H20" s="17" t="inlineStr">
        <is>
          <t>0.00%</t>
        </is>
      </c>
      <c r="I20" s="16" t="inlineStr">
        <is>
          <t>47,552</t>
        </is>
      </c>
      <c r="J20" s="16" t="n">
        <v>1</v>
      </c>
      <c r="K20" s="16" t="n">
        <v>0</v>
      </c>
      <c r="L20" s="16" t="inlineStr">
        <is>
          <t>30.10.2024 20:05:41</t>
        </is>
      </c>
      <c r="M20" s="18" t="inlineStr">
        <is>
          <t>0 sec</t>
        </is>
      </c>
      <c r="N20" s="16" t="inlineStr">
        <is>
          <t xml:space="preserve">        369K           369K           130K</t>
        </is>
      </c>
      <c r="O20" s="16" t="inlineStr">
        <is>
          <t>5nbsEEzVPe6pWa7qQsa24EsJtfLNAgxCuBt4sYypump</t>
        </is>
      </c>
      <c r="P20" s="16">
        <f>HYPERLINK("https://dexscreener.com/solana/5nbsEEzVPe6pWa7qQsa24EsJtfLNAgxCuBt4sYypump", "View")</f>
        <v/>
      </c>
    </row>
    <row r="21">
      <c r="A21" s="19" t="inlineStr">
        <is>
          <t>XENO</t>
        </is>
      </c>
      <c r="B21" s="20" t="n">
        <v>6089</v>
      </c>
      <c r="C21" s="20" t="n">
        <v>0</v>
      </c>
      <c r="D21" s="20" t="inlineStr">
        <is>
          <t>0.000150</t>
        </is>
      </c>
      <c r="E21" s="20" t="inlineStr">
        <is>
          <t>0.100 SOL</t>
        </is>
      </c>
      <c r="F21" s="20" t="inlineStr">
        <is>
          <t>0.000 SOL</t>
        </is>
      </c>
      <c r="G21" s="17" t="inlineStr">
        <is>
          <t>-0.100 SOL</t>
        </is>
      </c>
      <c r="H21" s="17" t="inlineStr">
        <is>
          <t>0.00%</t>
        </is>
      </c>
      <c r="I21" s="20" t="inlineStr">
        <is>
          <t>6,089</t>
        </is>
      </c>
      <c r="J21" s="20" t="n">
        <v>1</v>
      </c>
      <c r="K21" s="20" t="n">
        <v>0</v>
      </c>
      <c r="L21" s="20" t="inlineStr">
        <is>
          <t>30.10.2024 16:59:44</t>
        </is>
      </c>
      <c r="M21" s="18" t="inlineStr">
        <is>
          <t>0 sec</t>
        </is>
      </c>
      <c r="N21" s="20" t="inlineStr">
        <is>
          <t xml:space="preserve">          3M             3M             4M</t>
        </is>
      </c>
      <c r="O21" s="20" t="inlineStr">
        <is>
          <t>Db7ZUaWTThwZy7bVhjn5Dda8D3fbbAhihcxPV4m9pump</t>
        </is>
      </c>
      <c r="P21" s="20">
        <f>HYPERLINK("https://dexscreener.com/solana/Db7ZUaWTThwZy7bVhjn5Dda8D3fbbAhihcxPV4m9pump", "View")</f>
        <v/>
      </c>
    </row>
    <row r="22">
      <c r="A22" s="15" t="inlineStr">
        <is>
          <t>NUTBUTT</t>
        </is>
      </c>
      <c r="B22" s="16" t="n">
        <v>19388</v>
      </c>
      <c r="C22" s="16" t="n">
        <v>0</v>
      </c>
      <c r="D22" s="16" t="inlineStr">
        <is>
          <t>0.005600</t>
        </is>
      </c>
      <c r="E22" s="16" t="inlineStr">
        <is>
          <t>0.100 SOL</t>
        </is>
      </c>
      <c r="F22" s="16" t="inlineStr">
        <is>
          <t>0.000 SOL</t>
        </is>
      </c>
      <c r="G22" s="17" t="inlineStr">
        <is>
          <t>-0.106 SOL</t>
        </is>
      </c>
      <c r="H22" s="17" t="inlineStr">
        <is>
          <t>0.00%</t>
        </is>
      </c>
      <c r="I22" s="16" t="inlineStr">
        <is>
          <t>19,388</t>
        </is>
      </c>
      <c r="J22" s="16" t="n">
        <v>1</v>
      </c>
      <c r="K22" s="16" t="n">
        <v>0</v>
      </c>
      <c r="L22" s="16" t="inlineStr">
        <is>
          <t>30.10.2024 16:17:34</t>
        </is>
      </c>
      <c r="M22" s="18" t="inlineStr">
        <is>
          <t>0 sec</t>
        </is>
      </c>
      <c r="N22" s="16" t="inlineStr">
        <is>
          <t xml:space="preserve">        906K           906K           657K</t>
        </is>
      </c>
      <c r="O22" s="16" t="inlineStr">
        <is>
          <t>CFBYjzT357obRmihT9F5uyCY3kqgksRvXKM3RJN1pump</t>
        </is>
      </c>
      <c r="P22" s="16">
        <f>HYPERLINK("https://dexscreener.com/solana/CFBYjzT357obRmihT9F5uyCY3kqgksRvXKM3RJN1pump", "View")</f>
        <v/>
      </c>
    </row>
    <row r="23">
      <c r="A23" s="19" t="inlineStr">
        <is>
          <t>Rizz</t>
        </is>
      </c>
      <c r="B23" s="20" t="n">
        <v>145147</v>
      </c>
      <c r="C23" s="20" t="n">
        <v>0</v>
      </c>
      <c r="D23" s="20" t="inlineStr">
        <is>
          <t>0.005140</t>
        </is>
      </c>
      <c r="E23" s="20" t="inlineStr">
        <is>
          <t>0.050 SOL</t>
        </is>
      </c>
      <c r="F23" s="20" t="inlineStr">
        <is>
          <t>0.000 SOL</t>
        </is>
      </c>
      <c r="G23" s="17" t="inlineStr">
        <is>
          <t>-0.055 SOL</t>
        </is>
      </c>
      <c r="H23" s="17" t="inlineStr">
        <is>
          <t>0.00%</t>
        </is>
      </c>
      <c r="I23" s="20" t="inlineStr">
        <is>
          <t>145,147</t>
        </is>
      </c>
      <c r="J23" s="20" t="n">
        <v>1</v>
      </c>
      <c r="K23" s="20" t="n">
        <v>0</v>
      </c>
      <c r="L23" s="20" t="inlineStr">
        <is>
          <t>30.10.2024 15:18:34</t>
        </is>
      </c>
      <c r="M23" s="18" t="inlineStr">
        <is>
          <t>0 sec</t>
        </is>
      </c>
      <c r="N23" s="20" t="inlineStr">
        <is>
          <t xml:space="preserve">         60K            60K             5K</t>
        </is>
      </c>
      <c r="O23" s="20" t="inlineStr">
        <is>
          <t>9F4zdcufgDPBG4tnQK8HSDXuYv1y2R7WNcF3ySEwpump</t>
        </is>
      </c>
      <c r="P23" s="20">
        <f>HYPERLINK("https://dexscreener.com/solana/9F4zdcufgDPBG4tnQK8HSDXuYv1y2R7WNcF3ySEwpump", "View")</f>
        <v/>
      </c>
    </row>
    <row r="24">
      <c r="A24" s="15" t="inlineStr">
        <is>
          <t>BLUCE</t>
        </is>
      </c>
      <c r="B24" s="16" t="n">
        <v>117656</v>
      </c>
      <c r="C24" s="16" t="n">
        <v>0</v>
      </c>
      <c r="D24" s="16" t="inlineStr">
        <is>
          <t>0.005600</t>
        </is>
      </c>
      <c r="E24" s="16" t="inlineStr">
        <is>
          <t>0.050 SOL</t>
        </is>
      </c>
      <c r="F24" s="16" t="inlineStr">
        <is>
          <t>0.000 SOL</t>
        </is>
      </c>
      <c r="G24" s="17" t="inlineStr">
        <is>
          <t>-0.056 SOL</t>
        </is>
      </c>
      <c r="H24" s="17" t="inlineStr">
        <is>
          <t>0.00%</t>
        </is>
      </c>
      <c r="I24" s="16" t="inlineStr">
        <is>
          <t>117,656</t>
        </is>
      </c>
      <c r="J24" s="16" t="n">
        <v>1</v>
      </c>
      <c r="K24" s="16" t="n">
        <v>0</v>
      </c>
      <c r="L24" s="16" t="inlineStr">
        <is>
          <t>30.10.2024 14:51:55</t>
        </is>
      </c>
      <c r="M24" s="18" t="inlineStr">
        <is>
          <t>0 sec</t>
        </is>
      </c>
      <c r="N24" s="16" t="inlineStr">
        <is>
          <t xml:space="preserve">         74K            74K             8K</t>
        </is>
      </c>
      <c r="O24" s="16" t="inlineStr">
        <is>
          <t>GAHcosMenURJhPs1TAPY8hev4Ajn8fPEpNV3Coa9pump</t>
        </is>
      </c>
      <c r="P24" s="16">
        <f>HYPERLINK("https://dexscreener.com/solana/GAHcosMenURJhPs1TAPY8hev4Ajn8fPEpNV3Coa9pump", "View")</f>
        <v/>
      </c>
    </row>
    <row r="25">
      <c r="A25" s="19" t="inlineStr">
        <is>
          <t>deg</t>
        </is>
      </c>
      <c r="B25" s="20" t="n">
        <v>265752</v>
      </c>
      <c r="C25" s="20" t="n">
        <v>0</v>
      </c>
      <c r="D25" s="20" t="inlineStr">
        <is>
          <t>0.000420</t>
        </is>
      </c>
      <c r="E25" s="20" t="inlineStr">
        <is>
          <t>0.054 SOL</t>
        </is>
      </c>
      <c r="F25" s="20" t="inlineStr">
        <is>
          <t>0.000 SOL</t>
        </is>
      </c>
      <c r="G25" s="17" t="inlineStr">
        <is>
          <t>-0.055 SOL</t>
        </is>
      </c>
      <c r="H25" s="17" t="inlineStr">
        <is>
          <t>0.00%</t>
        </is>
      </c>
      <c r="I25" s="20" t="inlineStr">
        <is>
          <t>265,752</t>
        </is>
      </c>
      <c r="J25" s="20" t="n">
        <v>1</v>
      </c>
      <c r="K25" s="20" t="n">
        <v>0</v>
      </c>
      <c r="L25" s="20" t="inlineStr">
        <is>
          <t>30.10.2024 11:30:41</t>
        </is>
      </c>
      <c r="M25" s="18" t="inlineStr">
        <is>
          <t>0 sec</t>
        </is>
      </c>
      <c r="N25" s="20" t="inlineStr">
        <is>
          <t xml:space="preserve">         35K            35K             4K</t>
        </is>
      </c>
      <c r="O25" s="20" t="inlineStr">
        <is>
          <t>2uVpNjw6EABxgcHStGBzeJb7mW3QXDpFBnW51kXNpump</t>
        </is>
      </c>
      <c r="P25" s="20">
        <f>HYPERLINK("https://photon-sol.tinyastro.io/en/lp/2uVpNjw6EABxgcHStGBzeJb7mW3QXDpFBnW51kXNpump?handle=676050794bc1b1657a56b", "View")</f>
        <v/>
      </c>
    </row>
    <row r="26">
      <c r="A26" s="15" t="inlineStr">
        <is>
          <t>SHIKOKU</t>
        </is>
      </c>
      <c r="B26" s="16" t="n">
        <v>71482043064</v>
      </c>
      <c r="C26" s="16" t="n">
        <v>0</v>
      </c>
      <c r="D26" s="16" t="inlineStr">
        <is>
          <t>0.033000</t>
        </is>
      </c>
      <c r="E26" s="16" t="inlineStr">
        <is>
          <t>0.150 SOL</t>
        </is>
      </c>
      <c r="F26" s="16" t="inlineStr">
        <is>
          <t>0.000 SOL</t>
        </is>
      </c>
      <c r="G26" s="17" t="inlineStr">
        <is>
          <t>-0.183 SOL</t>
        </is>
      </c>
      <c r="H26" s="17" t="inlineStr">
        <is>
          <t>0.00%</t>
        </is>
      </c>
      <c r="I26" s="16" t="inlineStr">
        <is>
          <t>71,482,043,064</t>
        </is>
      </c>
      <c r="J26" s="16" t="n">
        <v>2</v>
      </c>
      <c r="K26" s="16" t="n">
        <v>0</v>
      </c>
      <c r="L26" s="16" t="inlineStr">
        <is>
          <t>30.10.2024 07:34:06</t>
        </is>
      </c>
      <c r="M26" s="16" t="inlineStr">
        <is>
          <t>5 days</t>
        </is>
      </c>
      <c r="N26" s="16" t="inlineStr">
        <is>
          <t xml:space="preserve">        N/A           N/A           257K</t>
        </is>
      </c>
      <c r="O26" s="16" t="inlineStr">
        <is>
          <t>5Jng6jkLKU1o8BNrCzTEMXMFvPjNJZTpdWR3Hq4RHJb6</t>
        </is>
      </c>
      <c r="P26" s="16">
        <f>HYPERLINK("https://dexscreener.com/solana/5Jng6jkLKU1o8BNrCzTEMXMFvPjNJZTpdWR3Hq4RHJb6", "View")</f>
        <v/>
      </c>
    </row>
    <row r="27">
      <c r="A27" s="19" t="inlineStr">
        <is>
          <t>WALTER</t>
        </is>
      </c>
      <c r="B27" s="20" t="n">
        <v>5439</v>
      </c>
      <c r="C27" s="20" t="n">
        <v>0</v>
      </c>
      <c r="D27" s="20" t="inlineStr">
        <is>
          <t>0.000150</t>
        </is>
      </c>
      <c r="E27" s="20" t="inlineStr">
        <is>
          <t>0.050 SOL</t>
        </is>
      </c>
      <c r="F27" s="20" t="inlineStr">
        <is>
          <t>0.000 SOL</t>
        </is>
      </c>
      <c r="G27" s="17" t="inlineStr">
        <is>
          <t>-0.050 SOL</t>
        </is>
      </c>
      <c r="H27" s="17" t="inlineStr">
        <is>
          <t>0.00%</t>
        </is>
      </c>
      <c r="I27" s="20" t="inlineStr">
        <is>
          <t>5,439</t>
        </is>
      </c>
      <c r="J27" s="20" t="n">
        <v>1</v>
      </c>
      <c r="K27" s="20" t="n">
        <v>0</v>
      </c>
      <c r="L27" s="20" t="inlineStr">
        <is>
          <t>30.10.2024 07:15:16</t>
        </is>
      </c>
      <c r="M27" s="18" t="inlineStr">
        <is>
          <t>0 sec</t>
        </is>
      </c>
      <c r="N27" s="20" t="inlineStr">
        <is>
          <t xml:space="preserve">          2M             2M             2M</t>
        </is>
      </c>
      <c r="O27" s="20" t="inlineStr">
        <is>
          <t>FV56CmR7fhEyPkymKfmviKV48uPo51ti9kAxssQqTDLu</t>
        </is>
      </c>
      <c r="P27" s="20">
        <f>HYPERLINK("https://dexscreener.com/solana/FV56CmR7fhEyPkymKfmviKV48uPo51ti9kAxssQqTDLu", "View")</f>
        <v/>
      </c>
    </row>
    <row r="28">
      <c r="A28" s="15" t="inlineStr">
        <is>
          <t>frank</t>
        </is>
      </c>
      <c r="B28" s="16" t="n">
        <v>7273</v>
      </c>
      <c r="C28" s="16" t="n">
        <v>3637</v>
      </c>
      <c r="D28" s="16" t="inlineStr">
        <is>
          <t>0.000550</t>
        </is>
      </c>
      <c r="E28" s="16" t="inlineStr">
        <is>
          <t>0.100 SOL</t>
        </is>
      </c>
      <c r="F28" s="16" t="inlineStr">
        <is>
          <t>0.078 SOL</t>
        </is>
      </c>
      <c r="G28" s="21" t="inlineStr">
        <is>
          <t>-0.022 SOL</t>
        </is>
      </c>
      <c r="H28" s="21" t="inlineStr">
        <is>
          <t>-22.05%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29.10.2024 22:39:03</t>
        </is>
      </c>
      <c r="M28" s="16" t="inlineStr">
        <is>
          <t>38 min</t>
        </is>
      </c>
      <c r="N28" s="16" t="inlineStr">
        <is>
          <t xml:space="preserve">          2M             4M             3M</t>
        </is>
      </c>
      <c r="O28" s="16" t="inlineStr">
        <is>
          <t>AYhFJk9ZyKN5aCRwrG78iTvuxnrrLp5q4fGfyBM7pump</t>
        </is>
      </c>
      <c r="P28" s="16">
        <f>HYPERLINK("https://dexscreener.com/solana/AYhFJk9ZyKN5aCRwrG78iTvuxnrrLp5q4fGfyBM7pump", "View")</f>
        <v/>
      </c>
    </row>
    <row r="29">
      <c r="A29" s="19" t="inlineStr">
        <is>
          <t>TONY</t>
        </is>
      </c>
      <c r="B29" s="20" t="n">
        <v>11289</v>
      </c>
      <c r="C29" s="20" t="n">
        <v>0</v>
      </c>
      <c r="D29" s="20" t="inlineStr">
        <is>
          <t>0.002750</t>
        </is>
      </c>
      <c r="E29" s="20" t="inlineStr">
        <is>
          <t>0.050 SOL</t>
        </is>
      </c>
      <c r="F29" s="20" t="inlineStr">
        <is>
          <t>0.000 SOL</t>
        </is>
      </c>
      <c r="G29" s="17" t="inlineStr">
        <is>
          <t>-0.053 SOL</t>
        </is>
      </c>
      <c r="H29" s="17" t="inlineStr">
        <is>
          <t>0.00%</t>
        </is>
      </c>
      <c r="I29" s="20" t="inlineStr">
        <is>
          <t>11,289</t>
        </is>
      </c>
      <c r="J29" s="20" t="n">
        <v>1</v>
      </c>
      <c r="K29" s="20" t="n">
        <v>0</v>
      </c>
      <c r="L29" s="20" t="inlineStr">
        <is>
          <t>29.10.2024 22:35:13</t>
        </is>
      </c>
      <c r="M29" s="18" t="inlineStr">
        <is>
          <t>0 sec</t>
        </is>
      </c>
      <c r="N29" s="20" t="inlineStr">
        <is>
          <t xml:space="preserve">        778K           778K           684K</t>
        </is>
      </c>
      <c r="O29" s="20" t="inlineStr">
        <is>
          <t>32B2W8U4Baxooa1pATyY4w35dxtjbhuuuo9dzC75yJNT</t>
        </is>
      </c>
      <c r="P29" s="20">
        <f>HYPERLINK("https://dexscreener.com/solana/32B2W8U4Baxooa1pATyY4w35dxtjbhuuuo9dzC75yJNT", "View")</f>
        <v/>
      </c>
    </row>
    <row r="30">
      <c r="A30" s="15" t="inlineStr">
        <is>
          <t>Juan</t>
        </is>
      </c>
      <c r="B30" s="16" t="n">
        <v>97545</v>
      </c>
      <c r="C30" s="16" t="n">
        <v>0</v>
      </c>
      <c r="D30" s="16" t="inlineStr">
        <is>
          <t>0.000870</t>
        </is>
      </c>
      <c r="E30" s="16" t="inlineStr">
        <is>
          <t>0.100 SOL</t>
        </is>
      </c>
      <c r="F30" s="16" t="inlineStr">
        <is>
          <t>0.000 SOL</t>
        </is>
      </c>
      <c r="G30" s="17" t="inlineStr">
        <is>
          <t>-0.101 SOL</t>
        </is>
      </c>
      <c r="H30" s="17" t="inlineStr">
        <is>
          <t>0.00%</t>
        </is>
      </c>
      <c r="I30" s="16" t="inlineStr">
        <is>
          <t>97,545</t>
        </is>
      </c>
      <c r="J30" s="16" t="n">
        <v>1</v>
      </c>
      <c r="K30" s="16" t="n">
        <v>0</v>
      </c>
      <c r="L30" s="16" t="inlineStr">
        <is>
          <t>29.10.2024 22:01:00</t>
        </is>
      </c>
      <c r="M30" s="18" t="inlineStr">
        <is>
          <t>0 sec</t>
        </is>
      </c>
      <c r="N30" s="16" t="inlineStr">
        <is>
          <t xml:space="preserve">        179K           179K             7K</t>
        </is>
      </c>
      <c r="O30" s="16" t="inlineStr">
        <is>
          <t>F4dJ52wxyyAcTmxo5XYXQR738eAuUrndwneH6geNpump</t>
        </is>
      </c>
      <c r="P30" s="16">
        <f>HYPERLINK("https://dexscreener.com/solana/F4dJ52wxyyAcTmxo5XYXQR738eAuUrndwneH6geNpump", "View")</f>
        <v/>
      </c>
    </row>
    <row r="31">
      <c r="A31" s="19" t="inlineStr">
        <is>
          <t xml:space="preserve">Fartcoin </t>
        </is>
      </c>
      <c r="B31" s="20" t="n">
        <v>1072</v>
      </c>
      <c r="C31" s="20" t="n">
        <v>0</v>
      </c>
      <c r="D31" s="20" t="inlineStr">
        <is>
          <t>0.001810</t>
        </is>
      </c>
      <c r="E31" s="20" t="inlineStr">
        <is>
          <t>0.200 SOL</t>
        </is>
      </c>
      <c r="F31" s="20" t="inlineStr">
        <is>
          <t>0.000 SOL</t>
        </is>
      </c>
      <c r="G31" s="17" t="inlineStr">
        <is>
          <t>-0.202 SOL</t>
        </is>
      </c>
      <c r="H31" s="17" t="inlineStr">
        <is>
          <t>0.00%</t>
        </is>
      </c>
      <c r="I31" s="20" t="inlineStr">
        <is>
          <t>1,072</t>
        </is>
      </c>
      <c r="J31" s="20" t="n">
        <v>2</v>
      </c>
      <c r="K31" s="20" t="n">
        <v>0</v>
      </c>
      <c r="L31" s="20" t="inlineStr">
        <is>
          <t>29.10.2024 22:00:34</t>
        </is>
      </c>
      <c r="M31" s="20" t="inlineStr">
        <is>
          <t>6 days</t>
        </is>
      </c>
      <c r="N31" s="20" t="inlineStr">
        <is>
          <t xml:space="preserve">         25M            46M            23M</t>
        </is>
      </c>
      <c r="O31" s="20" t="inlineStr">
        <is>
          <t>9BB6NFEcjBCtnNLFko2FqVQBq8HHM13kCyYcdQbgpump</t>
        </is>
      </c>
      <c r="P31" s="20">
        <f>HYPERLINK("https://dexscreener.com/solana/9BB6NFEcjBCtnNLFko2FqVQBq8HHM13kCyYcdQbgpump", "View")</f>
        <v/>
      </c>
    </row>
    <row r="32">
      <c r="A32" s="15" t="inlineStr">
        <is>
          <t>UP</t>
        </is>
      </c>
      <c r="B32" s="16" t="n">
        <v>130396</v>
      </c>
      <c r="C32" s="16" t="n">
        <v>65198</v>
      </c>
      <c r="D32" s="16" t="inlineStr">
        <is>
          <t>0.006010</t>
        </is>
      </c>
      <c r="E32" s="16" t="inlineStr">
        <is>
          <t>0.050 SOL</t>
        </is>
      </c>
      <c r="F32" s="16" t="inlineStr">
        <is>
          <t>0.157 SOL</t>
        </is>
      </c>
      <c r="G32" s="23" t="inlineStr">
        <is>
          <t>0.101 SOL</t>
        </is>
      </c>
      <c r="H32" s="23" t="inlineStr">
        <is>
          <t>179.66%</t>
        </is>
      </c>
      <c r="I32" s="16" t="inlineStr">
        <is>
          <t>N/A</t>
        </is>
      </c>
      <c r="J32" s="16" t="n">
        <v>1</v>
      </c>
      <c r="K32" s="16" t="n">
        <v>1</v>
      </c>
      <c r="L32" s="16" t="inlineStr">
        <is>
          <t>29.10.2024 21:42:45</t>
        </is>
      </c>
      <c r="M32" s="16" t="inlineStr">
        <is>
          <t>5 hours</t>
        </is>
      </c>
      <c r="N32" s="16" t="inlineStr">
        <is>
          <t xml:space="preserve">         67K            67K           225K</t>
        </is>
      </c>
      <c r="O32" s="16" t="inlineStr">
        <is>
          <t>8aZuUoqr9rBLjikz7kvpajm1JRqhoWiLMnrNtnRNpump</t>
        </is>
      </c>
      <c r="P32" s="16">
        <f>HYPERLINK("https://dexscreener.com/solana/8aZuUoqr9rBLjikz7kvpajm1JRqhoWiLMnrNtnRNpump", "View")</f>
        <v/>
      </c>
    </row>
    <row r="33">
      <c r="A33" s="19" t="inlineStr">
        <is>
          <t>PHROG</t>
        </is>
      </c>
      <c r="B33" s="20" t="n">
        <v>87614</v>
      </c>
      <c r="C33" s="20" t="n">
        <v>0</v>
      </c>
      <c r="D33" s="20" t="inlineStr">
        <is>
          <t>0.005600</t>
        </is>
      </c>
      <c r="E33" s="20" t="inlineStr">
        <is>
          <t>0.100 SOL</t>
        </is>
      </c>
      <c r="F33" s="20" t="inlineStr">
        <is>
          <t>0.000 SOL</t>
        </is>
      </c>
      <c r="G33" s="17" t="inlineStr">
        <is>
          <t>-0.106 SOL</t>
        </is>
      </c>
      <c r="H33" s="17" t="inlineStr">
        <is>
          <t>0.00%</t>
        </is>
      </c>
      <c r="I33" s="20" t="inlineStr">
        <is>
          <t>87,614</t>
        </is>
      </c>
      <c r="J33" s="20" t="n">
        <v>1</v>
      </c>
      <c r="K33" s="20" t="n">
        <v>0</v>
      </c>
      <c r="L33" s="20" t="inlineStr">
        <is>
          <t>29.10.2024 18:30:00</t>
        </is>
      </c>
      <c r="M33" s="18" t="inlineStr">
        <is>
          <t>0 sec</t>
        </is>
      </c>
      <c r="N33" s="20" t="inlineStr">
        <is>
          <t xml:space="preserve">        200K           200K            17K</t>
        </is>
      </c>
      <c r="O33" s="20" t="inlineStr">
        <is>
          <t>2yPfaQuvHtM7ztvjKnfRB6vPhtwwFF1AqzKVNaJoNiM1</t>
        </is>
      </c>
      <c r="P33" s="20">
        <f>HYPERLINK("https://dexscreener.com/solana/2yPfaQuvHtM7ztvjKnfRB6vPhtwwFF1AqzKVNaJoNiM1", "View")</f>
        <v/>
      </c>
    </row>
    <row r="34">
      <c r="A34" s="15" t="inlineStr">
        <is>
          <t>$duck</t>
        </is>
      </c>
      <c r="B34" s="16" t="n">
        <v>101612</v>
      </c>
      <c r="C34" s="16" t="n">
        <v>0</v>
      </c>
      <c r="D34" s="16" t="inlineStr">
        <is>
          <t>0.003680</t>
        </is>
      </c>
      <c r="E34" s="16" t="inlineStr">
        <is>
          <t>0.150 SOL</t>
        </is>
      </c>
      <c r="F34" s="16" t="inlineStr">
        <is>
          <t>0.000 SOL</t>
        </is>
      </c>
      <c r="G34" s="17" t="inlineStr">
        <is>
          <t>-0.153 SOL</t>
        </is>
      </c>
      <c r="H34" s="17" t="inlineStr">
        <is>
          <t>0.00%</t>
        </is>
      </c>
      <c r="I34" s="16" t="inlineStr">
        <is>
          <t>101,612</t>
        </is>
      </c>
      <c r="J34" s="16" t="n">
        <v>2</v>
      </c>
      <c r="K34" s="16" t="n">
        <v>0</v>
      </c>
      <c r="L34" s="16" t="inlineStr">
        <is>
          <t>29.10.2024 16:34:48</t>
        </is>
      </c>
      <c r="M34" s="16" t="inlineStr">
        <is>
          <t>20 min</t>
        </is>
      </c>
      <c r="N34" s="16" t="inlineStr">
        <is>
          <t xml:space="preserve">        253K           262K             6K</t>
        </is>
      </c>
      <c r="O34" s="16" t="inlineStr">
        <is>
          <t>FKhgikDbGfqFmYxrywtjz28zCHpJaAEyQAZS9X43pump</t>
        </is>
      </c>
      <c r="P34" s="16">
        <f>HYPERLINK("https://dexscreener.com/solana/FKhgikDbGfqFmYxrywtjz28zCHpJaAEyQAZS9X43pump", "View")</f>
        <v/>
      </c>
    </row>
    <row r="35">
      <c r="A35" s="19" t="inlineStr">
        <is>
          <t>RYAN</t>
        </is>
      </c>
      <c r="B35" s="20" t="n">
        <v>244457</v>
      </c>
      <c r="C35" s="20" t="n">
        <v>0</v>
      </c>
      <c r="D35" s="20" t="inlineStr">
        <is>
          <t>0.000550</t>
        </is>
      </c>
      <c r="E35" s="20" t="inlineStr">
        <is>
          <t>0.199 SOL</t>
        </is>
      </c>
      <c r="F35" s="20" t="inlineStr">
        <is>
          <t>0.000 SOL</t>
        </is>
      </c>
      <c r="G35" s="17" t="inlineStr">
        <is>
          <t>-0.200 SOL</t>
        </is>
      </c>
      <c r="H35" s="17" t="inlineStr">
        <is>
          <t>0.00%</t>
        </is>
      </c>
      <c r="I35" s="20" t="inlineStr">
        <is>
          <t>244,457</t>
        </is>
      </c>
      <c r="J35" s="20" t="n">
        <v>2</v>
      </c>
      <c r="K35" s="20" t="n">
        <v>0</v>
      </c>
      <c r="L35" s="20" t="inlineStr">
        <is>
          <t>29.10.2024 16:01:24</t>
        </is>
      </c>
      <c r="M35" s="20" t="inlineStr">
        <is>
          <t>17 min</t>
        </is>
      </c>
      <c r="N35" s="20" t="inlineStr">
        <is>
          <t xml:space="preserve">        276K            97K             7K</t>
        </is>
      </c>
      <c r="O35" s="20" t="inlineStr">
        <is>
          <t>ryanJ7cJmGni8RTWwBJeMm5Jx2HL3FzQvTtzYiuQbUY</t>
        </is>
      </c>
      <c r="P35" s="20">
        <f>HYPERLINK("https://dexscreener.com/solana/ryanJ7cJmGni8RTWwBJeMm5Jx2HL3FzQvTtzYiuQbUY", "View")</f>
        <v/>
      </c>
    </row>
    <row r="36">
      <c r="A36" s="15" t="inlineStr">
        <is>
          <t>FOREST</t>
        </is>
      </c>
      <c r="B36" s="16" t="n">
        <v>652</v>
      </c>
      <c r="C36" s="16" t="n">
        <v>0</v>
      </c>
      <c r="D36" s="16" t="inlineStr">
        <is>
          <t>0.000150</t>
        </is>
      </c>
      <c r="E36" s="16" t="inlineStr">
        <is>
          <t>0.100 SOL</t>
        </is>
      </c>
      <c r="F36" s="16" t="inlineStr">
        <is>
          <t>0.000 SOL</t>
        </is>
      </c>
      <c r="G36" s="17" t="inlineStr">
        <is>
          <t>-0.100 SOL</t>
        </is>
      </c>
      <c r="H36" s="17" t="inlineStr">
        <is>
          <t>0.00%</t>
        </is>
      </c>
      <c r="I36" s="16" t="inlineStr">
        <is>
          <t>652</t>
        </is>
      </c>
      <c r="J36" s="16" t="n">
        <v>1</v>
      </c>
      <c r="K36" s="16" t="n">
        <v>0</v>
      </c>
      <c r="L36" s="16" t="inlineStr">
        <is>
          <t>29.10.2024 14:54:53</t>
        </is>
      </c>
      <c r="M36" s="18" t="inlineStr">
        <is>
          <t>0 sec</t>
        </is>
      </c>
      <c r="N36" s="16" t="inlineStr">
        <is>
          <t xml:space="preserve">         27M            27M             9M</t>
        </is>
      </c>
      <c r="O36" s="16" t="inlineStr">
        <is>
          <t>BoAQaykj3LtkM2Brevc7cQcRAzpqcsP47nJ2rkyopump</t>
        </is>
      </c>
      <c r="P36" s="16">
        <f>HYPERLINK("https://dexscreener.com/solana/BoAQaykj3LtkM2Brevc7cQcRAzpqcsP47nJ2rkyopump", "View")</f>
        <v/>
      </c>
    </row>
    <row r="37">
      <c r="A37" s="19" t="inlineStr">
        <is>
          <t>BOBBY</t>
        </is>
      </c>
      <c r="B37" s="20" t="n">
        <v>91520</v>
      </c>
      <c r="C37" s="20" t="n">
        <v>0</v>
      </c>
      <c r="D37" s="20" t="inlineStr">
        <is>
          <t>0.003920</t>
        </is>
      </c>
      <c r="E37" s="20" t="inlineStr">
        <is>
          <t>0.050 SOL</t>
        </is>
      </c>
      <c r="F37" s="20" t="inlineStr">
        <is>
          <t>0.000 SOL</t>
        </is>
      </c>
      <c r="G37" s="17" t="inlineStr">
        <is>
          <t>-0.054 SOL</t>
        </is>
      </c>
      <c r="H37" s="17" t="inlineStr">
        <is>
          <t>0.00%</t>
        </is>
      </c>
      <c r="I37" s="20" t="inlineStr">
        <is>
          <t>91,520</t>
        </is>
      </c>
      <c r="J37" s="20" t="n">
        <v>1</v>
      </c>
      <c r="K37" s="20" t="n">
        <v>0</v>
      </c>
      <c r="L37" s="20" t="inlineStr">
        <is>
          <t>29.10.2024 14:28:33</t>
        </is>
      </c>
      <c r="M37" s="18" t="inlineStr">
        <is>
          <t>0 sec</t>
        </is>
      </c>
      <c r="N37" s="20" t="inlineStr">
        <is>
          <t xml:space="preserve">        N/A           N/A           N/A</t>
        </is>
      </c>
      <c r="O37" s="20" t="inlineStr">
        <is>
          <t>6Ti7oYvUHbYGaG6MkexsLCCdXGgQJN7Y8mZa68aWpump</t>
        </is>
      </c>
      <c r="P37" s="20">
        <f>HYPERLINK("https://dexscreener.com/solana/6Ti7oYvUHbYGaG6MkexsLCCdXGgQJN7Y8mZa68aWpump", "View")</f>
        <v/>
      </c>
    </row>
    <row r="38">
      <c r="A38" s="15" t="inlineStr">
        <is>
          <t>MOLANG</t>
        </is>
      </c>
      <c r="B38" s="16" t="n">
        <v>139805</v>
      </c>
      <c r="C38" s="16" t="n">
        <v>0</v>
      </c>
      <c r="D38" s="16" t="inlineStr">
        <is>
          <t>0.003820</t>
        </is>
      </c>
      <c r="E38" s="16" t="inlineStr">
        <is>
          <t>0.050 SOL</t>
        </is>
      </c>
      <c r="F38" s="16" t="inlineStr">
        <is>
          <t>0.000 SOL</t>
        </is>
      </c>
      <c r="G38" s="17" t="inlineStr">
        <is>
          <t>-0.054 SOL</t>
        </is>
      </c>
      <c r="H38" s="17" t="inlineStr">
        <is>
          <t>0.00%</t>
        </is>
      </c>
      <c r="I38" s="16" t="inlineStr">
        <is>
          <t>139,805</t>
        </is>
      </c>
      <c r="J38" s="16" t="n">
        <v>1</v>
      </c>
      <c r="K38" s="16" t="n">
        <v>0</v>
      </c>
      <c r="L38" s="16" t="inlineStr">
        <is>
          <t>29.10.2024 14:25:43</t>
        </is>
      </c>
      <c r="M38" s="18" t="inlineStr">
        <is>
          <t>0 sec</t>
        </is>
      </c>
      <c r="N38" s="16" t="inlineStr">
        <is>
          <t xml:space="preserve">         57K            57K             4K</t>
        </is>
      </c>
      <c r="O38" s="16" t="inlineStr">
        <is>
          <t>FAS87Vmmejcf5RBtpfGZ8vPAjR2VuUZJ6Sojf8Jgpump</t>
        </is>
      </c>
      <c r="P38" s="16">
        <f>HYPERLINK("https://dexscreener.com/solana/FAS87Vmmejcf5RBtpfGZ8vPAjR2VuUZJ6Sojf8Jgpump", "View")</f>
        <v/>
      </c>
    </row>
    <row r="39">
      <c r="A39" s="19" t="inlineStr">
        <is>
          <t>OMEGA</t>
        </is>
      </c>
      <c r="B39" s="20" t="n">
        <v>2848</v>
      </c>
      <c r="C39" s="20" t="n">
        <v>767</v>
      </c>
      <c r="D39" s="20" t="inlineStr">
        <is>
          <t>0.004740</t>
        </is>
      </c>
      <c r="E39" s="20" t="inlineStr">
        <is>
          <t>0.150 SOL</t>
        </is>
      </c>
      <c r="F39" s="20" t="inlineStr">
        <is>
          <t>0.048 SOL</t>
        </is>
      </c>
      <c r="G39" s="24" t="inlineStr">
        <is>
          <t>-0.107 SOL</t>
        </is>
      </c>
      <c r="H39" s="24" t="inlineStr">
        <is>
          <t>-68.88%</t>
        </is>
      </c>
      <c r="I39" s="20" t="inlineStr">
        <is>
          <t>N/A</t>
        </is>
      </c>
      <c r="J39" s="20" t="n">
        <v>2</v>
      </c>
      <c r="K39" s="20" t="n">
        <v>1</v>
      </c>
      <c r="L39" s="20" t="inlineStr">
        <is>
          <t>29.10.2024 14:16:03</t>
        </is>
      </c>
      <c r="M39" s="20" t="inlineStr">
        <is>
          <t>2 days</t>
        </is>
      </c>
      <c r="N39" s="20" t="inlineStr">
        <is>
          <t xml:space="preserve">          8M            11M             8M</t>
        </is>
      </c>
      <c r="O39" s="20" t="inlineStr">
        <is>
          <t>3DkVGaNSMTcxFkgGDAm299FaVxgnCw2411vxZTmRpump</t>
        </is>
      </c>
      <c r="P39" s="20">
        <f>HYPERLINK("https://dexscreener.com/solana/3DkVGaNSMTcxFkgGDAm299FaVxgnCw2411vxZTmRpump", "View")</f>
        <v/>
      </c>
    </row>
    <row r="40">
      <c r="A40" s="15" t="inlineStr">
        <is>
          <t>Nothing</t>
        </is>
      </c>
      <c r="B40" s="16" t="n">
        <v>574477</v>
      </c>
      <c r="C40" s="16" t="n">
        <v>574477</v>
      </c>
      <c r="D40" s="16" t="inlineStr">
        <is>
          <t>0.000510</t>
        </is>
      </c>
      <c r="E40" s="16" t="inlineStr">
        <is>
          <t>0.149 SOL</t>
        </is>
      </c>
      <c r="F40" s="16" t="inlineStr">
        <is>
          <t>0.011 SOL</t>
        </is>
      </c>
      <c r="G40" s="24" t="inlineStr">
        <is>
          <t>-0.138 SOL</t>
        </is>
      </c>
      <c r="H40" s="24" t="inlineStr">
        <is>
          <t>-92.56%</t>
        </is>
      </c>
      <c r="I40" s="16" t="inlineStr">
        <is>
          <t>N/A</t>
        </is>
      </c>
      <c r="J40" s="16" t="n">
        <v>1</v>
      </c>
      <c r="K40" s="16" t="n">
        <v>1</v>
      </c>
      <c r="L40" s="16" t="inlineStr">
        <is>
          <t>29.10.2024 11:56:39</t>
        </is>
      </c>
      <c r="M40" s="16" t="inlineStr">
        <is>
          <t>9 days</t>
        </is>
      </c>
      <c r="N40" s="16" t="inlineStr">
        <is>
          <t xml:space="preserve">         46K            46K             3K</t>
        </is>
      </c>
      <c r="O40" s="16" t="inlineStr">
        <is>
          <t>4WCtyMRDCbsHkzW7cX5yHoMCGmjNvJb9eXpMZSJ1pump</t>
        </is>
      </c>
      <c r="P40" s="16">
        <f>HYPERLINK("https://dexscreener.com/solana/4WCtyMRDCbsHkzW7cX5yHoMCGmjNvJb9eXpMZSJ1pump", "View")</f>
        <v/>
      </c>
    </row>
    <row r="41">
      <c r="A41" s="19" t="inlineStr">
        <is>
          <t>MEMEO</t>
        </is>
      </c>
      <c r="B41" s="20" t="n">
        <v>615395</v>
      </c>
      <c r="C41" s="20" t="n">
        <v>615395</v>
      </c>
      <c r="D41" s="20" t="inlineStr">
        <is>
          <t>0.003370</t>
        </is>
      </c>
      <c r="E41" s="20" t="inlineStr">
        <is>
          <t>0.100 SOL</t>
        </is>
      </c>
      <c r="F41" s="20" t="inlineStr">
        <is>
          <t>0.015 SOL</t>
        </is>
      </c>
      <c r="G41" s="24" t="inlineStr">
        <is>
          <t>-0.089 SOL</t>
        </is>
      </c>
      <c r="H41" s="24" t="inlineStr">
        <is>
          <t>-85.67%</t>
        </is>
      </c>
      <c r="I41" s="20" t="inlineStr">
        <is>
          <t>N/A</t>
        </is>
      </c>
      <c r="J41" s="20" t="n">
        <v>1</v>
      </c>
      <c r="K41" s="20" t="n">
        <v>1</v>
      </c>
      <c r="L41" s="20" t="inlineStr">
        <is>
          <t>29.10.2024 11:56:09</t>
        </is>
      </c>
      <c r="M41" s="20" t="inlineStr">
        <is>
          <t>4 days</t>
        </is>
      </c>
      <c r="N41" s="20" t="inlineStr">
        <is>
          <t xml:space="preserve">         28K            28K             4K</t>
        </is>
      </c>
      <c r="O41" s="20" t="inlineStr">
        <is>
          <t>5aZrarSnLQurphZX6B17CdhYfZpxoH1h7cKEBn4wpump</t>
        </is>
      </c>
      <c r="P41" s="20">
        <f>HYPERLINK("https://dexscreener.com/solana/5aZrarSnLQurphZX6B17CdhYfZpxoH1h7cKEBn4wpump", "View")</f>
        <v/>
      </c>
    </row>
    <row r="42">
      <c r="A42" s="15" t="inlineStr">
        <is>
          <t>FUNSET</t>
        </is>
      </c>
      <c r="B42" s="16" t="n">
        <v>1546199</v>
      </c>
      <c r="C42" s="16" t="n">
        <v>1546199</v>
      </c>
      <c r="D42" s="16" t="inlineStr">
        <is>
          <t>0.003410</t>
        </is>
      </c>
      <c r="E42" s="16" t="inlineStr">
        <is>
          <t>0.109 SOL</t>
        </is>
      </c>
      <c r="F42" s="16" t="inlineStr">
        <is>
          <t>0.000 SOL</t>
        </is>
      </c>
      <c r="G42" s="24" t="inlineStr">
        <is>
          <t>-0.112 SOL</t>
        </is>
      </c>
      <c r="H42" s="24" t="inlineStr">
        <is>
          <t>-99.62%</t>
        </is>
      </c>
      <c r="I42" s="16" t="inlineStr">
        <is>
          <t>N/A</t>
        </is>
      </c>
      <c r="J42" s="16" t="n">
        <v>1</v>
      </c>
      <c r="K42" s="16" t="n">
        <v>1</v>
      </c>
      <c r="L42" s="16" t="inlineStr">
        <is>
          <t>29.10.2024 11:55:21</t>
        </is>
      </c>
      <c r="M42" s="16" t="inlineStr">
        <is>
          <t>3 days</t>
        </is>
      </c>
      <c r="N42" s="16" t="inlineStr">
        <is>
          <t xml:space="preserve">         12K            12K             5K</t>
        </is>
      </c>
      <c r="O42" s="16" t="inlineStr">
        <is>
          <t>6vZp2DtdQtukeSF9tGLAdD8zyPS1arRYZQsaA9Napump</t>
        </is>
      </c>
      <c r="P42" s="16">
        <f>HYPERLINK("https://photon-sol.tinyastro.io/en/lp/6vZp2DtdQtukeSF9tGLAdD8zyPS1arRYZQsaA9Napump?handle=676050794bc1b1657a56b", "View")</f>
        <v/>
      </c>
    </row>
    <row r="43">
      <c r="A43" s="19" t="inlineStr">
        <is>
          <t>SNAKE</t>
        </is>
      </c>
      <c r="B43" s="20" t="n">
        <v>1705172</v>
      </c>
      <c r="C43" s="20" t="n">
        <v>1705172</v>
      </c>
      <c r="D43" s="20" t="inlineStr">
        <is>
          <t>0.003120</t>
        </is>
      </c>
      <c r="E43" s="20" t="inlineStr">
        <is>
          <t>0.100 SOL</t>
        </is>
      </c>
      <c r="F43" s="20" t="inlineStr">
        <is>
          <t>0.084 SOL</t>
        </is>
      </c>
      <c r="G43" s="21" t="inlineStr">
        <is>
          <t>-0.019 SOL</t>
        </is>
      </c>
      <c r="H43" s="21" t="inlineStr">
        <is>
          <t>-18.43%</t>
        </is>
      </c>
      <c r="I43" s="20" t="inlineStr">
        <is>
          <t>N/A</t>
        </is>
      </c>
      <c r="J43" s="20" t="n">
        <v>1</v>
      </c>
      <c r="K43" s="20" t="n">
        <v>1</v>
      </c>
      <c r="L43" s="20" t="inlineStr">
        <is>
          <t>29.10.2024 11:55:04</t>
        </is>
      </c>
      <c r="M43" s="20" t="inlineStr">
        <is>
          <t>4 days</t>
        </is>
      </c>
      <c r="N43" s="20" t="inlineStr">
        <is>
          <t xml:space="preserve">         10K            10K             8K</t>
        </is>
      </c>
      <c r="O43" s="20" t="inlineStr">
        <is>
          <t>4mgjq325wXi29yJ19B4wLF44bmrhwu52UEKQJj5ipump</t>
        </is>
      </c>
      <c r="P43" s="20">
        <f>HYPERLINK("https://dexscreener.com/solana/4mgjq325wXi29yJ19B4wLF44bmrhwu52UEKQJj5ipump", "View")</f>
        <v/>
      </c>
    </row>
    <row r="44">
      <c r="A44" s="15" t="inlineStr">
        <is>
          <t>GRIM</t>
        </is>
      </c>
      <c r="B44" s="16" t="n">
        <v>589156</v>
      </c>
      <c r="C44" s="16" t="n">
        <v>589156</v>
      </c>
      <c r="D44" s="16" t="inlineStr">
        <is>
          <t>0.002090</t>
        </is>
      </c>
      <c r="E44" s="16" t="inlineStr">
        <is>
          <t>0.050 SOL</t>
        </is>
      </c>
      <c r="F44" s="16" t="inlineStr">
        <is>
          <t>0.020 SOL</t>
        </is>
      </c>
      <c r="G44" s="24" t="inlineStr">
        <is>
          <t>-0.032 SOL</t>
        </is>
      </c>
      <c r="H44" s="24" t="inlineStr">
        <is>
          <t>-61.98%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29.10.2024 11:54:40</t>
        </is>
      </c>
      <c r="M44" s="16" t="inlineStr">
        <is>
          <t>6 days</t>
        </is>
      </c>
      <c r="N44" s="16" t="inlineStr">
        <is>
          <t xml:space="preserve">         14K            14K             6K</t>
        </is>
      </c>
      <c r="O44" s="16" t="inlineStr">
        <is>
          <t>CE932vk7V6PCZqCkZmPQnDjAvUvS7mDW3XM5FKJHpump</t>
        </is>
      </c>
      <c r="P44" s="16">
        <f>HYPERLINK("https://dexscreener.com/solana/CE932vk7V6PCZqCkZmPQnDjAvUvS7mDW3XM5FKJHpump", "View")</f>
        <v/>
      </c>
    </row>
    <row r="45">
      <c r="A45" s="19" t="inlineStr">
        <is>
          <t>HSLUT</t>
        </is>
      </c>
      <c r="B45" s="20" t="n">
        <v>225270</v>
      </c>
      <c r="C45" s="20" t="n">
        <v>225270</v>
      </c>
      <c r="D45" s="20" t="inlineStr">
        <is>
          <t>0.004610</t>
        </is>
      </c>
      <c r="E45" s="20" t="inlineStr">
        <is>
          <t>0.050 SOL</t>
        </is>
      </c>
      <c r="F45" s="20" t="inlineStr">
        <is>
          <t>0.015 SOL</t>
        </is>
      </c>
      <c r="G45" s="24" t="inlineStr">
        <is>
          <t>-0.039 SOL</t>
        </is>
      </c>
      <c r="H45" s="24" t="inlineStr">
        <is>
          <t>-72.02%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29.10.2024 11:54:08</t>
        </is>
      </c>
      <c r="M45" s="20" t="inlineStr">
        <is>
          <t>2 days</t>
        </is>
      </c>
      <c r="N45" s="20" t="inlineStr">
        <is>
          <t xml:space="preserve">         39K            39K             9K</t>
        </is>
      </c>
      <c r="O45" s="20" t="inlineStr">
        <is>
          <t>7uhVwB3mhzxk3k5v98cUqPhLKQQZ5Tm6bcwuzti3pump</t>
        </is>
      </c>
      <c r="P45" s="20">
        <f>HYPERLINK("https://dexscreener.com/solana/7uhVwB3mhzxk3k5v98cUqPhLKQQZ5Tm6bcwuzti3pump", "View")</f>
        <v/>
      </c>
    </row>
    <row r="46">
      <c r="A46" s="15" t="inlineStr">
        <is>
          <t>RETURN</t>
        </is>
      </c>
      <c r="B46" s="16" t="n">
        <v>487548</v>
      </c>
      <c r="C46" s="16" t="n">
        <v>487548</v>
      </c>
      <c r="D46" s="16" t="inlineStr">
        <is>
          <t>0.000810</t>
        </is>
      </c>
      <c r="E46" s="16" t="inlineStr">
        <is>
          <t>0.050 SOL</t>
        </is>
      </c>
      <c r="F46" s="16" t="inlineStr">
        <is>
          <t>0.021 SOL</t>
        </is>
      </c>
      <c r="G46" s="24" t="inlineStr">
        <is>
          <t>-0.030 SOL</t>
        </is>
      </c>
      <c r="H46" s="24" t="inlineStr">
        <is>
          <t>-59.10%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29.10.2024 11:53:38</t>
        </is>
      </c>
      <c r="M46" s="16" t="inlineStr">
        <is>
          <t>3 days</t>
        </is>
      </c>
      <c r="N46" s="16" t="inlineStr">
        <is>
          <t xml:space="preserve">         18K            18K             7K</t>
        </is>
      </c>
      <c r="O46" s="16" t="inlineStr">
        <is>
          <t>EfNuJ8BqdaXk9Pa3kUQR4Bjwjtn8VKPshVfiqZ9ppump</t>
        </is>
      </c>
      <c r="P46" s="16">
        <f>HYPERLINK("https://dexscreener.com/solana/EfNuJ8BqdaXk9Pa3kUQR4Bjwjtn8VKPshVfiqZ9ppump", "View")</f>
        <v/>
      </c>
    </row>
    <row r="47">
      <c r="A47" s="19" t="inlineStr">
        <is>
          <t>ENKI</t>
        </is>
      </c>
      <c r="B47" s="20" t="n">
        <v>165991</v>
      </c>
      <c r="C47" s="20" t="n">
        <v>165991</v>
      </c>
      <c r="D47" s="20" t="inlineStr">
        <is>
          <t>0.002660</t>
        </is>
      </c>
      <c r="E47" s="20" t="inlineStr">
        <is>
          <t>0.299 SOL</t>
        </is>
      </c>
      <c r="F47" s="20" t="inlineStr">
        <is>
          <t>0.510 SOL</t>
        </is>
      </c>
      <c r="G47" s="23" t="inlineStr">
        <is>
          <t>0.208 SOL</t>
        </is>
      </c>
      <c r="H47" s="23" t="inlineStr">
        <is>
          <t>69.14%</t>
        </is>
      </c>
      <c r="I47" s="20" t="inlineStr">
        <is>
          <t>N/A</t>
        </is>
      </c>
      <c r="J47" s="20" t="n">
        <v>2</v>
      </c>
      <c r="K47" s="20" t="n">
        <v>2</v>
      </c>
      <c r="L47" s="20" t="inlineStr">
        <is>
          <t>29.10.2024 11:53:08</t>
        </is>
      </c>
      <c r="M47" s="20" t="inlineStr">
        <is>
          <t>7 days</t>
        </is>
      </c>
      <c r="N47" s="20" t="inlineStr">
        <is>
          <t xml:space="preserve">        276K           372K            33K</t>
        </is>
      </c>
      <c r="O47" s="20" t="inlineStr">
        <is>
          <t>4weXPAD4eYv9tPShCPnRrKUUdaEUTzomCRALZsPrBBGR</t>
        </is>
      </c>
      <c r="P47" s="20">
        <f>HYPERLINK("https://dexscreener.com/solana/4weXPAD4eYv9tPShCPnRrKUUdaEUTzomCRALZsPrBBGR", "View")</f>
        <v/>
      </c>
    </row>
    <row r="48">
      <c r="A48" s="15" t="inlineStr">
        <is>
          <t>test</t>
        </is>
      </c>
      <c r="B48" s="16" t="n">
        <v>169947</v>
      </c>
      <c r="C48" s="16" t="n">
        <v>169947</v>
      </c>
      <c r="D48" s="16" t="inlineStr">
        <is>
          <t>0.004610</t>
        </is>
      </c>
      <c r="E48" s="16" t="inlineStr">
        <is>
          <t>0.050 SOL</t>
        </is>
      </c>
      <c r="F48" s="16" t="inlineStr">
        <is>
          <t>0.017 SOL</t>
        </is>
      </c>
      <c r="G48" s="24" t="inlineStr">
        <is>
          <t>-0.037 SOL</t>
        </is>
      </c>
      <c r="H48" s="24" t="inlineStr">
        <is>
          <t>-67.98%</t>
        </is>
      </c>
      <c r="I48" s="16" t="inlineStr">
        <is>
          <t>N/A</t>
        </is>
      </c>
      <c r="J48" s="16" t="n">
        <v>1</v>
      </c>
      <c r="K48" s="16" t="n">
        <v>1</v>
      </c>
      <c r="L48" s="16" t="inlineStr">
        <is>
          <t>29.10.2024 11:52:41</t>
        </is>
      </c>
      <c r="M48" s="16" t="inlineStr">
        <is>
          <t>3 days</t>
        </is>
      </c>
      <c r="N48" s="16" t="inlineStr">
        <is>
          <t xml:space="preserve">         49K            49K            16K</t>
        </is>
      </c>
      <c r="O48" s="16" t="inlineStr">
        <is>
          <t>451zhKaaoX9jt68s5rWpmSKp8uKSu9LZwNmsj5XLpump</t>
        </is>
      </c>
      <c r="P48" s="16">
        <f>HYPERLINK("https://dexscreener.com/solana/451zhKaaoX9jt68s5rWpmSKp8uKSu9LZwNmsj5XLpump", "View")</f>
        <v/>
      </c>
    </row>
    <row r="49">
      <c r="A49" s="19" t="inlineStr">
        <is>
          <t>ORACLE</t>
        </is>
      </c>
      <c r="B49" s="20" t="n">
        <v>687271</v>
      </c>
      <c r="C49" s="20" t="n">
        <v>687271</v>
      </c>
      <c r="D49" s="20" t="inlineStr">
        <is>
          <t>0.008220</t>
        </is>
      </c>
      <c r="E49" s="20" t="inlineStr">
        <is>
          <t>0.100 SOL</t>
        </is>
      </c>
      <c r="F49" s="20" t="inlineStr">
        <is>
          <t>0.025 SOL</t>
        </is>
      </c>
      <c r="G49" s="24" t="inlineStr">
        <is>
          <t>-0.084 SOL</t>
        </is>
      </c>
      <c r="H49" s="24" t="inlineStr">
        <is>
          <t>-77.20%</t>
        </is>
      </c>
      <c r="I49" s="20" t="inlineStr">
        <is>
          <t>N/A</t>
        </is>
      </c>
      <c r="J49" s="20" t="n">
        <v>2</v>
      </c>
      <c r="K49" s="20" t="n">
        <v>1</v>
      </c>
      <c r="L49" s="20" t="inlineStr">
        <is>
          <t>29.10.2024 11:52:13</t>
        </is>
      </c>
      <c r="M49" s="20" t="inlineStr">
        <is>
          <t>3 days</t>
        </is>
      </c>
      <c r="N49" s="20" t="inlineStr">
        <is>
          <t xml:space="preserve">         28K            23K             6K</t>
        </is>
      </c>
      <c r="O49" s="20" t="inlineStr">
        <is>
          <t>5emZ2w29VGRMkrpDmZ7QyAB35W2upSoYTie35L7kpump</t>
        </is>
      </c>
      <c r="P49" s="20">
        <f>HYPERLINK("https://dexscreener.com/solana/5emZ2w29VGRMkrpDmZ7QyAB35W2upSoYTie35L7kpump", "View")</f>
        <v/>
      </c>
    </row>
    <row r="50">
      <c r="A50" s="15" t="inlineStr">
        <is>
          <t>Mai</t>
        </is>
      </c>
      <c r="B50" s="16" t="n">
        <v>167392</v>
      </c>
      <c r="C50" s="16" t="n">
        <v>167392</v>
      </c>
      <c r="D50" s="16" t="inlineStr">
        <is>
          <t>0.000550</t>
        </is>
      </c>
      <c r="E50" s="16" t="inlineStr">
        <is>
          <t>0.100 SOL</t>
        </is>
      </c>
      <c r="F50" s="16" t="inlineStr">
        <is>
          <t>0.026 SOL</t>
        </is>
      </c>
      <c r="G50" s="24" t="inlineStr">
        <is>
          <t>-0.074 SOL</t>
        </is>
      </c>
      <c r="H50" s="24" t="inlineStr">
        <is>
          <t>-73.74%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29.10.2024 11:51:59</t>
        </is>
      </c>
      <c r="M50" s="16" t="inlineStr">
        <is>
          <t>1 days</t>
        </is>
      </c>
      <c r="N50" s="16" t="inlineStr">
        <is>
          <t xml:space="preserve">        104K           104K            29K</t>
        </is>
      </c>
      <c r="O50" s="16" t="inlineStr">
        <is>
          <t>AgYwQC16aktyMdTR26jwWuCzJ52R6b99a1JcK11spump</t>
        </is>
      </c>
      <c r="P50" s="16">
        <f>HYPERLINK("https://dexscreener.com/solana/AgYwQC16aktyMdTR26jwWuCzJ52R6b99a1JcK11spump", "View")</f>
        <v/>
      </c>
    </row>
    <row r="51">
      <c r="A51" s="19" t="inlineStr">
        <is>
          <t>fleebr</t>
        </is>
      </c>
      <c r="B51" s="20" t="n">
        <v>73798</v>
      </c>
      <c r="C51" s="20" t="n">
        <v>73798</v>
      </c>
      <c r="D51" s="20" t="inlineStr">
        <is>
          <t>0.002400</t>
        </is>
      </c>
      <c r="E51" s="20" t="inlineStr">
        <is>
          <t>0.200 SOL</t>
        </is>
      </c>
      <c r="F51" s="20" t="inlineStr">
        <is>
          <t>0.029 SOL</t>
        </is>
      </c>
      <c r="G51" s="24" t="inlineStr">
        <is>
          <t>-0.173 SOL</t>
        </is>
      </c>
      <c r="H51" s="24" t="inlineStr">
        <is>
          <t>-85.56%</t>
        </is>
      </c>
      <c r="I51" s="20" t="inlineStr">
        <is>
          <t>N/A</t>
        </is>
      </c>
      <c r="J51" s="20" t="n">
        <v>2</v>
      </c>
      <c r="K51" s="20" t="n">
        <v>1</v>
      </c>
      <c r="L51" s="20" t="inlineStr">
        <is>
          <t>29.10.2024 11:51:37</t>
        </is>
      </c>
      <c r="M51" s="20" t="inlineStr">
        <is>
          <t>11 days</t>
        </is>
      </c>
      <c r="N51" s="20" t="inlineStr">
        <is>
          <t xml:space="preserve">        290K             1M            56K</t>
        </is>
      </c>
      <c r="O51" s="20" t="inlineStr">
        <is>
          <t>4FxtVVjQSkwKghNXnGBxx3iSoN3XQcsZ4fmjAbLPpump</t>
        </is>
      </c>
      <c r="P51" s="20">
        <f>HYPERLINK("https://dexscreener.com/solana/4FxtVVjQSkwKghNXnGBxx3iSoN3XQcsZ4fmjAbLPpump", "View")</f>
        <v/>
      </c>
    </row>
    <row r="52">
      <c r="A52" s="15" t="inlineStr">
        <is>
          <t>Virus</t>
        </is>
      </c>
      <c r="B52" s="16" t="n">
        <v>307766</v>
      </c>
      <c r="C52" s="16" t="n">
        <v>307766</v>
      </c>
      <c r="D52" s="16" t="inlineStr">
        <is>
          <t>0.010270</t>
        </is>
      </c>
      <c r="E52" s="16" t="inlineStr">
        <is>
          <t>0.150 SOL</t>
        </is>
      </c>
      <c r="F52" s="16" t="inlineStr">
        <is>
          <t>0.030 SOL</t>
        </is>
      </c>
      <c r="G52" s="24" t="inlineStr">
        <is>
          <t>-0.130 SOL</t>
        </is>
      </c>
      <c r="H52" s="24" t="inlineStr">
        <is>
          <t>-81.12%</t>
        </is>
      </c>
      <c r="I52" s="16" t="inlineStr">
        <is>
          <t>N/A</t>
        </is>
      </c>
      <c r="J52" s="16" t="n">
        <v>3</v>
      </c>
      <c r="K52" s="16" t="n">
        <v>1</v>
      </c>
      <c r="L52" s="16" t="inlineStr">
        <is>
          <t>29.10.2024 11:51:23</t>
        </is>
      </c>
      <c r="M52" s="16" t="inlineStr">
        <is>
          <t>3 days</t>
        </is>
      </c>
      <c r="N52" s="16" t="inlineStr">
        <is>
          <t xml:space="preserve">         70K           144K            10K</t>
        </is>
      </c>
      <c r="O52" s="16" t="inlineStr">
        <is>
          <t>GZBwGGgmj3PGSkb8qgsLYkJAQexRVrxNKVZG8xYUpump</t>
        </is>
      </c>
      <c r="P52" s="16">
        <f>HYPERLINK("https://dexscreener.com/solana/GZBwGGgmj3PGSkb8qgsLYkJAQexRVrxNKVZG8xYUpump", "View")</f>
        <v/>
      </c>
    </row>
    <row r="53">
      <c r="A53" s="19" t="inlineStr">
        <is>
          <t>INT</t>
        </is>
      </c>
      <c r="B53" s="20" t="n">
        <v>723449</v>
      </c>
      <c r="C53" s="20" t="n">
        <v>723449</v>
      </c>
      <c r="D53" s="20" t="inlineStr">
        <is>
          <t>0.000550</t>
        </is>
      </c>
      <c r="E53" s="20" t="inlineStr">
        <is>
          <t>0.100 SOL</t>
        </is>
      </c>
      <c r="F53" s="20" t="inlineStr">
        <is>
          <t>0.031 SOL</t>
        </is>
      </c>
      <c r="G53" s="24" t="inlineStr">
        <is>
          <t>-0.069 SOL</t>
        </is>
      </c>
      <c r="H53" s="24" t="inlineStr">
        <is>
          <t>-68.81%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29.10.2024 11:51:08</t>
        </is>
      </c>
      <c r="M53" s="20" t="inlineStr">
        <is>
          <t>1 days</t>
        </is>
      </c>
      <c r="N53" s="20" t="inlineStr">
        <is>
          <t xml:space="preserve">         24K            24K             7K</t>
        </is>
      </c>
      <c r="O53" s="20" t="inlineStr">
        <is>
          <t>5ZqPs7FK9EQwXHqdygfqHCV2r7VEYBcd5qVH9vU9pump</t>
        </is>
      </c>
      <c r="P53" s="20">
        <f>HYPERLINK("https://dexscreener.com/solana/5ZqPs7FK9EQwXHqdygfqHCV2r7VEYBcd5qVH9vU9pump", "View")</f>
        <v/>
      </c>
    </row>
    <row r="54">
      <c r="A54" s="15" t="inlineStr">
        <is>
          <t>SONICAI</t>
        </is>
      </c>
      <c r="B54" s="16" t="n">
        <v>718747</v>
      </c>
      <c r="C54" s="16" t="n">
        <v>718747</v>
      </c>
      <c r="D54" s="16" t="inlineStr">
        <is>
          <t>0.000810</t>
        </is>
      </c>
      <c r="E54" s="16" t="inlineStr">
        <is>
          <t>0.099 SOL</t>
        </is>
      </c>
      <c r="F54" s="16" t="inlineStr">
        <is>
          <t>0.032 SOL</t>
        </is>
      </c>
      <c r="G54" s="24" t="inlineStr">
        <is>
          <t>-0.068 SOL</t>
        </is>
      </c>
      <c r="H54" s="24" t="inlineStr">
        <is>
          <t>-67.90%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29.10.2024 11:50:56</t>
        </is>
      </c>
      <c r="M54" s="16" t="inlineStr">
        <is>
          <t>4 days</t>
        </is>
      </c>
      <c r="N54" s="16" t="inlineStr">
        <is>
          <t xml:space="preserve">         25K            25K             8K</t>
        </is>
      </c>
      <c r="O54" s="16" t="inlineStr">
        <is>
          <t>BQYPkPWpYY36eUgt2fbPNrQnvE7Qa5vd5JPjqYvmpump</t>
        </is>
      </c>
      <c r="P54" s="16">
        <f>HYPERLINK("https://dexscreener.com/solana/BQYPkPWpYY36eUgt2fbPNrQnvE7Qa5vd5JPjqYvmpump", "View")</f>
        <v/>
      </c>
    </row>
    <row r="55">
      <c r="A55" s="19" t="inlineStr">
        <is>
          <t>SGROK</t>
        </is>
      </c>
      <c r="B55" s="20" t="n">
        <v>864944</v>
      </c>
      <c r="C55" s="20" t="n">
        <v>864944</v>
      </c>
      <c r="D55" s="20" t="inlineStr">
        <is>
          <t>0.000810</t>
        </is>
      </c>
      <c r="E55" s="20" t="inlineStr">
        <is>
          <t>0.099 SOL</t>
        </is>
      </c>
      <c r="F55" s="20" t="inlineStr">
        <is>
          <t>0.016 SOL</t>
        </is>
      </c>
      <c r="G55" s="24" t="inlineStr">
        <is>
          <t>-0.084 SOL</t>
        </is>
      </c>
      <c r="H55" s="24" t="inlineStr">
        <is>
          <t>-83.81%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29.10.2024 11:50:22</t>
        </is>
      </c>
      <c r="M55" s="20" t="inlineStr">
        <is>
          <t>4 days</t>
        </is>
      </c>
      <c r="N55" s="20" t="inlineStr">
        <is>
          <t xml:space="preserve">         19K            19K             3K</t>
        </is>
      </c>
      <c r="O55" s="20" t="inlineStr">
        <is>
          <t>HzhWHj96UEW7oTH5TfhThYbRG3HkLyYgpWmNv8jgpump</t>
        </is>
      </c>
      <c r="P55" s="20">
        <f>HYPERLINK("https://dexscreener.com/solana/HzhWHj96UEW7oTH5TfhThYbRG3HkLyYgpWmNv8jgpump", "View")</f>
        <v/>
      </c>
    </row>
    <row r="56">
      <c r="A56" s="15" t="inlineStr">
        <is>
          <t>No</t>
        </is>
      </c>
      <c r="B56" s="16" t="n">
        <v>456959</v>
      </c>
      <c r="C56" s="16" t="n">
        <v>456959</v>
      </c>
      <c r="D56" s="16" t="inlineStr">
        <is>
          <t>0.008220</t>
        </is>
      </c>
      <c r="E56" s="16" t="inlineStr">
        <is>
          <t>0.100 SOL</t>
        </is>
      </c>
      <c r="F56" s="16" t="inlineStr">
        <is>
          <t>0.032 SOL</t>
        </is>
      </c>
      <c r="G56" s="24" t="inlineStr">
        <is>
          <t>-0.076 SOL</t>
        </is>
      </c>
      <c r="H56" s="24" t="inlineStr">
        <is>
          <t>-70.01%</t>
        </is>
      </c>
      <c r="I56" s="16" t="inlineStr">
        <is>
          <t>N/A</t>
        </is>
      </c>
      <c r="J56" s="16" t="n">
        <v>2</v>
      </c>
      <c r="K56" s="16" t="n">
        <v>1</v>
      </c>
      <c r="L56" s="16" t="inlineStr">
        <is>
          <t>29.10.2024 11:50:05</t>
        </is>
      </c>
      <c r="M56" s="16" t="inlineStr">
        <is>
          <t>1 days</t>
        </is>
      </c>
      <c r="N56" s="16" t="inlineStr">
        <is>
          <t xml:space="preserve">         25K            81K            10K</t>
        </is>
      </c>
      <c r="O56" s="16" t="inlineStr">
        <is>
          <t>EPLWNRkzRUuuWJA2NuvDnamgkFrvXg7MmEp7BowLpump</t>
        </is>
      </c>
      <c r="P56" s="16">
        <f>HYPERLINK("https://dexscreener.com/solana/EPLWNRkzRUuuWJA2NuvDnamgkFrvXg7MmEp7BowLpump", "View")</f>
        <v/>
      </c>
    </row>
    <row r="57">
      <c r="A57" s="19" t="inlineStr">
        <is>
          <t>Techno Tao</t>
        </is>
      </c>
      <c r="B57" s="20" t="n">
        <v>411781</v>
      </c>
      <c r="C57" s="20" t="n">
        <v>411781</v>
      </c>
      <c r="D57" s="20" t="inlineStr">
        <is>
          <t>0.011360</t>
        </is>
      </c>
      <c r="E57" s="20" t="inlineStr">
        <is>
          <t>0.199 SOL</t>
        </is>
      </c>
      <c r="F57" s="20" t="inlineStr">
        <is>
          <t>0.034 SOL</t>
        </is>
      </c>
      <c r="G57" s="24" t="inlineStr">
        <is>
          <t>-0.176 SOL</t>
        </is>
      </c>
      <c r="H57" s="24" t="inlineStr">
        <is>
          <t>-83.66%</t>
        </is>
      </c>
      <c r="I57" s="20" t="inlineStr">
        <is>
          <t>N/A</t>
        </is>
      </c>
      <c r="J57" s="20" t="n">
        <v>3</v>
      </c>
      <c r="K57" s="20" t="n">
        <v>1</v>
      </c>
      <c r="L57" s="20" t="inlineStr">
        <is>
          <t>29.10.2024 11:49:53</t>
        </is>
      </c>
      <c r="M57" s="20" t="inlineStr">
        <is>
          <t>4 days</t>
        </is>
      </c>
      <c r="N57" s="20" t="inlineStr">
        <is>
          <t xml:space="preserve">         53K           223K            13K</t>
        </is>
      </c>
      <c r="O57" s="20" t="inlineStr">
        <is>
          <t>2zjgn7S6JhabftCsauy2jMNnH2MU14RXBboGmZR3pump</t>
        </is>
      </c>
      <c r="P57" s="20">
        <f>HYPERLINK("https://dexscreener.com/solana/2zjgn7S6JhabftCsauy2jMNnH2MU14RXBboGmZR3pump", "View")</f>
        <v/>
      </c>
    </row>
    <row r="58">
      <c r="A58" s="15" t="inlineStr">
        <is>
          <t>FLOYDAI</t>
        </is>
      </c>
      <c r="B58" s="16" t="n">
        <v>3557</v>
      </c>
      <c r="C58" s="16" t="n">
        <v>3557</v>
      </c>
      <c r="D58" s="16" t="inlineStr">
        <is>
          <t>0.001510</t>
        </is>
      </c>
      <c r="E58" s="16" t="inlineStr">
        <is>
          <t>0.200 SOL</t>
        </is>
      </c>
      <c r="F58" s="16" t="inlineStr">
        <is>
          <t>0.287 SOL</t>
        </is>
      </c>
      <c r="G58" s="22" t="inlineStr">
        <is>
          <t>0.085 SOL</t>
        </is>
      </c>
      <c r="H58" s="22" t="inlineStr">
        <is>
          <t>42.21%</t>
        </is>
      </c>
      <c r="I58" s="16" t="inlineStr">
        <is>
          <t>N/A</t>
        </is>
      </c>
      <c r="J58" s="16" t="n">
        <v>1</v>
      </c>
      <c r="K58" s="16" t="n">
        <v>2</v>
      </c>
      <c r="L58" s="16" t="inlineStr">
        <is>
          <t>29.10.2024 11:49:42</t>
        </is>
      </c>
      <c r="M58" s="16" t="inlineStr">
        <is>
          <t>6 days</t>
        </is>
      </c>
      <c r="N58" s="16" t="inlineStr">
        <is>
          <t xml:space="preserve">         10M            10M             7M</t>
        </is>
      </c>
      <c r="O58" s="16" t="inlineStr">
        <is>
          <t>J7tYmq2JnQPvxyhcXpCDrvJnc9R5ts8rv7tgVHDPsw7U</t>
        </is>
      </c>
      <c r="P58" s="16">
        <f>HYPERLINK("https://dexscreener.com/solana/J7tYmq2JnQPvxyhcXpCDrvJnc9R5ts8rv7tgVHDPsw7U", "View")</f>
        <v/>
      </c>
    </row>
    <row r="59">
      <c r="A59" s="19" t="inlineStr">
        <is>
          <t>KRAKEN</t>
        </is>
      </c>
      <c r="B59" s="20" t="n">
        <v>227399</v>
      </c>
      <c r="C59" s="20" t="n">
        <v>227399</v>
      </c>
      <c r="D59" s="20" t="inlineStr">
        <is>
          <t>0.001860</t>
        </is>
      </c>
      <c r="E59" s="20" t="inlineStr">
        <is>
          <t>0.100 SOL</t>
        </is>
      </c>
      <c r="F59" s="20" t="inlineStr">
        <is>
          <t>0.028 SOL</t>
        </is>
      </c>
      <c r="G59" s="24" t="inlineStr">
        <is>
          <t>-0.074 SOL</t>
        </is>
      </c>
      <c r="H59" s="24" t="inlineStr">
        <is>
          <t>-72.50%</t>
        </is>
      </c>
      <c r="I59" s="20" t="inlineStr">
        <is>
          <t>N/A</t>
        </is>
      </c>
      <c r="J59" s="20" t="n">
        <v>2</v>
      </c>
      <c r="K59" s="20" t="n">
        <v>1</v>
      </c>
      <c r="L59" s="20" t="inlineStr">
        <is>
          <t>29.10.2024 11:49:09</t>
        </is>
      </c>
      <c r="M59" s="20" t="inlineStr">
        <is>
          <t>1 days</t>
        </is>
      </c>
      <c r="N59" s="20" t="inlineStr">
        <is>
          <t xml:space="preserve">         60K           107K            14K</t>
        </is>
      </c>
      <c r="O59" s="20" t="inlineStr">
        <is>
          <t>CP6xhCQw5x4KJdcD3WLnnqA6naMRxeQcfQeVTWBhpump</t>
        </is>
      </c>
      <c r="P59" s="20">
        <f>HYPERLINK("https://dexscreener.com/solana/CP6xhCQw5x4KJdcD3WLnnqA6naMRxeQcfQeVTWBhpump", "View")</f>
        <v/>
      </c>
    </row>
    <row r="60">
      <c r="A60" s="15" t="inlineStr">
        <is>
          <t>HUGH</t>
        </is>
      </c>
      <c r="B60" s="16" t="n">
        <v>70828</v>
      </c>
      <c r="C60" s="16" t="n">
        <v>86547</v>
      </c>
      <c r="D60" s="16" t="inlineStr">
        <is>
          <t>0.001850</t>
        </is>
      </c>
      <c r="E60" s="16" t="inlineStr">
        <is>
          <t>0.100 SOL</t>
        </is>
      </c>
      <c r="F60" s="16" t="inlineStr">
        <is>
          <t>0.014 SOL</t>
        </is>
      </c>
      <c r="G60" s="24" t="inlineStr">
        <is>
          <t>-0.088 SOL</t>
        </is>
      </c>
      <c r="H60" s="24" t="inlineStr">
        <is>
          <t>-86.03%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29.10.2024 11:48:57</t>
        </is>
      </c>
      <c r="M60" s="16" t="inlineStr">
        <is>
          <t>5 days</t>
        </is>
      </c>
      <c r="N60" s="16" t="inlineStr">
        <is>
          <t xml:space="preserve">        237K           237K            25K</t>
        </is>
      </c>
      <c r="O60" s="16" t="inlineStr">
        <is>
          <t>FPpUFFAr7pmwGA4sqhwRBFJ4oB5URjWensimfL3zpump</t>
        </is>
      </c>
      <c r="P60" s="16">
        <f>HYPERLINK("https://dexscreener.com/solana/FPpUFFAr7pmwGA4sqhwRBFJ4oB5URjWensimfL3zpump", "View")</f>
        <v/>
      </c>
    </row>
    <row r="61">
      <c r="A61" s="19" t="inlineStr">
        <is>
          <t>BORG</t>
        </is>
      </c>
      <c r="B61" s="20" t="n">
        <v>802437</v>
      </c>
      <c r="C61" s="20" t="n">
        <v>802437</v>
      </c>
      <c r="D61" s="20" t="inlineStr">
        <is>
          <t>0.002090</t>
        </is>
      </c>
      <c r="E61" s="20" t="inlineStr">
        <is>
          <t>0.100 SOL</t>
        </is>
      </c>
      <c r="F61" s="20" t="inlineStr">
        <is>
          <t>0.017 SOL</t>
        </is>
      </c>
      <c r="G61" s="24" t="inlineStr">
        <is>
          <t>-0.085 SOL</t>
        </is>
      </c>
      <c r="H61" s="24" t="inlineStr">
        <is>
          <t>-83.56%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29.10.2024 11:48:39</t>
        </is>
      </c>
      <c r="M61" s="20" t="inlineStr">
        <is>
          <t>5 days</t>
        </is>
      </c>
      <c r="N61" s="20" t="inlineStr">
        <is>
          <t xml:space="preserve">         21K            21K             4K</t>
        </is>
      </c>
      <c r="O61" s="20" t="inlineStr">
        <is>
          <t>GPuzG8fnMbDin4VDJW83pfTTuUowsyfGN6sQhwfRpump</t>
        </is>
      </c>
      <c r="P61" s="20">
        <f>HYPERLINK("https://dexscreener.com/solana/GPuzG8fnMbDin4VDJW83pfTTuUowsyfGN6sQhwfRpump", "View")</f>
        <v/>
      </c>
    </row>
    <row r="62">
      <c r="A62" s="15" t="inlineStr">
        <is>
          <t>/moon</t>
        </is>
      </c>
      <c r="B62" s="16" t="n">
        <v>395680</v>
      </c>
      <c r="C62" s="16" t="n">
        <v>395680</v>
      </c>
      <c r="D62" s="16" t="inlineStr">
        <is>
          <t>0.003410</t>
        </is>
      </c>
      <c r="E62" s="16" t="inlineStr">
        <is>
          <t>0.150 SOL</t>
        </is>
      </c>
      <c r="F62" s="16" t="inlineStr">
        <is>
          <t>0.008 SOL</t>
        </is>
      </c>
      <c r="G62" s="24" t="inlineStr">
        <is>
          <t>-0.146 SOL</t>
        </is>
      </c>
      <c r="H62" s="24" t="inlineStr">
        <is>
          <t>-94.95%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29.10.2024 11:48:17</t>
        </is>
      </c>
      <c r="M62" s="16" t="inlineStr">
        <is>
          <t>6 days</t>
        </is>
      </c>
      <c r="N62" s="16" t="inlineStr">
        <is>
          <t xml:space="preserve">         67K            67K             3K</t>
        </is>
      </c>
      <c r="O62" s="16" t="inlineStr">
        <is>
          <t>8eKwoQ6BNXrufZGUn8WJkj3yZr6zwYBLvzC69nMLpump</t>
        </is>
      </c>
      <c r="P62" s="16">
        <f>HYPERLINK("https://dexscreener.com/solana/8eKwoQ6BNXrufZGUn8WJkj3yZr6zwYBLvzC69nMLpump", "View")</f>
        <v/>
      </c>
    </row>
    <row r="63">
      <c r="A63" s="19" t="inlineStr">
        <is>
          <t>Maxxed</t>
        </is>
      </c>
      <c r="B63" s="20" t="n">
        <v>778186</v>
      </c>
      <c r="C63" s="20" t="n">
        <v>778186</v>
      </c>
      <c r="D63" s="20" t="inlineStr">
        <is>
          <t>0.000810</t>
        </is>
      </c>
      <c r="E63" s="20" t="inlineStr">
        <is>
          <t>0.198 SOL</t>
        </is>
      </c>
      <c r="F63" s="20" t="inlineStr">
        <is>
          <t>0.015 SOL</t>
        </is>
      </c>
      <c r="G63" s="24" t="inlineStr">
        <is>
          <t>-0.184 SOL</t>
        </is>
      </c>
      <c r="H63" s="24" t="inlineStr">
        <is>
          <t>-92.23%</t>
        </is>
      </c>
      <c r="I63" s="20" t="inlineStr">
        <is>
          <t>N/A</t>
        </is>
      </c>
      <c r="J63" s="20" t="n">
        <v>1</v>
      </c>
      <c r="K63" s="20" t="n">
        <v>1</v>
      </c>
      <c r="L63" s="20" t="inlineStr">
        <is>
          <t>29.10.2024 11:48:00</t>
        </is>
      </c>
      <c r="M63" s="20" t="inlineStr">
        <is>
          <t>6 days</t>
        </is>
      </c>
      <c r="N63" s="20" t="inlineStr">
        <is>
          <t xml:space="preserve">         44K            44K             3K</t>
        </is>
      </c>
      <c r="O63" s="20" t="inlineStr">
        <is>
          <t>48BwcDnurWmUt4svFxHAxpdWRQ9r8wuUWCVp8UAmr3wU</t>
        </is>
      </c>
      <c r="P63" s="20">
        <f>HYPERLINK("https://dexscreener.com/solana/48BwcDnurWmUt4svFxHAxpdWRQ9r8wuUWCVp8UAmr3wU", "View")</f>
        <v/>
      </c>
    </row>
    <row r="64">
      <c r="A64" s="15" t="inlineStr">
        <is>
          <t>FNCP</t>
        </is>
      </c>
      <c r="B64" s="16" t="n">
        <v>12570</v>
      </c>
      <c r="C64" s="16" t="n">
        <v>12570</v>
      </c>
      <c r="D64" s="16" t="inlineStr">
        <is>
          <t>0.002090</t>
        </is>
      </c>
      <c r="E64" s="16" t="inlineStr">
        <is>
          <t>0.100 SOL</t>
        </is>
      </c>
      <c r="F64" s="16" t="inlineStr">
        <is>
          <t>0.037 SOL</t>
        </is>
      </c>
      <c r="G64" s="24" t="inlineStr">
        <is>
          <t>-0.065 SOL</t>
        </is>
      </c>
      <c r="H64" s="24" t="inlineStr">
        <is>
          <t>-63.50%</t>
        </is>
      </c>
      <c r="I64" s="16" t="inlineStr">
        <is>
          <t>N/A</t>
        </is>
      </c>
      <c r="J64" s="16" t="n">
        <v>1</v>
      </c>
      <c r="K64" s="16" t="n">
        <v>1</v>
      </c>
      <c r="L64" s="16" t="inlineStr">
        <is>
          <t>29.10.2024 11:47:41</t>
        </is>
      </c>
      <c r="M64" s="16" t="inlineStr">
        <is>
          <t>5 days</t>
        </is>
      </c>
      <c r="N64" s="16" t="inlineStr">
        <is>
          <t xml:space="preserve">          1M             1M           420K</t>
        </is>
      </c>
      <c r="O64" s="16" t="inlineStr">
        <is>
          <t>A6bCsh37hM4FybN4MXstnup6WEcichSQNK8AGvXDpump</t>
        </is>
      </c>
      <c r="P64" s="16">
        <f>HYPERLINK("https://dexscreener.com/solana/A6bCsh37hM4FybN4MXstnup6WEcichSQNK8AGvXDpump", "View")</f>
        <v/>
      </c>
    </row>
    <row r="65">
      <c r="A65" s="19" t="inlineStr">
        <is>
          <t>lora</t>
        </is>
      </c>
      <c r="B65" s="20" t="n">
        <v>897476</v>
      </c>
      <c r="C65" s="20" t="n">
        <v>897476</v>
      </c>
      <c r="D65" s="20" t="inlineStr">
        <is>
          <t>0.004980</t>
        </is>
      </c>
      <c r="E65" s="20" t="inlineStr">
        <is>
          <t>0.300 SOL</t>
        </is>
      </c>
      <c r="F65" s="20" t="inlineStr">
        <is>
          <t>0.038 SOL</t>
        </is>
      </c>
      <c r="G65" s="24" t="inlineStr">
        <is>
          <t>-0.267 SOL</t>
        </is>
      </c>
      <c r="H65" s="24" t="inlineStr">
        <is>
          <t>-87.65%</t>
        </is>
      </c>
      <c r="I65" s="20" t="inlineStr">
        <is>
          <t>N/A</t>
        </is>
      </c>
      <c r="J65" s="20" t="n">
        <v>3</v>
      </c>
      <c r="K65" s="20" t="n">
        <v>1</v>
      </c>
      <c r="L65" s="20" t="inlineStr">
        <is>
          <t>29.10.2024 11:46:17</t>
        </is>
      </c>
      <c r="M65" s="20" t="inlineStr">
        <is>
          <t>6 days</t>
        </is>
      </c>
      <c r="N65" s="20" t="inlineStr">
        <is>
          <t xml:space="preserve">         47K           123K             7K</t>
        </is>
      </c>
      <c r="O65" s="20" t="inlineStr">
        <is>
          <t>81dPU3F3aoxQ6Q1xDcvK6ergNWutLYyFnxsPBzRspump</t>
        </is>
      </c>
      <c r="P65" s="20">
        <f>HYPERLINK("https://dexscreener.com/solana/81dPU3F3aoxQ6Q1xDcvK6ergNWutLYyFnxsPBzRspump", "View")</f>
        <v/>
      </c>
    </row>
    <row r="66">
      <c r="A66" s="15" t="inlineStr">
        <is>
          <t>GOD</t>
        </is>
      </c>
      <c r="B66" s="16" t="n">
        <v>250582</v>
      </c>
      <c r="C66" s="16" t="n">
        <v>250582</v>
      </c>
      <c r="D66" s="16" t="inlineStr">
        <is>
          <t>0.000810</t>
        </is>
      </c>
      <c r="E66" s="16" t="inlineStr">
        <is>
          <t>0.149 SOL</t>
        </is>
      </c>
      <c r="F66" s="16" t="inlineStr">
        <is>
          <t>0.040 SOL</t>
        </is>
      </c>
      <c r="G66" s="24" t="inlineStr">
        <is>
          <t>-0.109 SOL</t>
        </is>
      </c>
      <c r="H66" s="24" t="inlineStr">
        <is>
          <t>-72.95%</t>
        </is>
      </c>
      <c r="I66" s="16" t="inlineStr">
        <is>
          <t>N/A</t>
        </is>
      </c>
      <c r="J66" s="16" t="n">
        <v>1</v>
      </c>
      <c r="K66" s="16" t="n">
        <v>1</v>
      </c>
      <c r="L66" s="16" t="inlineStr">
        <is>
          <t>29.10.2024 11:45:28</t>
        </is>
      </c>
      <c r="M66" s="16" t="inlineStr">
        <is>
          <t>8 days</t>
        </is>
      </c>
      <c r="N66" s="16" t="inlineStr">
        <is>
          <t xml:space="preserve">        104K           104K            27K</t>
        </is>
      </c>
      <c r="O66" s="16" t="inlineStr">
        <is>
          <t>7HSiceXdTvqsvZiXUqbZs6LLK9xaPmhqHMDKBrKdpump</t>
        </is>
      </c>
      <c r="P66" s="16">
        <f>HYPERLINK("https://dexscreener.com/solana/7HSiceXdTvqsvZiXUqbZs6LLK9xaPmhqHMDKBrKdpump", "View")</f>
        <v/>
      </c>
    </row>
    <row r="67">
      <c r="A67" s="19" t="inlineStr">
        <is>
          <t>rtrd/acc</t>
        </is>
      </c>
      <c r="B67" s="20" t="n">
        <v>206455</v>
      </c>
      <c r="C67" s="20" t="n">
        <v>206455</v>
      </c>
      <c r="D67" s="20" t="inlineStr">
        <is>
          <t>0.008220</t>
        </is>
      </c>
      <c r="E67" s="20" t="inlineStr">
        <is>
          <t>0.200 SOL</t>
        </is>
      </c>
      <c r="F67" s="20" t="inlineStr">
        <is>
          <t>0.041 SOL</t>
        </is>
      </c>
      <c r="G67" s="24" t="inlineStr">
        <is>
          <t>-0.167 SOL</t>
        </is>
      </c>
      <c r="H67" s="24" t="inlineStr">
        <is>
          <t>-80.28%</t>
        </is>
      </c>
      <c r="I67" s="20" t="inlineStr">
        <is>
          <t>N/A</t>
        </is>
      </c>
      <c r="J67" s="20" t="n">
        <v>2</v>
      </c>
      <c r="K67" s="20" t="n">
        <v>1</v>
      </c>
      <c r="L67" s="20" t="inlineStr">
        <is>
          <t>29.10.2024 11:45:09</t>
        </is>
      </c>
      <c r="M67" s="20" t="inlineStr">
        <is>
          <t>1 days</t>
        </is>
      </c>
      <c r="N67" s="20" t="inlineStr">
        <is>
          <t xml:space="preserve">        158K           184K            12K</t>
        </is>
      </c>
      <c r="O67" s="20" t="inlineStr">
        <is>
          <t>E6hawBNLniT1S4h26wzvqBQhbCi1B1GvQrc7a21Hpump</t>
        </is>
      </c>
      <c r="P67" s="20">
        <f>HYPERLINK("https://dexscreener.com/solana/E6hawBNLniT1S4h26wzvqBQhbCi1B1GvQrc7a21Hpump", "View")</f>
        <v/>
      </c>
    </row>
    <row r="68">
      <c r="A68" s="15" t="inlineStr">
        <is>
          <t>MVG</t>
        </is>
      </c>
      <c r="B68" s="16" t="n">
        <v>657418</v>
      </c>
      <c r="C68" s="16" t="n">
        <v>657418</v>
      </c>
      <c r="D68" s="16" t="inlineStr">
        <is>
          <t>0.000810</t>
        </is>
      </c>
      <c r="E68" s="16" t="inlineStr">
        <is>
          <t>0.149 SOL</t>
        </is>
      </c>
      <c r="F68" s="16" t="inlineStr">
        <is>
          <t>0.016 SOL</t>
        </is>
      </c>
      <c r="G68" s="24" t="inlineStr">
        <is>
          <t>-0.134 SOL</t>
        </is>
      </c>
      <c r="H68" s="24" t="inlineStr">
        <is>
          <t>-89.55%</t>
        </is>
      </c>
      <c r="I68" s="16" t="inlineStr">
        <is>
          <t>N/A</t>
        </is>
      </c>
      <c r="J68" s="16" t="n">
        <v>1</v>
      </c>
      <c r="K68" s="16" t="n">
        <v>1</v>
      </c>
      <c r="L68" s="16" t="inlineStr">
        <is>
          <t>29.10.2024 11:44:56</t>
        </is>
      </c>
      <c r="M68" s="16" t="inlineStr">
        <is>
          <t>7 days</t>
        </is>
      </c>
      <c r="N68" s="16" t="inlineStr">
        <is>
          <t xml:space="preserve">         40K            40K             4K</t>
        </is>
      </c>
      <c r="O68" s="16" t="inlineStr">
        <is>
          <t>HH8V346Dson23UMg7XdaFjqqZJ1MtKHRq8nkWPPBpump</t>
        </is>
      </c>
      <c r="P68" s="16">
        <f>HYPERLINK("https://dexscreener.com/solana/HH8V346Dson23UMg7XdaFjqqZJ1MtKHRq8nkWPPBpump", "View")</f>
        <v/>
      </c>
    </row>
    <row r="69">
      <c r="A69" s="19" t="inlineStr">
        <is>
          <t>TERMINAL</t>
        </is>
      </c>
      <c r="B69" s="20" t="n">
        <v>35420</v>
      </c>
      <c r="C69" s="20" t="n">
        <v>35420</v>
      </c>
      <c r="D69" s="20" t="inlineStr">
        <is>
          <t>0.000550</t>
        </is>
      </c>
      <c r="E69" s="20" t="inlineStr">
        <is>
          <t>0.050 SOL</t>
        </is>
      </c>
      <c r="F69" s="20" t="inlineStr">
        <is>
          <t>0.043 SOL</t>
        </is>
      </c>
      <c r="G69" s="21" t="inlineStr">
        <is>
          <t>-0.007 SOL</t>
        </is>
      </c>
      <c r="H69" s="21" t="inlineStr">
        <is>
          <t>-14.11%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29.10.2024 11:44:35</t>
        </is>
      </c>
      <c r="M69" s="20" t="inlineStr">
        <is>
          <t>1 days</t>
        </is>
      </c>
      <c r="N69" s="20" t="inlineStr">
        <is>
          <t xml:space="preserve">        248K           248K            90K</t>
        </is>
      </c>
      <c r="O69" s="20" t="inlineStr">
        <is>
          <t>7XFXYYiqrEQLLkAGvvxaoh6iYkVYQ4K7XXtKoRShpump</t>
        </is>
      </c>
      <c r="P69" s="20">
        <f>HYPERLINK("https://dexscreener.com/solana/7XFXYYiqrEQLLkAGvvxaoh6iYkVYQ4K7XXtKoRShpump", "View")</f>
        <v/>
      </c>
    </row>
    <row r="70">
      <c r="A70" s="15" t="inlineStr">
        <is>
          <t>DOGZ</t>
        </is>
      </c>
      <c r="B70" s="16" t="n">
        <v>992365</v>
      </c>
      <c r="C70" s="16" t="n">
        <v>992365</v>
      </c>
      <c r="D70" s="16" t="inlineStr">
        <is>
          <t>0.002090</t>
        </is>
      </c>
      <c r="E70" s="16" t="inlineStr">
        <is>
          <t>0.100 SOL</t>
        </is>
      </c>
      <c r="F70" s="16" t="inlineStr">
        <is>
          <t>0.042 SOL</t>
        </is>
      </c>
      <c r="G70" s="24" t="inlineStr">
        <is>
          <t>-0.060 SOL</t>
        </is>
      </c>
      <c r="H70" s="24" t="inlineStr">
        <is>
          <t>-59.25%</t>
        </is>
      </c>
      <c r="I70" s="16" t="inlineStr">
        <is>
          <t>N/A</t>
        </is>
      </c>
      <c r="J70" s="16" t="n">
        <v>1</v>
      </c>
      <c r="K70" s="16" t="n">
        <v>1</v>
      </c>
      <c r="L70" s="16" t="inlineStr">
        <is>
          <t>29.10.2024 11:44:23</t>
        </is>
      </c>
      <c r="M70" s="16" t="inlineStr">
        <is>
          <t>5 days</t>
        </is>
      </c>
      <c r="N70" s="16" t="inlineStr">
        <is>
          <t xml:space="preserve">         17K            17K             7K</t>
        </is>
      </c>
      <c r="O70" s="16" t="inlineStr">
        <is>
          <t>9w3ACAZdjV3r1vnqArEojkdTEVc1ZgJ5gLaxLQATpump</t>
        </is>
      </c>
      <c r="P70" s="16">
        <f>HYPERLINK("https://dexscreener.com/solana/9w3ACAZdjV3r1vnqArEojkdTEVc1ZgJ5gLaxLQATpump", "View")</f>
        <v/>
      </c>
    </row>
    <row r="71">
      <c r="A71" s="19" t="inlineStr">
        <is>
          <t>nsfa</t>
        </is>
      </c>
      <c r="B71" s="20" t="n">
        <v>117716</v>
      </c>
      <c r="C71" s="20" t="n">
        <v>117716</v>
      </c>
      <c r="D71" s="20" t="inlineStr">
        <is>
          <t>0.000610</t>
        </is>
      </c>
      <c r="E71" s="20" t="inlineStr">
        <is>
          <t>0.297 SOL</t>
        </is>
      </c>
      <c r="F71" s="20" t="inlineStr">
        <is>
          <t>0.042 SOL</t>
        </is>
      </c>
      <c r="G71" s="24" t="inlineStr">
        <is>
          <t>-0.256 SOL</t>
        </is>
      </c>
      <c r="H71" s="24" t="inlineStr">
        <is>
          <t>-85.98%</t>
        </is>
      </c>
      <c r="I71" s="20" t="inlineStr">
        <is>
          <t>N/A</t>
        </is>
      </c>
      <c r="J71" s="20" t="n">
        <v>2</v>
      </c>
      <c r="K71" s="20" t="n">
        <v>1</v>
      </c>
      <c r="L71" s="20" t="inlineStr">
        <is>
          <t>29.10.2024 11:44:10</t>
        </is>
      </c>
      <c r="M71" s="20" t="inlineStr">
        <is>
          <t>9 days</t>
        </is>
      </c>
      <c r="N71" s="20" t="inlineStr">
        <is>
          <t xml:space="preserve">        313K           424K            57K</t>
        </is>
      </c>
      <c r="O71" s="20" t="inlineStr">
        <is>
          <t>EodtMbupUYuMkSaAtQEPkVSTVfvuDcRcnDCoCyqqpump</t>
        </is>
      </c>
      <c r="P71" s="20">
        <f>HYPERLINK("https://dexscreener.com/solana/EodtMbupUYuMkSaAtQEPkVSTVfvuDcRcnDCoCyqqpump", "View")</f>
        <v/>
      </c>
    </row>
    <row r="72">
      <c r="A72" s="15" t="inlineStr">
        <is>
          <t>SBF</t>
        </is>
      </c>
      <c r="B72" s="16" t="n">
        <v>383947</v>
      </c>
      <c r="C72" s="16" t="n">
        <v>383947</v>
      </c>
      <c r="D72" s="16" t="inlineStr">
        <is>
          <t>0.000950</t>
        </is>
      </c>
      <c r="E72" s="16" t="inlineStr">
        <is>
          <t>0.050 SOL</t>
        </is>
      </c>
      <c r="F72" s="16" t="inlineStr">
        <is>
          <t>0.149 SOL</t>
        </is>
      </c>
      <c r="G72" s="23" t="inlineStr">
        <is>
          <t>0.098 SOL</t>
        </is>
      </c>
      <c r="H72" s="23" t="inlineStr">
        <is>
          <t>192.57%</t>
        </is>
      </c>
      <c r="I72" s="16" t="inlineStr">
        <is>
          <t>N/A</t>
        </is>
      </c>
      <c r="J72" s="16" t="n">
        <v>1</v>
      </c>
      <c r="K72" s="16" t="n">
        <v>2</v>
      </c>
      <c r="L72" s="16" t="inlineStr">
        <is>
          <t>29.10.2024 11:43:58</t>
        </is>
      </c>
      <c r="M72" s="16" t="inlineStr">
        <is>
          <t>2 days</t>
        </is>
      </c>
      <c r="N72" s="16" t="inlineStr">
        <is>
          <t xml:space="preserve">         23K            23K            89K</t>
        </is>
      </c>
      <c r="O72" s="16" t="inlineStr">
        <is>
          <t>GfHbuqhdpgBE2taZxcGuDf81TSZcWkyKuRwTfTpRGz2f</t>
        </is>
      </c>
      <c r="P72" s="16">
        <f>HYPERLINK("https://dexscreener.com/solana/GfHbuqhdpgBE2taZxcGuDf81TSZcWkyKuRwTfTpRGz2f", "View")</f>
        <v/>
      </c>
    </row>
    <row r="73">
      <c r="A73" s="19" t="inlineStr">
        <is>
          <t xml:space="preserve">Sharpei </t>
        </is>
      </c>
      <c r="B73" s="20" t="n">
        <v>2227416</v>
      </c>
      <c r="C73" s="20" t="n">
        <v>2227416</v>
      </c>
      <c r="D73" s="20" t="inlineStr">
        <is>
          <t>0.002090</t>
        </is>
      </c>
      <c r="E73" s="20" t="inlineStr">
        <is>
          <t>0.100 SOL</t>
        </is>
      </c>
      <c r="F73" s="20" t="inlineStr">
        <is>
          <t>0.047 SOL</t>
        </is>
      </c>
      <c r="G73" s="24" t="inlineStr">
        <is>
          <t>-0.055 SOL</t>
        </is>
      </c>
      <c r="H73" s="24" t="inlineStr">
        <is>
          <t>-54.31%</t>
        </is>
      </c>
      <c r="I73" s="20" t="inlineStr">
        <is>
          <t>N/A</t>
        </is>
      </c>
      <c r="J73" s="20" t="n">
        <v>1</v>
      </c>
      <c r="K73" s="20" t="n">
        <v>1</v>
      </c>
      <c r="L73" s="20" t="inlineStr">
        <is>
          <t>29.10.2024 11:43:12</t>
        </is>
      </c>
      <c r="M73" s="20" t="inlineStr">
        <is>
          <t>5 days</t>
        </is>
      </c>
      <c r="N73" s="20" t="inlineStr">
        <is>
          <t xml:space="preserve">          7K             7K             4K</t>
        </is>
      </c>
      <c r="O73" s="20" t="inlineStr">
        <is>
          <t>DCfVHxrnLfHQuyjiMdHdnbn3NAAnPX8Ny15WNgofpump</t>
        </is>
      </c>
      <c r="P73" s="20">
        <f>HYPERLINK("https://dexscreener.com/solana/DCfVHxrnLfHQuyjiMdHdnbn3NAAnPX8Ny15WNgofpump", "View")</f>
        <v/>
      </c>
    </row>
    <row r="74">
      <c r="A74" s="15" t="inlineStr">
        <is>
          <t>ONYX</t>
        </is>
      </c>
      <c r="B74" s="16" t="n">
        <v>69561</v>
      </c>
      <c r="C74" s="16" t="n">
        <v>69561</v>
      </c>
      <c r="D74" s="16" t="inlineStr">
        <is>
          <t>0.004610</t>
        </is>
      </c>
      <c r="E74" s="16" t="inlineStr">
        <is>
          <t>0.100 SOL</t>
        </is>
      </c>
      <c r="F74" s="16" t="inlineStr">
        <is>
          <t>0.047 SOL</t>
        </is>
      </c>
      <c r="G74" s="24" t="inlineStr">
        <is>
          <t>-0.057 SOL</t>
        </is>
      </c>
      <c r="H74" s="24" t="inlineStr">
        <is>
          <t>-54.74%</t>
        </is>
      </c>
      <c r="I74" s="16" t="inlineStr">
        <is>
          <t>N/A</t>
        </is>
      </c>
      <c r="J74" s="16" t="n">
        <v>1</v>
      </c>
      <c r="K74" s="16" t="n">
        <v>1</v>
      </c>
      <c r="L74" s="16" t="inlineStr">
        <is>
          <t>29.10.2024 11:42:56</t>
        </is>
      </c>
      <c r="M74" s="16" t="inlineStr">
        <is>
          <t>1 days</t>
        </is>
      </c>
      <c r="N74" s="16" t="inlineStr">
        <is>
          <t xml:space="preserve">        253K           253K            45K</t>
        </is>
      </c>
      <c r="O74" s="16" t="inlineStr">
        <is>
          <t>71FqyeLTgw6xushf7nWRkRwkm3pqqAsD8CCjcjaapump</t>
        </is>
      </c>
      <c r="P74" s="16">
        <f>HYPERLINK("https://dexscreener.com/solana/71FqyeLTgw6xushf7nWRkRwkm3pqqAsD8CCjcjaapump", "View")</f>
        <v/>
      </c>
    </row>
    <row r="75">
      <c r="A75" s="19" t="inlineStr">
        <is>
          <t>MICKEY</t>
        </is>
      </c>
      <c r="B75" s="20" t="n">
        <v>983979</v>
      </c>
      <c r="C75" s="20" t="n">
        <v>983979</v>
      </c>
      <c r="D75" s="20" t="inlineStr">
        <is>
          <t>0.000690</t>
        </is>
      </c>
      <c r="E75" s="20" t="inlineStr">
        <is>
          <t>0.100 SOL</t>
        </is>
      </c>
      <c r="F75" s="20" t="inlineStr">
        <is>
          <t>0.057 SOL</t>
        </is>
      </c>
      <c r="G75" s="21" t="inlineStr">
        <is>
          <t>-0.044 SOL</t>
        </is>
      </c>
      <c r="H75" s="21" t="inlineStr">
        <is>
          <t>-43.30%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29.10.2024 11:42:46</t>
        </is>
      </c>
      <c r="M75" s="20" t="inlineStr">
        <is>
          <t>4 days</t>
        </is>
      </c>
      <c r="N75" s="20" t="inlineStr">
        <is>
          <t xml:space="preserve">         18K            18K            10K</t>
        </is>
      </c>
      <c r="O75" s="20" t="inlineStr">
        <is>
          <t>7s2E3dvrniSxaPdfx5GF3JKw7ingn14Bpfw9jA76pump</t>
        </is>
      </c>
      <c r="P75" s="20">
        <f>HYPERLINK("https://dexscreener.com/solana/7s2E3dvrniSxaPdfx5GF3JKw7ingn14Bpfw9jA76pump", "View")</f>
        <v/>
      </c>
    </row>
    <row r="76">
      <c r="A76" s="15" t="inlineStr">
        <is>
          <t>gospodin</t>
        </is>
      </c>
      <c r="B76" s="16" t="n">
        <v>110709</v>
      </c>
      <c r="C76" s="16" t="n">
        <v>110709</v>
      </c>
      <c r="D76" s="16" t="inlineStr">
        <is>
          <t>0.004200</t>
        </is>
      </c>
      <c r="E76" s="16" t="inlineStr">
        <is>
          <t>0.200 SOL</t>
        </is>
      </c>
      <c r="F76" s="16" t="inlineStr">
        <is>
          <t>0.052 SOL</t>
        </is>
      </c>
      <c r="G76" s="24" t="inlineStr">
        <is>
          <t>-0.153 SOL</t>
        </is>
      </c>
      <c r="H76" s="24" t="inlineStr">
        <is>
          <t>-74.69%</t>
        </is>
      </c>
      <c r="I76" s="16" t="inlineStr">
        <is>
          <t>N/A</t>
        </is>
      </c>
      <c r="J76" s="16" t="n">
        <v>2</v>
      </c>
      <c r="K76" s="16" t="n">
        <v>1</v>
      </c>
      <c r="L76" s="16" t="inlineStr">
        <is>
          <t>29.10.2024 11:42:36</t>
        </is>
      </c>
      <c r="M76" s="16" t="inlineStr">
        <is>
          <t>11 days</t>
        </is>
      </c>
      <c r="N76" s="16" t="inlineStr">
        <is>
          <t xml:space="preserve">        209K           652K            83K</t>
        </is>
      </c>
      <c r="O76" s="16" t="inlineStr">
        <is>
          <t>FyEUKDB7DjfANVJTwSWPkta3yK8bRjSn2nB9y41Qpump</t>
        </is>
      </c>
      <c r="P76" s="16">
        <f>HYPERLINK("https://dexscreener.com/solana/FyEUKDB7DjfANVJTwSWPkta3yK8bRjSn2nB9y41Qpump", "View")</f>
        <v/>
      </c>
    </row>
    <row r="77">
      <c r="A77" s="19" t="inlineStr">
        <is>
          <t>MOMMYGOAT</t>
        </is>
      </c>
      <c r="B77" s="20" t="n">
        <v>1058604</v>
      </c>
      <c r="C77" s="20" t="n">
        <v>1058604</v>
      </c>
      <c r="D77" s="20" t="inlineStr">
        <is>
          <t>0.004560</t>
        </is>
      </c>
      <c r="E77" s="20" t="inlineStr">
        <is>
          <t>0.207 SOL</t>
        </is>
      </c>
      <c r="F77" s="20" t="inlineStr">
        <is>
          <t>0.221 SOL</t>
        </is>
      </c>
      <c r="G77" s="22" t="inlineStr">
        <is>
          <t>0.009 SOL</t>
        </is>
      </c>
      <c r="H77" s="22" t="inlineStr">
        <is>
          <t>4.37%</t>
        </is>
      </c>
      <c r="I77" s="20" t="inlineStr">
        <is>
          <t>N/A</t>
        </is>
      </c>
      <c r="J77" s="20" t="n">
        <v>3</v>
      </c>
      <c r="K77" s="20" t="n">
        <v>2</v>
      </c>
      <c r="L77" s="20" t="inlineStr">
        <is>
          <t>29.10.2024 11:41:57</t>
        </is>
      </c>
      <c r="M77" s="20" t="inlineStr">
        <is>
          <t>1 days</t>
        </is>
      </c>
      <c r="N77" s="20" t="inlineStr">
        <is>
          <t xml:space="preserve">         21K            37K             6K</t>
        </is>
      </c>
      <c r="O77" s="20" t="inlineStr">
        <is>
          <t>BRSEhXQNoqmcL2BgcAZUquAGMoLiXFm7GwYvZ6QVpump</t>
        </is>
      </c>
      <c r="P77" s="20">
        <f>HYPERLINK("https://photon-sol.tinyastro.io/en/lp/BRSEhXQNoqmcL2BgcAZUquAGMoLiXFm7GwYvZ6QVpump?handle=676050794bc1b1657a56b", "View")</f>
        <v/>
      </c>
    </row>
    <row r="78">
      <c r="A78" s="15" t="inlineStr">
        <is>
          <t>HentAI</t>
        </is>
      </c>
      <c r="B78" s="16" t="n">
        <v>158859</v>
      </c>
      <c r="C78" s="16" t="n">
        <v>158859</v>
      </c>
      <c r="D78" s="16" t="inlineStr">
        <is>
          <t>0.007270</t>
        </is>
      </c>
      <c r="E78" s="16" t="inlineStr">
        <is>
          <t>0.200 SOL</t>
        </is>
      </c>
      <c r="F78" s="16" t="inlineStr">
        <is>
          <t>0.059 SOL</t>
        </is>
      </c>
      <c r="G78" s="24" t="inlineStr">
        <is>
          <t>-0.149 SOL</t>
        </is>
      </c>
      <c r="H78" s="24" t="inlineStr">
        <is>
          <t>-71.68%</t>
        </is>
      </c>
      <c r="I78" s="16" t="inlineStr">
        <is>
          <t>N/A</t>
        </is>
      </c>
      <c r="J78" s="16" t="n">
        <v>2</v>
      </c>
      <c r="K78" s="16" t="n">
        <v>1</v>
      </c>
      <c r="L78" s="16" t="inlineStr">
        <is>
          <t>29.10.2024 11:41:17</t>
        </is>
      </c>
      <c r="M78" s="16" t="inlineStr">
        <is>
          <t>1 days</t>
        </is>
      </c>
      <c r="N78" s="16" t="inlineStr">
        <is>
          <t xml:space="preserve">        220K           223K            49K</t>
        </is>
      </c>
      <c r="O78" s="16" t="inlineStr">
        <is>
          <t>CZZSiF7CpqZmBrLeV4YbcdwDFUnf4vUF17PTTKuipump</t>
        </is>
      </c>
      <c r="P78" s="16">
        <f>HYPERLINK("https://dexscreener.com/solana/CZZSiF7CpqZmBrLeV4YbcdwDFUnf4vUF17PTTKuipump", "View")</f>
        <v/>
      </c>
    </row>
    <row r="79">
      <c r="A79" s="19" t="inlineStr">
        <is>
          <t>FTJ500</t>
        </is>
      </c>
      <c r="B79" s="20" t="n">
        <v>35114</v>
      </c>
      <c r="C79" s="20" t="n">
        <v>35114</v>
      </c>
      <c r="D79" s="20" t="inlineStr">
        <is>
          <t>0.001100</t>
        </is>
      </c>
      <c r="E79" s="20" t="inlineStr">
        <is>
          <t>0.050 SOL</t>
        </is>
      </c>
      <c r="F79" s="20" t="inlineStr">
        <is>
          <t>0.142 SOL</t>
        </is>
      </c>
      <c r="G79" s="23" t="inlineStr">
        <is>
          <t>0.091 SOL</t>
        </is>
      </c>
      <c r="H79" s="23" t="inlineStr">
        <is>
          <t>177.81%</t>
        </is>
      </c>
      <c r="I79" s="20" t="inlineStr">
        <is>
          <t>N/A</t>
        </is>
      </c>
      <c r="J79" s="20" t="n">
        <v>1</v>
      </c>
      <c r="K79" s="20" t="n">
        <v>2</v>
      </c>
      <c r="L79" s="20" t="inlineStr">
        <is>
          <t>29.10.2024 11:40:52</t>
        </is>
      </c>
      <c r="M79" s="20" t="inlineStr">
        <is>
          <t>4 days</t>
        </is>
      </c>
      <c r="N79" s="20" t="inlineStr">
        <is>
          <t xml:space="preserve">        249K           249K           155K</t>
        </is>
      </c>
      <c r="O79" s="20" t="inlineStr">
        <is>
          <t>C75XDvzWLKvjMHUAAFPNsYMFsmtG4eCVpkseeXBpump</t>
        </is>
      </c>
      <c r="P79" s="20">
        <f>HYPERLINK("https://dexscreener.com/solana/C75XDvzWLKvjMHUAAFPNsYMFsmtG4eCVpkseeXBpump", "View")</f>
        <v/>
      </c>
    </row>
    <row r="80">
      <c r="A80" s="15" t="inlineStr">
        <is>
          <t>demon</t>
        </is>
      </c>
      <c r="B80" s="16" t="n">
        <v>2104426</v>
      </c>
      <c r="C80" s="16" t="n">
        <v>2104426</v>
      </c>
      <c r="D80" s="16" t="inlineStr">
        <is>
          <t>0.002090</t>
        </is>
      </c>
      <c r="E80" s="16" t="inlineStr">
        <is>
          <t>0.100 SOL</t>
        </is>
      </c>
      <c r="F80" s="16" t="inlineStr">
        <is>
          <t>0.063 SOL</t>
        </is>
      </c>
      <c r="G80" s="21" t="inlineStr">
        <is>
          <t>-0.039 SOL</t>
        </is>
      </c>
      <c r="H80" s="21" t="inlineStr">
        <is>
          <t>-38.36%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29.10.2024 11:40:31</t>
        </is>
      </c>
      <c r="M80" s="16" t="inlineStr">
        <is>
          <t>5 days</t>
        </is>
      </c>
      <c r="N80" s="16" t="inlineStr">
        <is>
          <t xml:space="preserve">          9K             9K             5K</t>
        </is>
      </c>
      <c r="O80" s="16" t="inlineStr">
        <is>
          <t>2NpJtMQzjKg86qK7mAxndfBr3L96SjSjbKeYZ1Wwpump</t>
        </is>
      </c>
      <c r="P80" s="16">
        <f>HYPERLINK("https://dexscreener.com/solana/2NpJtMQzjKg86qK7mAxndfBr3L96SjSjbKeYZ1Wwpump", "View")</f>
        <v/>
      </c>
    </row>
    <row r="81">
      <c r="A81" s="19" t="inlineStr">
        <is>
          <t>Nailong</t>
        </is>
      </c>
      <c r="B81" s="20" t="n">
        <v>3272</v>
      </c>
      <c r="C81" s="20" t="n">
        <v>3272</v>
      </c>
      <c r="D81" s="20" t="inlineStr">
        <is>
          <t>0.000950</t>
        </is>
      </c>
      <c r="E81" s="20" t="inlineStr">
        <is>
          <t>0.100 SOL</t>
        </is>
      </c>
      <c r="F81" s="20" t="inlineStr">
        <is>
          <t>0.147 SOL</t>
        </is>
      </c>
      <c r="G81" s="22" t="inlineStr">
        <is>
          <t>0.046 SOL</t>
        </is>
      </c>
      <c r="H81" s="22" t="inlineStr">
        <is>
          <t>45.38%</t>
        </is>
      </c>
      <c r="I81" s="20" t="inlineStr">
        <is>
          <t>N/A</t>
        </is>
      </c>
      <c r="J81" s="20" t="n">
        <v>1</v>
      </c>
      <c r="K81" s="20" t="n">
        <v>2</v>
      </c>
      <c r="L81" s="20" t="inlineStr">
        <is>
          <t>29.10.2024 11:40:14</t>
        </is>
      </c>
      <c r="M81" s="20" t="inlineStr">
        <is>
          <t>1 days</t>
        </is>
      </c>
      <c r="N81" s="20" t="inlineStr">
        <is>
          <t xml:space="preserve">          5M             5M            10M</t>
        </is>
      </c>
      <c r="O81" s="20" t="inlineStr">
        <is>
          <t>mkvXiNBpa8uiSApe5BrhWVJaT87pJFTZxRy7zFapump</t>
        </is>
      </c>
      <c r="P81" s="20">
        <f>HYPERLINK("https://dexscreener.com/solana/mkvXiNBpa8uiSApe5BrhWVJaT87pJFTZxRy7zFapump", "View")</f>
        <v/>
      </c>
    </row>
    <row r="82">
      <c r="A82" s="15" t="inlineStr">
        <is>
          <t>BLM</t>
        </is>
      </c>
      <c r="B82" s="16" t="n">
        <v>814390</v>
      </c>
      <c r="C82" s="16" t="n">
        <v>814390</v>
      </c>
      <c r="D82" s="16" t="inlineStr">
        <is>
          <t>0.001860</t>
        </is>
      </c>
      <c r="E82" s="16" t="inlineStr">
        <is>
          <t>0.397 SOL</t>
        </is>
      </c>
      <c r="F82" s="16" t="inlineStr">
        <is>
          <t>0.103 SOL</t>
        </is>
      </c>
      <c r="G82" s="24" t="inlineStr">
        <is>
          <t>-0.297 SOL</t>
        </is>
      </c>
      <c r="H82" s="24" t="inlineStr">
        <is>
          <t>-74.33%</t>
        </is>
      </c>
      <c r="I82" s="16" t="inlineStr">
        <is>
          <t>N/A</t>
        </is>
      </c>
      <c r="J82" s="16" t="n">
        <v>3</v>
      </c>
      <c r="K82" s="16" t="n">
        <v>1</v>
      </c>
      <c r="L82" s="16" t="inlineStr">
        <is>
          <t>29.10.2024 11:34:05</t>
        </is>
      </c>
      <c r="M82" s="16" t="inlineStr">
        <is>
          <t>7 days</t>
        </is>
      </c>
      <c r="N82" s="16" t="inlineStr">
        <is>
          <t xml:space="preserve">         30K           279K            32K</t>
        </is>
      </c>
      <c r="O82" s="16" t="inlineStr">
        <is>
          <t>EQPUpY9GZC6jG4wh9QMjoPuPKUhxt6RRJfRxx6tdAAxN</t>
        </is>
      </c>
      <c r="P82" s="16">
        <f>HYPERLINK("https://dexscreener.com/solana/EQPUpY9GZC6jG4wh9QMjoPuPKUhxt6RRJfRxx6tdAAxN", "View")</f>
        <v/>
      </c>
    </row>
    <row r="83">
      <c r="A83" s="19" t="inlineStr">
        <is>
          <t>SLO</t>
        </is>
      </c>
      <c r="B83" s="20" t="n">
        <v>17222</v>
      </c>
      <c r="C83" s="20" t="n">
        <v>17222</v>
      </c>
      <c r="D83" s="20" t="inlineStr">
        <is>
          <t>0.002090</t>
        </is>
      </c>
      <c r="E83" s="20" t="inlineStr">
        <is>
          <t>0.150 SOL</t>
        </is>
      </c>
      <c r="F83" s="20" t="inlineStr">
        <is>
          <t>0.096 SOL</t>
        </is>
      </c>
      <c r="G83" s="21" t="inlineStr">
        <is>
          <t>-0.056 SOL</t>
        </is>
      </c>
      <c r="H83" s="21" t="inlineStr">
        <is>
          <t>-36.59%</t>
        </is>
      </c>
      <c r="I83" s="20" t="inlineStr">
        <is>
          <t>N/A</t>
        </is>
      </c>
      <c r="J83" s="20" t="n">
        <v>1</v>
      </c>
      <c r="K83" s="20" t="n">
        <v>1</v>
      </c>
      <c r="L83" s="20" t="inlineStr">
        <is>
          <t>29.10.2024 11:32:25</t>
        </is>
      </c>
      <c r="M83" s="20" t="inlineStr">
        <is>
          <t>6 days</t>
        </is>
      </c>
      <c r="N83" s="20" t="inlineStr">
        <is>
          <t xml:space="preserve">          1M             1M           761K</t>
        </is>
      </c>
      <c r="O83" s="20" t="inlineStr">
        <is>
          <t>E43qU77tnWDwN11o7TtaGMNpxCAqz8RZEZ7PcTCUXSim</t>
        </is>
      </c>
      <c r="P83" s="20">
        <f>HYPERLINK("https://dexscreener.com/solana/E43qU77tnWDwN11o7TtaGMNpxCAqz8RZEZ7PcTCUXSim", "View")</f>
        <v/>
      </c>
    </row>
    <row r="84">
      <c r="A84" s="15" t="inlineStr">
        <is>
          <t>DOAEM</t>
        </is>
      </c>
      <c r="B84" s="16" t="n">
        <v>1044169</v>
      </c>
      <c r="C84" s="16" t="n">
        <v>1044169</v>
      </c>
      <c r="D84" s="16" t="inlineStr">
        <is>
          <t>0.001590</t>
        </is>
      </c>
      <c r="E84" s="16" t="inlineStr">
        <is>
          <t>0.449 SOL</t>
        </is>
      </c>
      <c r="F84" s="16" t="inlineStr">
        <is>
          <t>0.718 SOL</t>
        </is>
      </c>
      <c r="G84" s="23" t="inlineStr">
        <is>
          <t>0.268 SOL</t>
        </is>
      </c>
      <c r="H84" s="23" t="inlineStr">
        <is>
          <t>59.43%</t>
        </is>
      </c>
      <c r="I84" s="16" t="inlineStr">
        <is>
          <t>N/A</t>
        </is>
      </c>
      <c r="J84" s="16" t="n">
        <v>3</v>
      </c>
      <c r="K84" s="16" t="n">
        <v>2</v>
      </c>
      <c r="L84" s="16" t="inlineStr">
        <is>
          <t>29.10.2024 11:30:54</t>
        </is>
      </c>
      <c r="M84" s="16" t="inlineStr">
        <is>
          <t>9 days</t>
        </is>
      </c>
      <c r="N84" s="16" t="inlineStr">
        <is>
          <t xml:space="preserve">         56K           241K            24K</t>
        </is>
      </c>
      <c r="O84" s="16" t="inlineStr">
        <is>
          <t>3VR9UzXZn56Xstds3g7X8E6TtsSc6AKEJUrRYeVKpump</t>
        </is>
      </c>
      <c r="P84" s="16">
        <f>HYPERLINK("https://dexscreener.com/solana/3VR9UzXZn56Xstds3g7X8E6TtsSc6AKEJUrRYeVKpump", "View")</f>
        <v/>
      </c>
    </row>
    <row r="85">
      <c r="A85" s="19" t="inlineStr">
        <is>
          <t>Neo</t>
        </is>
      </c>
      <c r="B85" s="20" t="n">
        <v>699341</v>
      </c>
      <c r="C85" s="20" t="n">
        <v>0</v>
      </c>
      <c r="D85" s="20" t="inlineStr">
        <is>
          <t>0.005600</t>
        </is>
      </c>
      <c r="E85" s="20" t="inlineStr">
        <is>
          <t>0.050 SOL</t>
        </is>
      </c>
      <c r="F85" s="20" t="inlineStr">
        <is>
          <t>0.000 SOL</t>
        </is>
      </c>
      <c r="G85" s="17" t="inlineStr">
        <is>
          <t>-0.056 SOL</t>
        </is>
      </c>
      <c r="H85" s="17" t="inlineStr">
        <is>
          <t>0.00%</t>
        </is>
      </c>
      <c r="I85" s="20" t="inlineStr">
        <is>
          <t>699,341</t>
        </is>
      </c>
      <c r="J85" s="20" t="n">
        <v>1</v>
      </c>
      <c r="K85" s="20" t="n">
        <v>0</v>
      </c>
      <c r="L85" s="20" t="inlineStr">
        <is>
          <t>28.10.2024 22:32:16</t>
        </is>
      </c>
      <c r="M85" s="18" t="inlineStr">
        <is>
          <t>0 sec</t>
        </is>
      </c>
      <c r="N85" s="20" t="inlineStr">
        <is>
          <t xml:space="preserve">         12K            12K             3K</t>
        </is>
      </c>
      <c r="O85" s="20" t="inlineStr">
        <is>
          <t>HNqR3F8eWg6Jkqb1DhQn7ZdpLxZigc8YRZzfgirjpump</t>
        </is>
      </c>
      <c r="P85" s="20">
        <f>HYPERLINK("https://dexscreener.com/solana/HNqR3F8eWg6Jkqb1DhQn7ZdpLxZigc8YRZzfgirjpump", "View")</f>
        <v/>
      </c>
    </row>
    <row r="86">
      <c r="A86" s="15" t="inlineStr">
        <is>
          <t>aqua</t>
        </is>
      </c>
      <c r="B86" s="16" t="n">
        <v>143991</v>
      </c>
      <c r="C86" s="16" t="n">
        <v>0</v>
      </c>
      <c r="D86" s="16" t="inlineStr">
        <is>
          <t>0.000150</t>
        </is>
      </c>
      <c r="E86" s="16" t="inlineStr">
        <is>
          <t>0.050 SOL</t>
        </is>
      </c>
      <c r="F86" s="16" t="inlineStr">
        <is>
          <t>0.000 SOL</t>
        </is>
      </c>
      <c r="G86" s="17" t="inlineStr">
        <is>
          <t>-0.050 SOL</t>
        </is>
      </c>
      <c r="H86" s="17" t="inlineStr">
        <is>
          <t>0.00%</t>
        </is>
      </c>
      <c r="I86" s="16" t="inlineStr">
        <is>
          <t>143,991</t>
        </is>
      </c>
      <c r="J86" s="16" t="n">
        <v>1</v>
      </c>
      <c r="K86" s="16" t="n">
        <v>0</v>
      </c>
      <c r="L86" s="16" t="inlineStr">
        <is>
          <t>28.10.2024 21:33:58</t>
        </is>
      </c>
      <c r="M86" s="18" t="inlineStr">
        <is>
          <t>0 sec</t>
        </is>
      </c>
      <c r="N86" s="16" t="inlineStr">
        <is>
          <t xml:space="preserve">         61K            61K            11K</t>
        </is>
      </c>
      <c r="O86" s="16" t="inlineStr">
        <is>
          <t>9y1B3h5bTpkHqTgWTmA7BRjkmDheExjusyKzZ6Wupump</t>
        </is>
      </c>
      <c r="P86" s="16">
        <f>HYPERLINK("https://dexscreener.com/solana/9y1B3h5bTpkHqTgWTmA7BRjkmDheExjusyKzZ6Wupump", "View")</f>
        <v/>
      </c>
    </row>
    <row r="87">
      <c r="A87" s="19" t="inlineStr">
        <is>
          <t>LIL</t>
        </is>
      </c>
      <c r="B87" s="20" t="n">
        <v>106314</v>
      </c>
      <c r="C87" s="20" t="n">
        <v>0</v>
      </c>
      <c r="D87" s="20" t="inlineStr">
        <is>
          <t>0.005600</t>
        </is>
      </c>
      <c r="E87" s="20" t="inlineStr">
        <is>
          <t>0.050 SOL</t>
        </is>
      </c>
      <c r="F87" s="20" t="inlineStr">
        <is>
          <t>0.000 SOL</t>
        </is>
      </c>
      <c r="G87" s="17" t="inlineStr">
        <is>
          <t>-0.056 SOL</t>
        </is>
      </c>
      <c r="H87" s="17" t="inlineStr">
        <is>
          <t>0.00%</t>
        </is>
      </c>
      <c r="I87" s="20" t="inlineStr">
        <is>
          <t>106,314</t>
        </is>
      </c>
      <c r="J87" s="20" t="n">
        <v>1</v>
      </c>
      <c r="K87" s="20" t="n">
        <v>0</v>
      </c>
      <c r="L87" s="20" t="inlineStr">
        <is>
          <t>28.10.2024 20:49:07</t>
        </is>
      </c>
      <c r="M87" s="18" t="inlineStr">
        <is>
          <t>0 sec</t>
        </is>
      </c>
      <c r="N87" s="20" t="inlineStr">
        <is>
          <t xml:space="preserve">         83K            83K             5K</t>
        </is>
      </c>
      <c r="O87" s="20" t="inlineStr">
        <is>
          <t>8QhZnAPjV4rsVFEg9fSqHPXDMaHx3yxKpfrKuY7wpump</t>
        </is>
      </c>
      <c r="P87" s="20">
        <f>HYPERLINK("https://dexscreener.com/solana/8QhZnAPjV4rsVFEg9fSqHPXDMaHx3yxKpfrKuY7wpump", "View")</f>
        <v/>
      </c>
    </row>
    <row r="88">
      <c r="A88" s="15" t="inlineStr">
        <is>
          <t>BUSYA</t>
        </is>
      </c>
      <c r="B88" s="16" t="n">
        <v>2748569</v>
      </c>
      <c r="C88" s="16" t="n">
        <v>2748569</v>
      </c>
      <c r="D88" s="16" t="inlineStr">
        <is>
          <t>0.004610</t>
        </is>
      </c>
      <c r="E88" s="16" t="inlineStr">
        <is>
          <t>0.100 SOL</t>
        </is>
      </c>
      <c r="F88" s="16" t="inlineStr">
        <is>
          <t>0.054 SOL</t>
        </is>
      </c>
      <c r="G88" s="21" t="inlineStr">
        <is>
          <t>-0.051 SOL</t>
        </is>
      </c>
      <c r="H88" s="21" t="inlineStr">
        <is>
          <t>-48.53%</t>
        </is>
      </c>
      <c r="I88" s="16" t="inlineStr">
        <is>
          <t>N/A</t>
        </is>
      </c>
      <c r="J88" s="16" t="n">
        <v>1</v>
      </c>
      <c r="K88" s="16" t="n">
        <v>1</v>
      </c>
      <c r="L88" s="16" t="inlineStr">
        <is>
          <t>28.10.2024 20:40:10</t>
        </is>
      </c>
      <c r="M88" s="16" t="inlineStr">
        <is>
          <t>2 days</t>
        </is>
      </c>
      <c r="N88" s="16" t="inlineStr">
        <is>
          <t xml:space="preserve">          7K             7K             3K</t>
        </is>
      </c>
      <c r="O88" s="16" t="inlineStr">
        <is>
          <t>DUtiwDcB5dBz9CB9L2DXg6izutmHRtq5kgztBFwzpump</t>
        </is>
      </c>
      <c r="P88" s="16">
        <f>HYPERLINK("https://dexscreener.com/solana/DUtiwDcB5dBz9CB9L2DXg6izutmHRtq5kgztBFwzpump", "View")</f>
        <v/>
      </c>
    </row>
    <row r="89">
      <c r="A89" s="19" t="inlineStr">
        <is>
          <t>wagmi</t>
        </is>
      </c>
      <c r="B89" s="20" t="n">
        <v>50060</v>
      </c>
      <c r="C89" s="20" t="n">
        <v>50060</v>
      </c>
      <c r="D89" s="20" t="inlineStr">
        <is>
          <t>0.000810</t>
        </is>
      </c>
      <c r="E89" s="20" t="inlineStr">
        <is>
          <t>0.149 SOL</t>
        </is>
      </c>
      <c r="F89" s="20" t="inlineStr">
        <is>
          <t>0.038 SOL</t>
        </is>
      </c>
      <c r="G89" s="24" t="inlineStr">
        <is>
          <t>-0.112 SOL</t>
        </is>
      </c>
      <c r="H89" s="24" t="inlineStr">
        <is>
          <t>-74.71%</t>
        </is>
      </c>
      <c r="I89" s="20" t="inlineStr">
        <is>
          <t>N/A</t>
        </is>
      </c>
      <c r="J89" s="20" t="n">
        <v>1</v>
      </c>
      <c r="K89" s="20" t="n">
        <v>1</v>
      </c>
      <c r="L89" s="20" t="inlineStr">
        <is>
          <t>28.10.2024 20:39:37</t>
        </is>
      </c>
      <c r="M89" s="20" t="inlineStr">
        <is>
          <t>7 days</t>
        </is>
      </c>
      <c r="N89" s="20" t="inlineStr">
        <is>
          <t xml:space="preserve">        522K           522K           202K</t>
        </is>
      </c>
      <c r="O89" s="20" t="inlineStr">
        <is>
          <t>AQtgbbJNXg2T7s6BFU15NhDtSsphKRX2Ro86J2AtgQ2D</t>
        </is>
      </c>
      <c r="P89" s="20">
        <f>HYPERLINK("https://dexscreener.com/solana/AQtgbbJNXg2T7s6BFU15NhDtSsphKRX2Ro86J2AtgQ2D", "View")</f>
        <v/>
      </c>
    </row>
    <row r="90">
      <c r="A90" s="15" t="inlineStr">
        <is>
          <t>TateAI</t>
        </is>
      </c>
      <c r="B90" s="16" t="n">
        <v>12955</v>
      </c>
      <c r="C90" s="16" t="n">
        <v>12955</v>
      </c>
      <c r="D90" s="16" t="inlineStr">
        <is>
          <t>0.004610</t>
        </is>
      </c>
      <c r="E90" s="16" t="inlineStr">
        <is>
          <t>0.050 SOL</t>
        </is>
      </c>
      <c r="F90" s="16" t="inlineStr">
        <is>
          <t>0.105 SOL</t>
        </is>
      </c>
      <c r="G90" s="23" t="inlineStr">
        <is>
          <t>0.051 SOL</t>
        </is>
      </c>
      <c r="H90" s="23" t="inlineStr">
        <is>
          <t>92.67%</t>
        </is>
      </c>
      <c r="I90" s="16" t="inlineStr">
        <is>
          <t>N/A</t>
        </is>
      </c>
      <c r="J90" s="16" t="n">
        <v>1</v>
      </c>
      <c r="K90" s="16" t="n">
        <v>1</v>
      </c>
      <c r="L90" s="16" t="inlineStr">
        <is>
          <t>28.10.2024 20:38:43</t>
        </is>
      </c>
      <c r="M90" s="16" t="inlineStr">
        <is>
          <t>3 days</t>
        </is>
      </c>
      <c r="N90" s="16" t="inlineStr">
        <is>
          <t xml:space="preserve">        678K           678K           659K</t>
        </is>
      </c>
      <c r="O90" s="16" t="inlineStr">
        <is>
          <t>BoBj68cWnCvzMNUKzJyR7Jq7tLM3v76D1pYL1E8rpump</t>
        </is>
      </c>
      <c r="P90" s="16">
        <f>HYPERLINK("https://dexscreener.com/solana/BoBj68cWnCvzMNUKzJyR7Jq7tLM3v76D1pYL1E8rpump", "View")</f>
        <v/>
      </c>
    </row>
    <row r="91">
      <c r="A91" s="19" t="inlineStr">
        <is>
          <t>WIBBIT</t>
        </is>
      </c>
      <c r="B91" s="20" t="n">
        <v>655647</v>
      </c>
      <c r="C91" s="20" t="n">
        <v>382835</v>
      </c>
      <c r="D91" s="20" t="inlineStr">
        <is>
          <t>0.003300</t>
        </is>
      </c>
      <c r="E91" s="20" t="inlineStr">
        <is>
          <t>0.283 SOL</t>
        </is>
      </c>
      <c r="F91" s="20" t="inlineStr">
        <is>
          <t>0.669 SOL</t>
        </is>
      </c>
      <c r="G91" s="23" t="inlineStr">
        <is>
          <t>0.383 SOL</t>
        </is>
      </c>
      <c r="H91" s="23" t="inlineStr">
        <is>
          <t>133.61%</t>
        </is>
      </c>
      <c r="I91" s="20" t="inlineStr">
        <is>
          <t>N/A</t>
        </is>
      </c>
      <c r="J91" s="20" t="n">
        <v>2</v>
      </c>
      <c r="K91" s="20" t="n">
        <v>3</v>
      </c>
      <c r="L91" s="20" t="inlineStr">
        <is>
          <t>28.10.2024 20:37:55</t>
        </is>
      </c>
      <c r="M91" s="20" t="inlineStr">
        <is>
          <t>5 days</t>
        </is>
      </c>
      <c r="N91" s="20" t="inlineStr">
        <is>
          <t xml:space="preserve">        107K            60K           315K</t>
        </is>
      </c>
      <c r="O91" s="20" t="inlineStr">
        <is>
          <t>Ep4N8bo9qVFUpqDQqKwvkbXozx2FDDGNFWUxF2Sjpump</t>
        </is>
      </c>
      <c r="P91" s="20">
        <f>HYPERLINK("https://dexscreener.com/solana/Ep4N8bo9qVFUpqDQqKwvkbXozx2FDDGNFWUxF2Sjpump", "View")</f>
        <v/>
      </c>
    </row>
    <row r="92">
      <c r="A92" s="15" t="inlineStr">
        <is>
          <t>Skynet</t>
        </is>
      </c>
      <c r="B92" s="16" t="n">
        <v>137068</v>
      </c>
      <c r="C92" s="16" t="n">
        <v>0</v>
      </c>
      <c r="D92" s="16" t="inlineStr">
        <is>
          <t>0.004210</t>
        </is>
      </c>
      <c r="E92" s="16" t="inlineStr">
        <is>
          <t>0.050 SOL</t>
        </is>
      </c>
      <c r="F92" s="16" t="inlineStr">
        <is>
          <t>0.000 SOL</t>
        </is>
      </c>
      <c r="G92" s="17" t="inlineStr">
        <is>
          <t>-0.054 SOL</t>
        </is>
      </c>
      <c r="H92" s="17" t="inlineStr">
        <is>
          <t>0.00%</t>
        </is>
      </c>
      <c r="I92" s="16" t="inlineStr">
        <is>
          <t>137,068</t>
        </is>
      </c>
      <c r="J92" s="16" t="n">
        <v>1</v>
      </c>
      <c r="K92" s="16" t="n">
        <v>0</v>
      </c>
      <c r="L92" s="16" t="inlineStr">
        <is>
          <t>28.10.2024 08:39:19</t>
        </is>
      </c>
      <c r="M92" s="18" t="inlineStr">
        <is>
          <t>0 sec</t>
        </is>
      </c>
      <c r="N92" s="16" t="inlineStr">
        <is>
          <t xml:space="preserve">         63K            63K            16K</t>
        </is>
      </c>
      <c r="O92" s="16" t="inlineStr">
        <is>
          <t>ErQa4H1JhXFfooaPnAFX3wiJucajzCgCquGtgbbYhGs8</t>
        </is>
      </c>
      <c r="P92" s="16">
        <f>HYPERLINK("https://dexscreener.com/solana/ErQa4H1JhXFfooaPnAFX3wiJucajzCgCquGtgbbYhGs8", "View")</f>
        <v/>
      </c>
    </row>
    <row r="93">
      <c r="A93" s="19" t="inlineStr">
        <is>
          <t>RedCircle</t>
        </is>
      </c>
      <c r="B93" s="20" t="n">
        <v>54941</v>
      </c>
      <c r="C93" s="20" t="n">
        <v>0</v>
      </c>
      <c r="D93" s="20" t="inlineStr">
        <is>
          <t>0.003220</t>
        </is>
      </c>
      <c r="E93" s="20" t="inlineStr">
        <is>
          <t>0.050 SOL</t>
        </is>
      </c>
      <c r="F93" s="20" t="inlineStr">
        <is>
          <t>0.000 SOL</t>
        </is>
      </c>
      <c r="G93" s="17" t="inlineStr">
        <is>
          <t>-0.053 SOL</t>
        </is>
      </c>
      <c r="H93" s="17" t="inlineStr">
        <is>
          <t>0.00%</t>
        </is>
      </c>
      <c r="I93" s="20" t="inlineStr">
        <is>
          <t>54,941</t>
        </is>
      </c>
      <c r="J93" s="20" t="n">
        <v>1</v>
      </c>
      <c r="K93" s="20" t="n">
        <v>0</v>
      </c>
      <c r="L93" s="20" t="inlineStr">
        <is>
          <t>28.10.2024 07:39:31</t>
        </is>
      </c>
      <c r="M93" s="18" t="inlineStr">
        <is>
          <t>0 sec</t>
        </is>
      </c>
      <c r="N93" s="20" t="inlineStr">
        <is>
          <t xml:space="preserve">        157K           157K            19K</t>
        </is>
      </c>
      <c r="O93" s="20" t="inlineStr">
        <is>
          <t>Em6JwNZN8U6ixHPAbrquXaMVSHHbYkfhcqVezoEGpump</t>
        </is>
      </c>
      <c r="P93" s="20">
        <f>HYPERLINK("https://dexscreener.com/solana/Em6JwNZN8U6ixHPAbrquXaMVSHHbYkfhcqVezoEGpump", "View")</f>
        <v/>
      </c>
    </row>
    <row r="94">
      <c r="A94" s="15" t="inlineStr">
        <is>
          <t>othebys</t>
        </is>
      </c>
      <c r="B94" s="16" t="n">
        <v>46975</v>
      </c>
      <c r="C94" s="16" t="n">
        <v>0</v>
      </c>
      <c r="D94" s="16" t="inlineStr">
        <is>
          <t>0.001530</t>
        </is>
      </c>
      <c r="E94" s="16" t="inlineStr">
        <is>
          <t>0.050 SOL</t>
        </is>
      </c>
      <c r="F94" s="16" t="inlineStr">
        <is>
          <t>0.000 SOL</t>
        </is>
      </c>
      <c r="G94" s="17" t="inlineStr">
        <is>
          <t>-0.052 SOL</t>
        </is>
      </c>
      <c r="H94" s="17" t="inlineStr">
        <is>
          <t>0.00%</t>
        </is>
      </c>
      <c r="I94" s="16" t="inlineStr">
        <is>
          <t>46,975</t>
        </is>
      </c>
      <c r="J94" s="16" t="n">
        <v>1</v>
      </c>
      <c r="K94" s="16" t="n">
        <v>0</v>
      </c>
      <c r="L94" s="16" t="inlineStr">
        <is>
          <t>28.10.2024 07:37:08</t>
        </is>
      </c>
      <c r="M94" s="18" t="inlineStr">
        <is>
          <t>0 sec</t>
        </is>
      </c>
      <c r="N94" s="16" t="inlineStr">
        <is>
          <t xml:space="preserve">        186K           186K            16K</t>
        </is>
      </c>
      <c r="O94" s="16" t="inlineStr">
        <is>
          <t>FvLjA1gxFgYSGdxjBgjJBchD5XRdrwvfZaCMyTBdpump</t>
        </is>
      </c>
      <c r="P94" s="16">
        <f>HYPERLINK("https://dexscreener.com/solana/FvLjA1gxFgYSGdxjBgjJBchD5XRdrwvfZaCMyTBdpump", "View")</f>
        <v/>
      </c>
    </row>
    <row r="95">
      <c r="A95" s="19" t="inlineStr">
        <is>
          <t>MCB</t>
        </is>
      </c>
      <c r="B95" s="20" t="n">
        <v>90019</v>
      </c>
      <c r="C95" s="20" t="n">
        <v>0</v>
      </c>
      <c r="D95" s="20" t="inlineStr">
        <is>
          <t>0.001530</t>
        </is>
      </c>
      <c r="E95" s="20" t="inlineStr">
        <is>
          <t>0.050 SOL</t>
        </is>
      </c>
      <c r="F95" s="20" t="inlineStr">
        <is>
          <t>0.000 SOL</t>
        </is>
      </c>
      <c r="G95" s="17" t="inlineStr">
        <is>
          <t>-0.052 SOL</t>
        </is>
      </c>
      <c r="H95" s="17" t="inlineStr">
        <is>
          <t>0.00%</t>
        </is>
      </c>
      <c r="I95" s="20" t="inlineStr">
        <is>
          <t>90,019</t>
        </is>
      </c>
      <c r="J95" s="20" t="n">
        <v>1</v>
      </c>
      <c r="K95" s="20" t="n">
        <v>0</v>
      </c>
      <c r="L95" s="20" t="inlineStr">
        <is>
          <t>28.10.2024 07:35:53</t>
        </is>
      </c>
      <c r="M95" s="18" t="inlineStr">
        <is>
          <t>0 sec</t>
        </is>
      </c>
      <c r="N95" s="20" t="inlineStr">
        <is>
          <t xml:space="preserve">         98K            98K            20K</t>
        </is>
      </c>
      <c r="O95" s="20" t="inlineStr">
        <is>
          <t>4ALtFjC3M3Cg8RiooUoqzDGXCpgwb9csDEHiRaT9pump</t>
        </is>
      </c>
      <c r="P95" s="20">
        <f>HYPERLINK("https://dexscreener.com/solana/4ALtFjC3M3Cg8RiooUoqzDGXCpgwb9csDEHiRaT9pump", "View")</f>
        <v/>
      </c>
    </row>
    <row r="96">
      <c r="A96" s="15" t="inlineStr">
        <is>
          <t>VIORA</t>
        </is>
      </c>
      <c r="B96" s="16" t="n">
        <v>50533</v>
      </c>
      <c r="C96" s="16" t="n">
        <v>0</v>
      </c>
      <c r="D96" s="16" t="inlineStr">
        <is>
          <t>0.004210</t>
        </is>
      </c>
      <c r="E96" s="16" t="inlineStr">
        <is>
          <t>0.050 SOL</t>
        </is>
      </c>
      <c r="F96" s="16" t="inlineStr">
        <is>
          <t>0.000 SOL</t>
        </is>
      </c>
      <c r="G96" s="17" t="inlineStr">
        <is>
          <t>-0.054 SOL</t>
        </is>
      </c>
      <c r="H96" s="17" t="inlineStr">
        <is>
          <t>0.00%</t>
        </is>
      </c>
      <c r="I96" s="16" t="inlineStr">
        <is>
          <t>50,533</t>
        </is>
      </c>
      <c r="J96" s="16" t="n">
        <v>1</v>
      </c>
      <c r="K96" s="16" t="n">
        <v>0</v>
      </c>
      <c r="L96" s="16" t="inlineStr">
        <is>
          <t>28.10.2024 07:35:30</t>
        </is>
      </c>
      <c r="M96" s="18" t="inlineStr">
        <is>
          <t>0 sec</t>
        </is>
      </c>
      <c r="N96" s="16" t="inlineStr">
        <is>
          <t xml:space="preserve">        174K           174K            41K</t>
        </is>
      </c>
      <c r="O96" s="16" t="inlineStr">
        <is>
          <t>BhbfgSh5P742DE5eMx24iZXNZeD2vNRFBZe3EP9Mpump</t>
        </is>
      </c>
      <c r="P96" s="16">
        <f>HYPERLINK("https://dexscreener.com/solana/BhbfgSh5P742DE5eMx24iZXNZeD2vNRFBZe3EP9Mpump", "View")</f>
        <v/>
      </c>
    </row>
    <row r="97">
      <c r="A97" s="19" t="inlineStr">
        <is>
          <t>PUMPAI</t>
        </is>
      </c>
      <c r="B97" s="20" t="n">
        <v>55933</v>
      </c>
      <c r="C97" s="20" t="n">
        <v>0</v>
      </c>
      <c r="D97" s="20" t="inlineStr">
        <is>
          <t>0.000150</t>
        </is>
      </c>
      <c r="E97" s="20" t="inlineStr">
        <is>
          <t>0.050 SOL</t>
        </is>
      </c>
      <c r="F97" s="20" t="inlineStr">
        <is>
          <t>0.000 SOL</t>
        </is>
      </c>
      <c r="G97" s="17" t="inlineStr">
        <is>
          <t>-0.050 SOL</t>
        </is>
      </c>
      <c r="H97" s="17" t="inlineStr">
        <is>
          <t>0.00%</t>
        </is>
      </c>
      <c r="I97" s="20" t="inlineStr">
        <is>
          <t>55,933</t>
        </is>
      </c>
      <c r="J97" s="20" t="n">
        <v>1</v>
      </c>
      <c r="K97" s="20" t="n">
        <v>0</v>
      </c>
      <c r="L97" s="20" t="inlineStr">
        <is>
          <t>28.10.2024 07:34:55</t>
        </is>
      </c>
      <c r="M97" s="18" t="inlineStr">
        <is>
          <t>0 sec</t>
        </is>
      </c>
      <c r="N97" s="20" t="inlineStr">
        <is>
          <t xml:space="preserve">        156K           156K            32K</t>
        </is>
      </c>
      <c r="O97" s="20" t="inlineStr">
        <is>
          <t>hf8aYwMK2cYv7t4uUhUAqpdwTS3sja2z9RJMQZ2pump</t>
        </is>
      </c>
      <c r="P97" s="20">
        <f>HYPERLINK("https://dexscreener.com/solana/hf8aYwMK2cYv7t4uUhUAqpdwTS3sja2z9RJMQZ2pump", "View")</f>
        <v/>
      </c>
    </row>
    <row r="98">
      <c r="A98" s="15" t="inlineStr">
        <is>
          <t>PAPE</t>
        </is>
      </c>
      <c r="B98" s="16" t="n">
        <v>83959</v>
      </c>
      <c r="C98" s="16" t="n">
        <v>83959</v>
      </c>
      <c r="D98" s="16" t="inlineStr">
        <is>
          <t>0.004610</t>
        </is>
      </c>
      <c r="E98" s="16" t="inlineStr">
        <is>
          <t>0.100 SOL</t>
        </is>
      </c>
      <c r="F98" s="16" t="inlineStr">
        <is>
          <t>0.089 SOL</t>
        </is>
      </c>
      <c r="G98" s="21" t="inlineStr">
        <is>
          <t>-0.015 SOL</t>
        </is>
      </c>
      <c r="H98" s="21" t="inlineStr">
        <is>
          <t>-14.70%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28.10.2024 07:33:57</t>
        </is>
      </c>
      <c r="M98" s="16" t="inlineStr">
        <is>
          <t>12 hours</t>
        </is>
      </c>
      <c r="N98" s="16" t="inlineStr">
        <is>
          <t xml:space="preserve">        193K           193K            17K</t>
        </is>
      </c>
      <c r="O98" s="16" t="inlineStr">
        <is>
          <t>B7hx74SWaVF5wVDiFhxRPzR4iVP4tcxqUNf9SNb6pump</t>
        </is>
      </c>
      <c r="P98" s="16">
        <f>HYPERLINK("https://dexscreener.com/solana/B7hx74SWaVF5wVDiFhxRPzR4iVP4tcxqUNf9SNb6pump", "View")</f>
        <v/>
      </c>
    </row>
    <row r="99">
      <c r="A99" s="19" t="inlineStr">
        <is>
          <t>PIXEL</t>
        </is>
      </c>
      <c r="B99" s="20" t="n">
        <v>82509</v>
      </c>
      <c r="C99" s="20" t="n">
        <v>0</v>
      </c>
      <c r="D99" s="20" t="inlineStr">
        <is>
          <t>0.000150</t>
        </is>
      </c>
      <c r="E99" s="20" t="inlineStr">
        <is>
          <t>0.050 SOL</t>
        </is>
      </c>
      <c r="F99" s="20" t="inlineStr">
        <is>
          <t>0.000 SOL</t>
        </is>
      </c>
      <c r="G99" s="17" t="inlineStr">
        <is>
          <t>-0.050 SOL</t>
        </is>
      </c>
      <c r="H99" s="17" t="inlineStr">
        <is>
          <t>0.00%</t>
        </is>
      </c>
      <c r="I99" s="20" t="inlineStr">
        <is>
          <t>82,509</t>
        </is>
      </c>
      <c r="J99" s="20" t="n">
        <v>1</v>
      </c>
      <c r="K99" s="20" t="n">
        <v>0</v>
      </c>
      <c r="L99" s="20" t="inlineStr">
        <is>
          <t>28.10.2024 07:33:23</t>
        </is>
      </c>
      <c r="M99" s="18" t="inlineStr">
        <is>
          <t>0 sec</t>
        </is>
      </c>
      <c r="N99" s="20" t="inlineStr">
        <is>
          <t xml:space="preserve">        107K           107K            32K</t>
        </is>
      </c>
      <c r="O99" s="20" t="inlineStr">
        <is>
          <t>82SP62Q6VL8Tuy5akaNVicvfJVgwDtjL7JqyBhcKpump</t>
        </is>
      </c>
      <c r="P99" s="20">
        <f>HYPERLINK("https://dexscreener.com/solana/82SP62Q6VL8Tuy5akaNVicvfJVgwDtjL7JqyBhcKpump", "View")</f>
        <v/>
      </c>
    </row>
    <row r="100">
      <c r="A100" s="15" t="inlineStr">
        <is>
          <t>Toad</t>
        </is>
      </c>
      <c r="B100" s="16" t="n">
        <v>40406</v>
      </c>
      <c r="C100" s="16" t="n">
        <v>0</v>
      </c>
      <c r="D100" s="16" t="inlineStr">
        <is>
          <t>0.000150</t>
        </is>
      </c>
      <c r="E100" s="16" t="inlineStr">
        <is>
          <t>0.050 SOL</t>
        </is>
      </c>
      <c r="F100" s="16" t="inlineStr">
        <is>
          <t>0.000 SOL</t>
        </is>
      </c>
      <c r="G100" s="17" t="inlineStr">
        <is>
          <t>-0.050 SOL</t>
        </is>
      </c>
      <c r="H100" s="17" t="inlineStr">
        <is>
          <t>0.00%</t>
        </is>
      </c>
      <c r="I100" s="16" t="inlineStr">
        <is>
          <t>40,406</t>
        </is>
      </c>
      <c r="J100" s="16" t="n">
        <v>1</v>
      </c>
      <c r="K100" s="16" t="n">
        <v>0</v>
      </c>
      <c r="L100" s="16" t="inlineStr">
        <is>
          <t>28.10.2024 07:32:49</t>
        </is>
      </c>
      <c r="M100" s="18" t="inlineStr">
        <is>
          <t>0 sec</t>
        </is>
      </c>
      <c r="N100" s="16" t="inlineStr">
        <is>
          <t xml:space="preserve">        218K           218K            73K</t>
        </is>
      </c>
      <c r="O100" s="16" t="inlineStr">
        <is>
          <t>7xn2T1x7xw5quHmzy2YvFWyFUNwp75fsw5bxiXGRpump</t>
        </is>
      </c>
      <c r="P100" s="16">
        <f>HYPERLINK("https://dexscreener.com/solana/7xn2T1x7xw5quHmzy2YvFWyFUNwp75fsw5bxiXGRpump", "View")</f>
        <v/>
      </c>
    </row>
    <row r="101">
      <c r="A101" s="19" t="inlineStr">
        <is>
          <t>ARI</t>
        </is>
      </c>
      <c r="B101" s="20" t="n">
        <v>78839</v>
      </c>
      <c r="C101" s="20" t="n">
        <v>0</v>
      </c>
      <c r="D101" s="20" t="inlineStr">
        <is>
          <t>0.002550</t>
        </is>
      </c>
      <c r="E101" s="20" t="inlineStr">
        <is>
          <t>0.100 SOL</t>
        </is>
      </c>
      <c r="F101" s="20" t="inlineStr">
        <is>
          <t>0.000 SOL</t>
        </is>
      </c>
      <c r="G101" s="17" t="inlineStr">
        <is>
          <t>-0.103 SOL</t>
        </is>
      </c>
      <c r="H101" s="17" t="inlineStr">
        <is>
          <t>0.00%</t>
        </is>
      </c>
      <c r="I101" s="20" t="inlineStr">
        <is>
          <t>78,839</t>
        </is>
      </c>
      <c r="J101" s="20" t="n">
        <v>1</v>
      </c>
      <c r="K101" s="20" t="n">
        <v>0</v>
      </c>
      <c r="L101" s="20" t="inlineStr">
        <is>
          <t>27.10.2024 22:06:46</t>
        </is>
      </c>
      <c r="M101" s="18" t="inlineStr">
        <is>
          <t>0 sec</t>
        </is>
      </c>
      <c r="N101" s="20" t="inlineStr">
        <is>
          <t xml:space="preserve">        208K           208K            11K</t>
        </is>
      </c>
      <c r="O101" s="20" t="inlineStr">
        <is>
          <t>9d9nFy1S4YRijRT2LH8GvV6KYk52ktbFcXtmsyc3pump</t>
        </is>
      </c>
      <c r="P101" s="20">
        <f>HYPERLINK("https://dexscreener.com/solana/9d9nFy1S4YRijRT2LH8GvV6KYk52ktbFcXtmsyc3pump", "View")</f>
        <v/>
      </c>
    </row>
    <row r="102">
      <c r="A102" s="15" t="inlineStr">
        <is>
          <t>@AI</t>
        </is>
      </c>
      <c r="B102" s="16" t="n">
        <v>409763</v>
      </c>
      <c r="C102" s="16" t="n">
        <v>0</v>
      </c>
      <c r="D102" s="16" t="inlineStr">
        <is>
          <t>0.004210</t>
        </is>
      </c>
      <c r="E102" s="16" t="inlineStr">
        <is>
          <t>0.050 SOL</t>
        </is>
      </c>
      <c r="F102" s="16" t="inlineStr">
        <is>
          <t>0.000 SOL</t>
        </is>
      </c>
      <c r="G102" s="17" t="inlineStr">
        <is>
          <t>-0.054 SOL</t>
        </is>
      </c>
      <c r="H102" s="17" t="inlineStr">
        <is>
          <t>0.00%</t>
        </is>
      </c>
      <c r="I102" s="16" t="inlineStr">
        <is>
          <t>409,763</t>
        </is>
      </c>
      <c r="J102" s="16" t="n">
        <v>1</v>
      </c>
      <c r="K102" s="16" t="n">
        <v>0</v>
      </c>
      <c r="L102" s="16" t="inlineStr">
        <is>
          <t>27.10.2024 21:39:02</t>
        </is>
      </c>
      <c r="M102" s="18" t="inlineStr">
        <is>
          <t>0 sec</t>
        </is>
      </c>
      <c r="N102" s="16" t="inlineStr">
        <is>
          <t xml:space="preserve">         21K            21K             5K</t>
        </is>
      </c>
      <c r="O102" s="16" t="inlineStr">
        <is>
          <t>2DrfBeGy3iXWgmUfwxqPcA4QHkR3aPmDquu1dj5Zpump</t>
        </is>
      </c>
      <c r="P102" s="16">
        <f>HYPERLINK("https://dexscreener.com/solana/2DrfBeGy3iXWgmUfwxqPcA4QHkR3aPmDquu1dj5Zpump", "View")</f>
        <v/>
      </c>
    </row>
    <row r="103">
      <c r="A103" s="19" t="inlineStr">
        <is>
          <t>PURDEW</t>
        </is>
      </c>
      <c r="B103" s="20" t="n">
        <v>59337</v>
      </c>
      <c r="C103" s="20" t="n">
        <v>0</v>
      </c>
      <c r="D103" s="20" t="inlineStr">
        <is>
          <t>0.004210</t>
        </is>
      </c>
      <c r="E103" s="20" t="inlineStr">
        <is>
          <t>0.050 SOL</t>
        </is>
      </c>
      <c r="F103" s="20" t="inlineStr">
        <is>
          <t>0.000 SOL</t>
        </is>
      </c>
      <c r="G103" s="17" t="inlineStr">
        <is>
          <t>-0.054 SOL</t>
        </is>
      </c>
      <c r="H103" s="17" t="inlineStr">
        <is>
          <t>0.00%</t>
        </is>
      </c>
      <c r="I103" s="20" t="inlineStr">
        <is>
          <t>59,337</t>
        </is>
      </c>
      <c r="J103" s="20" t="n">
        <v>1</v>
      </c>
      <c r="K103" s="20" t="n">
        <v>0</v>
      </c>
      <c r="L103" s="20" t="inlineStr">
        <is>
          <t>27.10.2024 21:38:48</t>
        </is>
      </c>
      <c r="M103" s="18" t="inlineStr">
        <is>
          <t>0 sec</t>
        </is>
      </c>
      <c r="N103" s="20" t="inlineStr">
        <is>
          <t xml:space="preserve">        148K           148K            10K</t>
        </is>
      </c>
      <c r="O103" s="20" t="inlineStr">
        <is>
          <t>6V5naUSamJPiiwmYR1jw8qXZnAm5MCP5csFVDQyhkSQc</t>
        </is>
      </c>
      <c r="P103" s="20">
        <f>HYPERLINK("https://dexscreener.com/solana/6V5naUSamJPiiwmYR1jw8qXZnAm5MCP5csFVDQyhkSQc", "View")</f>
        <v/>
      </c>
    </row>
    <row r="104">
      <c r="A104" s="15" t="inlineStr">
        <is>
          <t>PETER</t>
        </is>
      </c>
      <c r="B104" s="16" t="n">
        <v>168443</v>
      </c>
      <c r="C104" s="16" t="n">
        <v>0</v>
      </c>
      <c r="D104" s="16" t="inlineStr">
        <is>
          <t>0.003480</t>
        </is>
      </c>
      <c r="E104" s="16" t="inlineStr">
        <is>
          <t>0.100 SOL</t>
        </is>
      </c>
      <c r="F104" s="16" t="inlineStr">
        <is>
          <t>0.000 SOL</t>
        </is>
      </c>
      <c r="G104" s="17" t="inlineStr">
        <is>
          <t>-0.103 SOL</t>
        </is>
      </c>
      <c r="H104" s="17" t="inlineStr">
        <is>
          <t>0.00%</t>
        </is>
      </c>
      <c r="I104" s="16" t="inlineStr">
        <is>
          <t>168,443</t>
        </is>
      </c>
      <c r="J104" s="16" t="n">
        <v>1</v>
      </c>
      <c r="K104" s="16" t="n">
        <v>0</v>
      </c>
      <c r="L104" s="16" t="inlineStr">
        <is>
          <t>27.10.2024 20:03:04</t>
        </is>
      </c>
      <c r="M104" s="18" t="inlineStr">
        <is>
          <t>0 sec</t>
        </is>
      </c>
      <c r="N104" s="16" t="inlineStr">
        <is>
          <t xml:space="preserve">        103K           103K             4K</t>
        </is>
      </c>
      <c r="O104" s="16" t="inlineStr">
        <is>
          <t>5eQY2Lh8Z74hFaRgxmW8WNj3SRqHp57yj5tM5o4Gpump</t>
        </is>
      </c>
      <c r="P104" s="16">
        <f>HYPERLINK("https://dexscreener.com/solana/5eQY2Lh8Z74hFaRgxmW8WNj3SRqHp57yj5tM5o4Gpump", "View")</f>
        <v/>
      </c>
    </row>
    <row r="105">
      <c r="A105" s="19" t="inlineStr">
        <is>
          <t>HOL</t>
        </is>
      </c>
      <c r="B105" s="20" t="n">
        <v>181008</v>
      </c>
      <c r="C105" s="20" t="n">
        <v>0</v>
      </c>
      <c r="D105" s="20" t="inlineStr">
        <is>
          <t>0.000150</t>
        </is>
      </c>
      <c r="E105" s="20" t="inlineStr">
        <is>
          <t>0.100 SOL</t>
        </is>
      </c>
      <c r="F105" s="20" t="inlineStr">
        <is>
          <t>0.000 SOL</t>
        </is>
      </c>
      <c r="G105" s="17" t="inlineStr">
        <is>
          <t>-0.100 SOL</t>
        </is>
      </c>
      <c r="H105" s="17" t="inlineStr">
        <is>
          <t>0.00%</t>
        </is>
      </c>
      <c r="I105" s="20" t="inlineStr">
        <is>
          <t>181,008</t>
        </is>
      </c>
      <c r="J105" s="20" t="n">
        <v>1</v>
      </c>
      <c r="K105" s="20" t="n">
        <v>0</v>
      </c>
      <c r="L105" s="20" t="inlineStr">
        <is>
          <t>27.10.2024 19:57:57</t>
        </is>
      </c>
      <c r="M105" s="18" t="inlineStr">
        <is>
          <t>0 sec</t>
        </is>
      </c>
      <c r="N105" s="20" t="inlineStr">
        <is>
          <t xml:space="preserve">         97K            97K            73K</t>
        </is>
      </c>
      <c r="O105" s="20" t="inlineStr">
        <is>
          <t>8r8xXP3eHgn19HYRX9Qe2AzSaSXrWCj6URAmFpvUpump</t>
        </is>
      </c>
      <c r="P105" s="20">
        <f>HYPERLINK("https://dexscreener.com/solana/8r8xXP3eHgn19HYRX9Qe2AzSaSXrWCj6URAmFpvUpump", "View")</f>
        <v/>
      </c>
    </row>
    <row r="106">
      <c r="A106" s="15" t="inlineStr">
        <is>
          <t>Sblox</t>
        </is>
      </c>
      <c r="B106" s="16" t="n">
        <v>170864</v>
      </c>
      <c r="C106" s="16" t="n">
        <v>0</v>
      </c>
      <c r="D106" s="16" t="inlineStr">
        <is>
          <t>0.004210</t>
        </is>
      </c>
      <c r="E106" s="16" t="inlineStr">
        <is>
          <t>0.100 SOL</t>
        </is>
      </c>
      <c r="F106" s="16" t="inlineStr">
        <is>
          <t>0.000 SOL</t>
        </is>
      </c>
      <c r="G106" s="17" t="inlineStr">
        <is>
          <t>-0.104 SOL</t>
        </is>
      </c>
      <c r="H106" s="17" t="inlineStr">
        <is>
          <t>0.00%</t>
        </is>
      </c>
      <c r="I106" s="16" t="inlineStr">
        <is>
          <t>170,864</t>
        </is>
      </c>
      <c r="J106" s="16" t="n">
        <v>1</v>
      </c>
      <c r="K106" s="16" t="n">
        <v>0</v>
      </c>
      <c r="L106" s="16" t="inlineStr">
        <is>
          <t>27.10.2024 19:50:53</t>
        </is>
      </c>
      <c r="M106" s="18" t="inlineStr">
        <is>
          <t>0 sec</t>
        </is>
      </c>
      <c r="N106" s="16" t="inlineStr">
        <is>
          <t xml:space="preserve">        104K           104K             4K</t>
        </is>
      </c>
      <c r="O106" s="16" t="inlineStr">
        <is>
          <t>AsPXNzvbPKSxeQTTngFEDq48JpCnch3UTS2XBsKtpump</t>
        </is>
      </c>
      <c r="P106" s="16">
        <f>HYPERLINK("https://dexscreener.com/solana/AsPXNzvbPKSxeQTTngFEDq48JpCnch3UTS2XBsKtpump", "View")</f>
        <v/>
      </c>
    </row>
    <row r="107">
      <c r="A107" s="19" t="inlineStr">
        <is>
          <t>IBM</t>
        </is>
      </c>
      <c r="B107" s="20" t="n">
        <v>188242</v>
      </c>
      <c r="C107" s="20" t="n">
        <v>0</v>
      </c>
      <c r="D107" s="20" t="inlineStr">
        <is>
          <t>0.000150</t>
        </is>
      </c>
      <c r="E107" s="20" t="inlineStr">
        <is>
          <t>0.100 SOL</t>
        </is>
      </c>
      <c r="F107" s="20" t="inlineStr">
        <is>
          <t>0.000 SOL</t>
        </is>
      </c>
      <c r="G107" s="17" t="inlineStr">
        <is>
          <t>-0.100 SOL</t>
        </is>
      </c>
      <c r="H107" s="17" t="inlineStr">
        <is>
          <t>0.00%</t>
        </is>
      </c>
      <c r="I107" s="20" t="inlineStr">
        <is>
          <t>188,242</t>
        </is>
      </c>
      <c r="J107" s="20" t="n">
        <v>1</v>
      </c>
      <c r="K107" s="20" t="n">
        <v>0</v>
      </c>
      <c r="L107" s="20" t="inlineStr">
        <is>
          <t>27.10.2024 19:34:36</t>
        </is>
      </c>
      <c r="M107" s="18" t="inlineStr">
        <is>
          <t>0 sec</t>
        </is>
      </c>
      <c r="N107" s="20" t="inlineStr">
        <is>
          <t xml:space="preserve">         89K            89K             5K</t>
        </is>
      </c>
      <c r="O107" s="20" t="inlineStr">
        <is>
          <t>6pND53RSQqB7mEJW8cBkJq3UJL8GEBjo689Wyqfppump</t>
        </is>
      </c>
      <c r="P107" s="20">
        <f>HYPERLINK("https://dexscreener.com/solana/6pND53RSQqB7mEJW8cBkJq3UJL8GEBjo689Wyqfppump", "View")</f>
        <v/>
      </c>
    </row>
    <row r="108">
      <c r="A108" s="15" t="inlineStr">
        <is>
          <t>MAGALAMA</t>
        </is>
      </c>
      <c r="B108" s="16" t="n">
        <v>270086</v>
      </c>
      <c r="C108" s="16" t="n">
        <v>0</v>
      </c>
      <c r="D108" s="16" t="inlineStr">
        <is>
          <t>0.000150</t>
        </is>
      </c>
      <c r="E108" s="16" t="inlineStr">
        <is>
          <t>0.100 SOL</t>
        </is>
      </c>
      <c r="F108" s="16" t="inlineStr">
        <is>
          <t>0.000 SOL</t>
        </is>
      </c>
      <c r="G108" s="17" t="inlineStr">
        <is>
          <t>-0.100 SOL</t>
        </is>
      </c>
      <c r="H108" s="17" t="inlineStr">
        <is>
          <t>0.00%</t>
        </is>
      </c>
      <c r="I108" s="16" t="inlineStr">
        <is>
          <t>270,086</t>
        </is>
      </c>
      <c r="J108" s="16" t="n">
        <v>1</v>
      </c>
      <c r="K108" s="16" t="n">
        <v>0</v>
      </c>
      <c r="L108" s="16" t="inlineStr">
        <is>
          <t>27.10.2024 19:17:13</t>
        </is>
      </c>
      <c r="M108" s="18" t="inlineStr">
        <is>
          <t>0 sec</t>
        </is>
      </c>
      <c r="N108" s="16" t="inlineStr">
        <is>
          <t xml:space="preserve">         65K            65K            10K</t>
        </is>
      </c>
      <c r="O108" s="16" t="inlineStr">
        <is>
          <t>2zFAcDtBwfWjJ8nnL6swBbj78KykqU57SYpG1us7pump</t>
        </is>
      </c>
      <c r="P108" s="16">
        <f>HYPERLINK("https://dexscreener.com/solana/2zFAcDtBwfWjJ8nnL6swBbj78KykqU57SYpG1us7pump", "View")</f>
        <v/>
      </c>
    </row>
    <row r="109">
      <c r="A109" s="19" t="inlineStr">
        <is>
          <t>Ollama</t>
        </is>
      </c>
      <c r="B109" s="20" t="n">
        <v>436603</v>
      </c>
      <c r="C109" s="20" t="n">
        <v>0</v>
      </c>
      <c r="D109" s="20" t="inlineStr">
        <is>
          <t>0.004210</t>
        </is>
      </c>
      <c r="E109" s="20" t="inlineStr">
        <is>
          <t>0.100 SOL</t>
        </is>
      </c>
      <c r="F109" s="20" t="inlineStr">
        <is>
          <t>0.000 SOL</t>
        </is>
      </c>
      <c r="G109" s="17" t="inlineStr">
        <is>
          <t>-0.104 SOL</t>
        </is>
      </c>
      <c r="H109" s="17" t="inlineStr">
        <is>
          <t>0.00%</t>
        </is>
      </c>
      <c r="I109" s="20" t="inlineStr">
        <is>
          <t>436,603</t>
        </is>
      </c>
      <c r="J109" s="20" t="n">
        <v>1</v>
      </c>
      <c r="K109" s="20" t="n">
        <v>0</v>
      </c>
      <c r="L109" s="20" t="inlineStr">
        <is>
          <t>27.10.2024 19:02:24</t>
        </is>
      </c>
      <c r="M109" s="18" t="inlineStr">
        <is>
          <t>0 sec</t>
        </is>
      </c>
      <c r="N109" s="20" t="inlineStr">
        <is>
          <t xml:space="preserve">         40K            40K             4K</t>
        </is>
      </c>
      <c r="O109" s="20" t="inlineStr">
        <is>
          <t>J9tDurLfiNKsxEUGdvqqDuVg5nrtrjx5LxW48Tjhpump</t>
        </is>
      </c>
      <c r="P109" s="20">
        <f>HYPERLINK("https://dexscreener.com/solana/J9tDurLfiNKsxEUGdvqqDuVg5nrtrjx5LxW48Tjhpump", "View")</f>
        <v/>
      </c>
    </row>
    <row r="110">
      <c r="A110" s="15" t="inlineStr">
        <is>
          <t>BIOCHAD</t>
        </is>
      </c>
      <c r="B110" s="16" t="n">
        <v>67606</v>
      </c>
      <c r="C110" s="16" t="n">
        <v>67606</v>
      </c>
      <c r="D110" s="16" t="inlineStr">
        <is>
          <t>0.001360</t>
        </is>
      </c>
      <c r="E110" s="16" t="inlineStr">
        <is>
          <t>0.050 SOL</t>
        </is>
      </c>
      <c r="F110" s="16" t="inlineStr">
        <is>
          <t>0.345 SOL</t>
        </is>
      </c>
      <c r="G110" s="23" t="inlineStr">
        <is>
          <t>0.294 SOL</t>
        </is>
      </c>
      <c r="H110" s="23" t="inlineStr">
        <is>
          <t>571.69%</t>
        </is>
      </c>
      <c r="I110" s="16" t="inlineStr">
        <is>
          <t>N/A</t>
        </is>
      </c>
      <c r="J110" s="16" t="n">
        <v>1</v>
      </c>
      <c r="K110" s="16" t="n">
        <v>3</v>
      </c>
      <c r="L110" s="16" t="inlineStr">
        <is>
          <t>27.10.2024 18:49:48</t>
        </is>
      </c>
      <c r="M110" s="16" t="inlineStr">
        <is>
          <t>22 hours</t>
        </is>
      </c>
      <c r="N110" s="16" t="inlineStr">
        <is>
          <t xml:space="preserve">        130K           130K           150K</t>
        </is>
      </c>
      <c r="O110" s="16" t="inlineStr">
        <is>
          <t>CnTFQGX95Kw6XJVHxGgyWQoLrrU4o8UaEwDzE7D2pump</t>
        </is>
      </c>
      <c r="P110" s="16">
        <f>HYPERLINK("https://dexscreener.com/solana/CnTFQGX95Kw6XJVHxGgyWQoLrrU4o8UaEwDzE7D2pump", "View")</f>
        <v/>
      </c>
    </row>
    <row r="111">
      <c r="A111" s="19" t="inlineStr">
        <is>
          <t>test</t>
        </is>
      </c>
      <c r="B111" s="20" t="n">
        <v>100746</v>
      </c>
      <c r="C111" s="20" t="n">
        <v>100746</v>
      </c>
      <c r="D111" s="20" t="inlineStr">
        <is>
          <t>0.009020</t>
        </is>
      </c>
      <c r="E111" s="20" t="inlineStr">
        <is>
          <t>0.150 SOL</t>
        </is>
      </c>
      <c r="F111" s="20" t="inlineStr">
        <is>
          <t>0.622 SOL</t>
        </is>
      </c>
      <c r="G111" s="23" t="inlineStr">
        <is>
          <t>0.463 SOL</t>
        </is>
      </c>
      <c r="H111" s="23" t="inlineStr">
        <is>
          <t>291.41%</t>
        </is>
      </c>
      <c r="I111" s="20" t="inlineStr">
        <is>
          <t>N/A</t>
        </is>
      </c>
      <c r="J111" s="20" t="n">
        <v>2</v>
      </c>
      <c r="K111" s="20" t="n">
        <v>3</v>
      </c>
      <c r="L111" s="20" t="inlineStr">
        <is>
          <t>27.10.2024 18:48:18</t>
        </is>
      </c>
      <c r="M111" s="20" t="inlineStr">
        <is>
          <t>1 days</t>
        </is>
      </c>
      <c r="N111" s="20" t="inlineStr">
        <is>
          <t xml:space="preserve">        205K           301K            43K</t>
        </is>
      </c>
      <c r="O111" s="20" t="inlineStr">
        <is>
          <t>2i2269HkF5ce2i8ExJfV8gw1MEmXkVYQNzRbtXZtpump</t>
        </is>
      </c>
      <c r="P111" s="20">
        <f>HYPERLINK("https://dexscreener.com/solana/2i2269HkF5ce2i8ExJfV8gw1MEmXkVYQNzRbtXZtpump", "View")</f>
        <v/>
      </c>
    </row>
    <row r="112">
      <c r="A112" s="15" t="inlineStr">
        <is>
          <t>TINYd</t>
        </is>
      </c>
      <c r="B112" s="16" t="n">
        <v>2417972</v>
      </c>
      <c r="C112" s="16" t="n">
        <v>2417972</v>
      </c>
      <c r="D112" s="16" t="inlineStr">
        <is>
          <t>0.002180</t>
        </is>
      </c>
      <c r="E112" s="16" t="inlineStr">
        <is>
          <t>0.100 SOL</t>
        </is>
      </c>
      <c r="F112" s="16" t="inlineStr">
        <is>
          <t>0.110 SOL</t>
        </is>
      </c>
      <c r="G112" s="22" t="inlineStr">
        <is>
          <t>0.008 SOL</t>
        </is>
      </c>
      <c r="H112" s="22" t="inlineStr">
        <is>
          <t>8.07%</t>
        </is>
      </c>
      <c r="I112" s="16" t="inlineStr">
        <is>
          <t>N/A</t>
        </is>
      </c>
      <c r="J112" s="16" t="n">
        <v>1</v>
      </c>
      <c r="K112" s="16" t="n">
        <v>1</v>
      </c>
      <c r="L112" s="16" t="inlineStr">
        <is>
          <t>27.10.2024 18:47:16</t>
        </is>
      </c>
      <c r="M112" s="16" t="inlineStr">
        <is>
          <t>2 days</t>
        </is>
      </c>
      <c r="N112" s="16" t="inlineStr">
        <is>
          <t xml:space="preserve">          7K             7K             8K</t>
        </is>
      </c>
      <c r="O112" s="16" t="inlineStr">
        <is>
          <t>E7rM21f6RhcYbhBwKBhnQQccmgN6H7Ls5PRtGMj9pump</t>
        </is>
      </c>
      <c r="P112" s="16">
        <f>HYPERLINK("https://dexscreener.com/solana/E7rM21f6RhcYbhBwKBhnQQccmgN6H7Ls5PRtGMj9pump", "View")</f>
        <v/>
      </c>
    </row>
    <row r="113">
      <c r="A113" s="19" t="inlineStr">
        <is>
          <t>CHAOS</t>
        </is>
      </c>
      <c r="B113" s="20" t="n">
        <v>172598</v>
      </c>
      <c r="C113" s="20" t="n">
        <v>172598</v>
      </c>
      <c r="D113" s="20" t="inlineStr">
        <is>
          <t>0.002430</t>
        </is>
      </c>
      <c r="E113" s="20" t="inlineStr">
        <is>
          <t>0.079 SOL</t>
        </is>
      </c>
      <c r="F113" s="20" t="inlineStr">
        <is>
          <t>0.906 SOL</t>
        </is>
      </c>
      <c r="G113" s="23" t="inlineStr">
        <is>
          <t>0.825 SOL</t>
        </is>
      </c>
      <c r="H113" s="23" t="inlineStr">
        <is>
          <t>1008.75%</t>
        </is>
      </c>
      <c r="I113" s="20" t="inlineStr">
        <is>
          <t>N/A</t>
        </is>
      </c>
      <c r="J113" s="20" t="n">
        <v>1</v>
      </c>
      <c r="K113" s="20" t="n">
        <v>5</v>
      </c>
      <c r="L113" s="20" t="inlineStr">
        <is>
          <t>27.10.2024 18:45:15</t>
        </is>
      </c>
      <c r="M113" s="20" t="inlineStr">
        <is>
          <t>2 days</t>
        </is>
      </c>
      <c r="N113" s="20" t="inlineStr">
        <is>
          <t xml:space="preserve">         81K            81K             2M</t>
        </is>
      </c>
      <c r="O113" s="20" t="inlineStr">
        <is>
          <t>8SgNwESovnbG1oNEaPVhg6CR9mTMSK7jPvcYRe3wpump</t>
        </is>
      </c>
      <c r="P113" s="20">
        <f>HYPERLINK("https://dexscreener.com/solana/8SgNwESovnbG1oNEaPVhg6CR9mTMSK7jPvcYRe3wpump", "View")</f>
        <v/>
      </c>
    </row>
    <row r="114">
      <c r="A114" s="15" t="inlineStr">
        <is>
          <t>SUPERCYCLE</t>
        </is>
      </c>
      <c r="B114" s="16" t="n">
        <v>1573257</v>
      </c>
      <c r="C114" s="16" t="n">
        <v>1573257</v>
      </c>
      <c r="D114" s="16" t="inlineStr">
        <is>
          <t>0.000970</t>
        </is>
      </c>
      <c r="E114" s="16" t="inlineStr">
        <is>
          <t>0.100 SOL</t>
        </is>
      </c>
      <c r="F114" s="16" t="inlineStr">
        <is>
          <t>0.030 SOL</t>
        </is>
      </c>
      <c r="G114" s="24" t="inlineStr">
        <is>
          <t>-0.071 SOL</t>
        </is>
      </c>
      <c r="H114" s="24" t="inlineStr">
        <is>
          <t>-70.65%</t>
        </is>
      </c>
      <c r="I114" s="16" t="inlineStr">
        <is>
          <t>N/A</t>
        </is>
      </c>
      <c r="J114" s="16" t="n">
        <v>1</v>
      </c>
      <c r="K114" s="16" t="n">
        <v>1</v>
      </c>
      <c r="L114" s="16" t="inlineStr">
        <is>
          <t>27.10.2024 18:09:02</t>
        </is>
      </c>
      <c r="M114" s="16" t="inlineStr">
        <is>
          <t>11 days</t>
        </is>
      </c>
      <c r="N114" s="16" t="inlineStr">
        <is>
          <t xml:space="preserve">         11K            11K             3K</t>
        </is>
      </c>
      <c r="O114" s="16" t="inlineStr">
        <is>
          <t>C5nVPRnFbxqtd5p13A3GENEWmVxDaecqeHBZ9aXopump</t>
        </is>
      </c>
      <c r="P114" s="16">
        <f>HYPERLINK("https://dexscreener.com/solana/C5nVPRnFbxqtd5p13A3GENEWmVxDaecqeHBZ9aXopump", "View")</f>
        <v/>
      </c>
    </row>
    <row r="115">
      <c r="A115" s="19" t="inlineStr">
        <is>
          <t>Sandstorm</t>
        </is>
      </c>
      <c r="B115" s="20" t="n">
        <v>1466477</v>
      </c>
      <c r="C115" s="20" t="n">
        <v>1466477</v>
      </c>
      <c r="D115" s="20" t="inlineStr">
        <is>
          <t>0.002260</t>
        </is>
      </c>
      <c r="E115" s="20" t="inlineStr">
        <is>
          <t>0.249 SOL</t>
        </is>
      </c>
      <c r="F115" s="20" t="inlineStr">
        <is>
          <t>0.066 SOL</t>
        </is>
      </c>
      <c r="G115" s="24" t="inlineStr">
        <is>
          <t>-0.185 SOL</t>
        </is>
      </c>
      <c r="H115" s="24" t="inlineStr">
        <is>
          <t>-73.73%</t>
        </is>
      </c>
      <c r="I115" s="20" t="inlineStr">
        <is>
          <t>N/A</t>
        </is>
      </c>
      <c r="J115" s="20" t="n">
        <v>2</v>
      </c>
      <c r="K115" s="20" t="n">
        <v>1</v>
      </c>
      <c r="L115" s="20" t="inlineStr">
        <is>
          <t>27.10.2024 18:08:18</t>
        </is>
      </c>
      <c r="M115" s="20" t="inlineStr">
        <is>
          <t>4 days</t>
        </is>
      </c>
      <c r="N115" s="20" t="inlineStr">
        <is>
          <t xml:space="preserve">         14K           125K             7K</t>
        </is>
      </c>
      <c r="O115" s="20" t="inlineStr">
        <is>
          <t>4oNVLbzuHPpJBRtnmiL3ztiLw5wBgjhfJM8WderRpump</t>
        </is>
      </c>
      <c r="P115" s="20">
        <f>HYPERLINK("https://dexscreener.com/solana/4oNVLbzuHPpJBRtnmiL3ztiLw5wBgjhfJM8WderRpump", "View")</f>
        <v/>
      </c>
    </row>
    <row r="116">
      <c r="A116" s="15" t="inlineStr">
        <is>
          <t>JeetPT</t>
        </is>
      </c>
      <c r="B116" s="16" t="n">
        <v>2003848</v>
      </c>
      <c r="C116" s="16" t="n">
        <v>2003848</v>
      </c>
      <c r="D116" s="16" t="inlineStr">
        <is>
          <t>0.000690</t>
        </is>
      </c>
      <c r="E116" s="16" t="inlineStr">
        <is>
          <t>0.100 SOL</t>
        </is>
      </c>
      <c r="F116" s="16" t="inlineStr">
        <is>
          <t>0.083 SOL</t>
        </is>
      </c>
      <c r="G116" s="21" t="inlineStr">
        <is>
          <t>-0.018 SOL</t>
        </is>
      </c>
      <c r="H116" s="21" t="inlineStr">
        <is>
          <t>-17.87%</t>
        </is>
      </c>
      <c r="I116" s="16" t="inlineStr">
        <is>
          <t>N/A</t>
        </is>
      </c>
      <c r="J116" s="16" t="n">
        <v>1</v>
      </c>
      <c r="K116" s="16" t="n">
        <v>1</v>
      </c>
      <c r="L116" s="16" t="inlineStr">
        <is>
          <t>27.10.2024 17:59:37</t>
        </is>
      </c>
      <c r="M116" s="16" t="inlineStr">
        <is>
          <t>2 days</t>
        </is>
      </c>
      <c r="N116" s="16" t="inlineStr">
        <is>
          <t xml:space="preserve">          9K             9K             6K</t>
        </is>
      </c>
      <c r="O116" s="16" t="inlineStr">
        <is>
          <t>2hWZg4Q78b3c5FvEsQ9DbjrxF79EL2rDtuBB13Tupump</t>
        </is>
      </c>
      <c r="P116" s="16">
        <f>HYPERLINK("https://dexscreener.com/solana/2hWZg4Q78b3c5FvEsQ9DbjrxF79EL2rDtuBB13Tupump", "View")</f>
        <v/>
      </c>
    </row>
    <row r="117">
      <c r="A117" s="19" t="inlineStr">
        <is>
          <t>MURPHY</t>
        </is>
      </c>
      <c r="B117" s="20" t="n">
        <v>86521</v>
      </c>
      <c r="C117" s="20" t="n">
        <v>86521</v>
      </c>
      <c r="D117" s="20" t="inlineStr">
        <is>
          <t>0.002340</t>
        </is>
      </c>
      <c r="E117" s="20" t="inlineStr">
        <is>
          <t>0.200 SOL</t>
        </is>
      </c>
      <c r="F117" s="20" t="inlineStr">
        <is>
          <t>0.240 SOL</t>
        </is>
      </c>
      <c r="G117" s="22" t="inlineStr">
        <is>
          <t>0.037 SOL</t>
        </is>
      </c>
      <c r="H117" s="22" t="inlineStr">
        <is>
          <t>18.53%</t>
        </is>
      </c>
      <c r="I117" s="20" t="inlineStr">
        <is>
          <t>N/A</t>
        </is>
      </c>
      <c r="J117" s="20" t="n">
        <v>2</v>
      </c>
      <c r="K117" s="20" t="n">
        <v>1</v>
      </c>
      <c r="L117" s="20" t="inlineStr">
        <is>
          <t>27.10.2024 17:58:12</t>
        </is>
      </c>
      <c r="M117" s="20" t="inlineStr">
        <is>
          <t>3 days</t>
        </is>
      </c>
      <c r="N117" s="20" t="inlineStr">
        <is>
          <t xml:space="preserve">        216K             3M            52K</t>
        </is>
      </c>
      <c r="O117" s="20" t="inlineStr">
        <is>
          <t>7HiSM2hkmqzhZMLuKtGMWkhvDi2LpMBepWRFYjXXpump</t>
        </is>
      </c>
      <c r="P117" s="20">
        <f>HYPERLINK("https://dexscreener.com/solana/7HiSM2hkmqzhZMLuKtGMWkhvDi2LpMBepWRFYjXXpump", "View")</f>
        <v/>
      </c>
    </row>
    <row r="118">
      <c r="A118" s="15" t="inlineStr">
        <is>
          <t>man</t>
        </is>
      </c>
      <c r="B118" s="16" t="n">
        <v>162029</v>
      </c>
      <c r="C118" s="16" t="n">
        <v>0</v>
      </c>
      <c r="D118" s="16" t="inlineStr">
        <is>
          <t>0.000150</t>
        </is>
      </c>
      <c r="E118" s="16" t="inlineStr">
        <is>
          <t>0.100 SOL</t>
        </is>
      </c>
      <c r="F118" s="16" t="inlineStr">
        <is>
          <t>0.000 SOL</t>
        </is>
      </c>
      <c r="G118" s="17" t="inlineStr">
        <is>
          <t>-0.100 SOL</t>
        </is>
      </c>
      <c r="H118" s="17" t="inlineStr">
        <is>
          <t>0.00%</t>
        </is>
      </c>
      <c r="I118" s="16" t="inlineStr">
        <is>
          <t>162,029</t>
        </is>
      </c>
      <c r="J118" s="16" t="n">
        <v>1</v>
      </c>
      <c r="K118" s="16" t="n">
        <v>0</v>
      </c>
      <c r="L118" s="16" t="inlineStr">
        <is>
          <t>27.10.2024 17:55:19</t>
        </is>
      </c>
      <c r="M118" s="18" t="inlineStr">
        <is>
          <t>0 sec</t>
        </is>
      </c>
      <c r="N118" s="16" t="inlineStr">
        <is>
          <t xml:space="preserve">        109K           109K            10K</t>
        </is>
      </c>
      <c r="O118" s="16" t="inlineStr">
        <is>
          <t>9koJWK1JQRsvTCgMH9X3txrbjVfSMvzrzFa8uRyzpump</t>
        </is>
      </c>
      <c r="P118" s="16">
        <f>HYPERLINK("https://dexscreener.com/solana/9koJWK1JQRsvTCgMH9X3txrbjVfSMvzrzFa8uRyzpump", "View")</f>
        <v/>
      </c>
    </row>
    <row r="119">
      <c r="A119" s="19" t="inlineStr">
        <is>
          <t>POPGOAT</t>
        </is>
      </c>
      <c r="B119" s="20" t="n">
        <v>60048</v>
      </c>
      <c r="C119" s="20" t="n">
        <v>60048</v>
      </c>
      <c r="D119" s="20" t="inlineStr">
        <is>
          <t>0.003490</t>
        </is>
      </c>
      <c r="E119" s="20" t="inlineStr">
        <is>
          <t>0.100 SOL</t>
        </is>
      </c>
      <c r="F119" s="20" t="inlineStr">
        <is>
          <t>0.159 SOL</t>
        </is>
      </c>
      <c r="G119" s="23" t="inlineStr">
        <is>
          <t>0.055 SOL</t>
        </is>
      </c>
      <c r="H119" s="23" t="inlineStr">
        <is>
          <t>53.58%</t>
        </is>
      </c>
      <c r="I119" s="20" t="inlineStr">
        <is>
          <t>N/A</t>
        </is>
      </c>
      <c r="J119" s="20" t="n">
        <v>1</v>
      </c>
      <c r="K119" s="20" t="n">
        <v>1</v>
      </c>
      <c r="L119" s="20" t="inlineStr">
        <is>
          <t>27.10.2024 17:52:55</t>
        </is>
      </c>
      <c r="M119" s="20" t="inlineStr">
        <is>
          <t>2 hours</t>
        </is>
      </c>
      <c r="N119" s="20" t="inlineStr">
        <is>
          <t xml:space="preserve">        293K           293K           449K</t>
        </is>
      </c>
      <c r="O119" s="20" t="inlineStr">
        <is>
          <t>DtWz93pDUZe5cYqBFmZjXq1wzZqZPygCeox5d3ajpump</t>
        </is>
      </c>
      <c r="P119" s="20">
        <f>HYPERLINK("https://dexscreener.com/solana/DtWz93pDUZe5cYqBFmZjXq1wzZqZPygCeox5d3ajpump", "View")</f>
        <v/>
      </c>
    </row>
    <row r="120">
      <c r="A120" s="15" t="inlineStr">
        <is>
          <t>x/acc</t>
        </is>
      </c>
      <c r="B120" s="16" t="n">
        <v>82859</v>
      </c>
      <c r="C120" s="16" t="n">
        <v>82859</v>
      </c>
      <c r="D120" s="16" t="inlineStr">
        <is>
          <t>0.001210</t>
        </is>
      </c>
      <c r="E120" s="16" t="inlineStr">
        <is>
          <t>0.149 SOL</t>
        </is>
      </c>
      <c r="F120" s="16" t="inlineStr">
        <is>
          <t>0.422 SOL</t>
        </is>
      </c>
      <c r="G120" s="23" t="inlineStr">
        <is>
          <t>0.272 SOL</t>
        </is>
      </c>
      <c r="H120" s="23" t="inlineStr">
        <is>
          <t>181.21%</t>
        </is>
      </c>
      <c r="I120" s="16" t="inlineStr">
        <is>
          <t>N/A</t>
        </is>
      </c>
      <c r="J120" s="16" t="n">
        <v>1</v>
      </c>
      <c r="K120" s="16" t="n">
        <v>2</v>
      </c>
      <c r="L120" s="16" t="inlineStr">
        <is>
          <t>27.10.2024 17:21:10</t>
        </is>
      </c>
      <c r="M120" s="16" t="inlineStr">
        <is>
          <t>21 hours</t>
        </is>
      </c>
      <c r="N120" s="16" t="inlineStr">
        <is>
          <t xml:space="preserve">        314K           314K           378K</t>
        </is>
      </c>
      <c r="O120" s="16" t="inlineStr">
        <is>
          <t>5vrNnSXf2PeF4YMdG4vHi1WzU3hf42JKzV8i7jtBmRww</t>
        </is>
      </c>
      <c r="P120" s="16">
        <f>HYPERLINK("https://dexscreener.com/solana/5vrNnSXf2PeF4YMdG4vHi1WzU3hf42JKzV8i7jtBmRww", "View")</f>
        <v/>
      </c>
    </row>
    <row r="121">
      <c r="A121" s="19" t="inlineStr">
        <is>
          <t>kretur</t>
        </is>
      </c>
      <c r="B121" s="20" t="n">
        <v>150763</v>
      </c>
      <c r="C121" s="20" t="n">
        <v>0</v>
      </c>
      <c r="D121" s="20" t="inlineStr">
        <is>
          <t>0.000150</t>
        </is>
      </c>
      <c r="E121" s="20" t="inlineStr">
        <is>
          <t>0.100 SOL</t>
        </is>
      </c>
      <c r="F121" s="20" t="inlineStr">
        <is>
          <t>0.000 SOL</t>
        </is>
      </c>
      <c r="G121" s="17" t="inlineStr">
        <is>
          <t>-0.100 SOL</t>
        </is>
      </c>
      <c r="H121" s="17" t="inlineStr">
        <is>
          <t>0.00%</t>
        </is>
      </c>
      <c r="I121" s="20" t="inlineStr">
        <is>
          <t>150,763</t>
        </is>
      </c>
      <c r="J121" s="20" t="n">
        <v>1</v>
      </c>
      <c r="K121" s="20" t="n">
        <v>0</v>
      </c>
      <c r="L121" s="20" t="inlineStr">
        <is>
          <t>27.10.2024 17:20:56</t>
        </is>
      </c>
      <c r="M121" s="18" t="inlineStr">
        <is>
          <t>0 sec</t>
        </is>
      </c>
      <c r="N121" s="20" t="inlineStr">
        <is>
          <t xml:space="preserve">        115K           115K             5K</t>
        </is>
      </c>
      <c r="O121" s="20" t="inlineStr">
        <is>
          <t>7mDNkKaur5EYfWLCTg9DYEyrx4suJgGixtccrQKjpump</t>
        </is>
      </c>
      <c r="P121" s="20">
        <f>HYPERLINK("https://dexscreener.com/solana/7mDNkKaur5EYfWLCTg9DYEyrx4suJgGixtccrQKjpump", "View")</f>
        <v/>
      </c>
    </row>
    <row r="122">
      <c r="A122" s="15" t="inlineStr">
        <is>
          <t>Sampa</t>
        </is>
      </c>
      <c r="B122" s="16" t="n">
        <v>448136</v>
      </c>
      <c r="C122" s="16" t="n">
        <v>0</v>
      </c>
      <c r="D122" s="16" t="inlineStr">
        <is>
          <t>0.000150</t>
        </is>
      </c>
      <c r="E122" s="16" t="inlineStr">
        <is>
          <t>0.100 SOL</t>
        </is>
      </c>
      <c r="F122" s="16" t="inlineStr">
        <is>
          <t>0.000 SOL</t>
        </is>
      </c>
      <c r="G122" s="17" t="inlineStr">
        <is>
          <t>-0.100 SOL</t>
        </is>
      </c>
      <c r="H122" s="17" t="inlineStr">
        <is>
          <t>0.00%</t>
        </is>
      </c>
      <c r="I122" s="16" t="inlineStr">
        <is>
          <t>448,136</t>
        </is>
      </c>
      <c r="J122" s="16" t="n">
        <v>1</v>
      </c>
      <c r="K122" s="16" t="n">
        <v>0</v>
      </c>
      <c r="L122" s="16" t="inlineStr">
        <is>
          <t>27.10.2024 17:20:21</t>
        </is>
      </c>
      <c r="M122" s="18" t="inlineStr">
        <is>
          <t>0 sec</t>
        </is>
      </c>
      <c r="N122" s="16" t="inlineStr">
        <is>
          <t xml:space="preserve">         39K            39K             3K</t>
        </is>
      </c>
      <c r="O122" s="16" t="inlineStr">
        <is>
          <t>8AykFZwhmt82x8sqt9VNZMrfpgzPbi6ZDeakTAgGpump</t>
        </is>
      </c>
      <c r="P122" s="16">
        <f>HYPERLINK("https://dexscreener.com/solana/8AykFZwhmt82x8sqt9VNZMrfpgzPbi6ZDeakTAgGpump", "View")</f>
        <v/>
      </c>
    </row>
    <row r="123">
      <c r="A123" s="19" t="inlineStr">
        <is>
          <t>BBWCAT</t>
        </is>
      </c>
      <c r="B123" s="20" t="n">
        <v>109852</v>
      </c>
      <c r="C123" s="20" t="n">
        <v>0</v>
      </c>
      <c r="D123" s="20" t="inlineStr">
        <is>
          <t>0.000150</t>
        </is>
      </c>
      <c r="E123" s="20" t="inlineStr">
        <is>
          <t>0.050 SOL</t>
        </is>
      </c>
      <c r="F123" s="20" t="inlineStr">
        <is>
          <t>0.000 SOL</t>
        </is>
      </c>
      <c r="G123" s="17" t="inlineStr">
        <is>
          <t>-0.050 SOL</t>
        </is>
      </c>
      <c r="H123" s="17" t="inlineStr">
        <is>
          <t>0.00%</t>
        </is>
      </c>
      <c r="I123" s="20" t="inlineStr">
        <is>
          <t>109,852</t>
        </is>
      </c>
      <c r="J123" s="20" t="n">
        <v>1</v>
      </c>
      <c r="K123" s="20" t="n">
        <v>0</v>
      </c>
      <c r="L123" s="20" t="inlineStr">
        <is>
          <t>27.10.2024 16:09:50</t>
        </is>
      </c>
      <c r="M123" s="18" t="inlineStr">
        <is>
          <t>0 sec</t>
        </is>
      </c>
      <c r="N123" s="20" t="inlineStr">
        <is>
          <t xml:space="preserve">         81K            81K            48K</t>
        </is>
      </c>
      <c r="O123" s="20" t="inlineStr">
        <is>
          <t>39LeswCXKeEGESiBPNUUEkvRyMp5UeqC7dGw1uT5pump</t>
        </is>
      </c>
      <c r="P123" s="20">
        <f>HYPERLINK("https://dexscreener.com/solana/39LeswCXKeEGESiBPNUUEkvRyMp5UeqC7dGw1uT5pump", "View")</f>
        <v/>
      </c>
    </row>
    <row r="124">
      <c r="A124" s="15" t="inlineStr">
        <is>
          <t>NEURA</t>
        </is>
      </c>
      <c r="B124" s="16" t="n">
        <v>199744</v>
      </c>
      <c r="C124" s="16" t="n">
        <v>0</v>
      </c>
      <c r="D124" s="16" t="inlineStr">
        <is>
          <t>0.000150</t>
        </is>
      </c>
      <c r="E124" s="16" t="inlineStr">
        <is>
          <t>0.100 SOL</t>
        </is>
      </c>
      <c r="F124" s="16" t="inlineStr">
        <is>
          <t>0.000 SOL</t>
        </is>
      </c>
      <c r="G124" s="17" t="inlineStr">
        <is>
          <t>-0.100 SOL</t>
        </is>
      </c>
      <c r="H124" s="17" t="inlineStr">
        <is>
          <t>0.00%</t>
        </is>
      </c>
      <c r="I124" s="16" t="inlineStr">
        <is>
          <t>199,744</t>
        </is>
      </c>
      <c r="J124" s="16" t="n">
        <v>1</v>
      </c>
      <c r="K124" s="16" t="n">
        <v>0</v>
      </c>
      <c r="L124" s="16" t="inlineStr">
        <is>
          <t>27.10.2024 16:07:26</t>
        </is>
      </c>
      <c r="M124" s="18" t="inlineStr">
        <is>
          <t>0 sec</t>
        </is>
      </c>
      <c r="N124" s="16" t="inlineStr">
        <is>
          <t xml:space="preserve">         88K            88K             4K</t>
        </is>
      </c>
      <c r="O124" s="16" t="inlineStr">
        <is>
          <t>95pQ4HrbYJh4TdF7kktgyexsTiQGvp1ePu7HZjFkpump</t>
        </is>
      </c>
      <c r="P124" s="16">
        <f>HYPERLINK("https://dexscreener.com/solana/95pQ4HrbYJh4TdF7kktgyexsTiQGvp1ePu7HZjFkpump", "View")</f>
        <v/>
      </c>
    </row>
    <row r="125">
      <c r="A125" s="19" t="inlineStr">
        <is>
          <t>PLAYS</t>
        </is>
      </c>
      <c r="B125" s="20" t="n">
        <v>20824</v>
      </c>
      <c r="C125" s="20" t="n">
        <v>0</v>
      </c>
      <c r="D125" s="20" t="inlineStr">
        <is>
          <t>0.004210</t>
        </is>
      </c>
      <c r="E125" s="20" t="inlineStr">
        <is>
          <t>0.050 SOL</t>
        </is>
      </c>
      <c r="F125" s="20" t="inlineStr">
        <is>
          <t>0.000 SOL</t>
        </is>
      </c>
      <c r="G125" s="17" t="inlineStr">
        <is>
          <t>-0.054 SOL</t>
        </is>
      </c>
      <c r="H125" s="17" t="inlineStr">
        <is>
          <t>0.00%</t>
        </is>
      </c>
      <c r="I125" s="20" t="inlineStr">
        <is>
          <t>20,824</t>
        </is>
      </c>
      <c r="J125" s="20" t="n">
        <v>1</v>
      </c>
      <c r="K125" s="20" t="n">
        <v>0</v>
      </c>
      <c r="L125" s="20" t="inlineStr">
        <is>
          <t>27.10.2024 15:59:44</t>
        </is>
      </c>
      <c r="M125" s="18" t="inlineStr">
        <is>
          <t>0 sec</t>
        </is>
      </c>
      <c r="N125" s="20" t="inlineStr">
        <is>
          <t xml:space="preserve">        421K           421K             6K</t>
        </is>
      </c>
      <c r="O125" s="20" t="inlineStr">
        <is>
          <t>DryBz59g6orQFr9PZgEhbuJaXesmq1361fipSp4Fpump</t>
        </is>
      </c>
      <c r="P125" s="20">
        <f>HYPERLINK("https://dexscreener.com/solana/DryBz59g6orQFr9PZgEhbuJaXesmq1361fipSp4Fpump", "View")</f>
        <v/>
      </c>
    </row>
    <row r="126">
      <c r="A126" s="15" t="inlineStr">
        <is>
          <t>CHALCIS</t>
        </is>
      </c>
      <c r="B126" s="16" t="n">
        <v>319059</v>
      </c>
      <c r="C126" s="16" t="n">
        <v>0</v>
      </c>
      <c r="D126" s="16" t="inlineStr">
        <is>
          <t>0.003370</t>
        </is>
      </c>
      <c r="E126" s="16" t="inlineStr">
        <is>
          <t>0.100 SOL</t>
        </is>
      </c>
      <c r="F126" s="16" t="inlineStr">
        <is>
          <t>0.000 SOL</t>
        </is>
      </c>
      <c r="G126" s="17" t="inlineStr">
        <is>
          <t>-0.103 SOL</t>
        </is>
      </c>
      <c r="H126" s="17" t="inlineStr">
        <is>
          <t>0.00%</t>
        </is>
      </c>
      <c r="I126" s="16" t="inlineStr">
        <is>
          <t>319,059</t>
        </is>
      </c>
      <c r="J126" s="16" t="n">
        <v>1</v>
      </c>
      <c r="K126" s="16" t="n">
        <v>0</v>
      </c>
      <c r="L126" s="16" t="inlineStr">
        <is>
          <t>27.10.2024 15:37:42</t>
        </is>
      </c>
      <c r="M126" s="18" t="inlineStr">
        <is>
          <t>0 sec</t>
        </is>
      </c>
      <c r="N126" s="16" t="inlineStr">
        <is>
          <t xml:space="preserve">         54K            54K             5K</t>
        </is>
      </c>
      <c r="O126" s="16" t="inlineStr">
        <is>
          <t>AJLLXE78sr7uYXM1JSFdMMJ8UdxiXutGGqsK6eZ3pump</t>
        </is>
      </c>
      <c r="P126" s="16">
        <f>HYPERLINK("https://dexscreener.com/solana/AJLLXE78sr7uYXM1JSFdMMJ8UdxiXutGGqsK6eZ3pump", "View")</f>
        <v/>
      </c>
    </row>
    <row r="127">
      <c r="A127" s="19" t="inlineStr">
        <is>
          <t>TOM</t>
        </is>
      </c>
      <c r="B127" s="20" t="n">
        <v>39621</v>
      </c>
      <c r="C127" s="20" t="n">
        <v>0</v>
      </c>
      <c r="D127" s="20" t="inlineStr">
        <is>
          <t>0.004210</t>
        </is>
      </c>
      <c r="E127" s="20" t="inlineStr">
        <is>
          <t>0.050 SOL</t>
        </is>
      </c>
      <c r="F127" s="20" t="inlineStr">
        <is>
          <t>0.000 SOL</t>
        </is>
      </c>
      <c r="G127" s="17" t="inlineStr">
        <is>
          <t>-0.054 SOL</t>
        </is>
      </c>
      <c r="H127" s="17" t="inlineStr">
        <is>
          <t>0.00%</t>
        </is>
      </c>
      <c r="I127" s="20" t="inlineStr">
        <is>
          <t>39,621</t>
        </is>
      </c>
      <c r="J127" s="20" t="n">
        <v>1</v>
      </c>
      <c r="K127" s="20" t="n">
        <v>0</v>
      </c>
      <c r="L127" s="20" t="inlineStr">
        <is>
          <t>27.10.2024 13:48:50</t>
        </is>
      </c>
      <c r="M127" s="18" t="inlineStr">
        <is>
          <t>0 sec</t>
        </is>
      </c>
      <c r="N127" s="20" t="inlineStr">
        <is>
          <t xml:space="preserve">        221K           221K            21K</t>
        </is>
      </c>
      <c r="O127" s="20" t="inlineStr">
        <is>
          <t>G1pKojoCJopPDVMMLUowsyXTaPzKPnBfNWQhraqvpump</t>
        </is>
      </c>
      <c r="P127" s="20">
        <f>HYPERLINK("https://dexscreener.com/solana/G1pKojoCJopPDVMMLUowsyXTaPzKPnBfNWQhraqvpump", "View")</f>
        <v/>
      </c>
    </row>
    <row r="128">
      <c r="A128" s="15" t="inlineStr">
        <is>
          <t>ct</t>
        </is>
      </c>
      <c r="B128" s="16" t="n">
        <v>2438393</v>
      </c>
      <c r="C128" s="16" t="n">
        <v>2438393</v>
      </c>
      <c r="D128" s="16" t="inlineStr">
        <is>
          <t>0.000810</t>
        </is>
      </c>
      <c r="E128" s="16" t="inlineStr">
        <is>
          <t>0.149 SOL</t>
        </is>
      </c>
      <c r="F128" s="16" t="inlineStr">
        <is>
          <t>0.055 SOL</t>
        </is>
      </c>
      <c r="G128" s="24" t="inlineStr">
        <is>
          <t>-0.094 SOL</t>
        </is>
      </c>
      <c r="H128" s="24" t="inlineStr">
        <is>
          <t>-63.14%</t>
        </is>
      </c>
      <c r="I128" s="16" t="inlineStr">
        <is>
          <t>N/A</t>
        </is>
      </c>
      <c r="J128" s="16" t="n">
        <v>1</v>
      </c>
      <c r="K128" s="16" t="n">
        <v>1</v>
      </c>
      <c r="L128" s="16" t="inlineStr">
        <is>
          <t>27.10.2024 12:54:31</t>
        </is>
      </c>
      <c r="M128" s="16" t="inlineStr">
        <is>
          <t>5 days</t>
        </is>
      </c>
      <c r="N128" s="16" t="inlineStr">
        <is>
          <t xml:space="preserve">         11K            11K             4K</t>
        </is>
      </c>
      <c r="O128" s="16" t="inlineStr">
        <is>
          <t>CRxwaFZyeukZCfRHqN6x59vY9N2wCSQNvdq1DQjZpump</t>
        </is>
      </c>
      <c r="P128" s="16">
        <f>HYPERLINK("https://dexscreener.com/solana/CRxwaFZyeukZCfRHqN6x59vY9N2wCSQNvdq1DQjZpump", "View")</f>
        <v/>
      </c>
    </row>
    <row r="129">
      <c r="A129" s="19" t="inlineStr">
        <is>
          <t>AIRISA</t>
        </is>
      </c>
      <c r="B129" s="20" t="n">
        <v>4101303</v>
      </c>
      <c r="C129" s="20" t="n">
        <v>4101303</v>
      </c>
      <c r="D129" s="20" t="inlineStr">
        <is>
          <t>0.002090</t>
        </is>
      </c>
      <c r="E129" s="20" t="inlineStr">
        <is>
          <t>0.100 SOL</t>
        </is>
      </c>
      <c r="F129" s="20" t="inlineStr">
        <is>
          <t>0.085 SOL</t>
        </is>
      </c>
      <c r="G129" s="21" t="inlineStr">
        <is>
          <t>-0.017 SOL</t>
        </is>
      </c>
      <c r="H129" s="21" t="inlineStr">
        <is>
          <t>-16.30%</t>
        </is>
      </c>
      <c r="I129" s="20" t="inlineStr">
        <is>
          <t>N/A</t>
        </is>
      </c>
      <c r="J129" s="20" t="n">
        <v>1</v>
      </c>
      <c r="K129" s="20" t="n">
        <v>1</v>
      </c>
      <c r="L129" s="20" t="inlineStr">
        <is>
          <t>27.10.2024 09:01:38</t>
        </is>
      </c>
      <c r="M129" s="20" t="inlineStr">
        <is>
          <t>3 days</t>
        </is>
      </c>
      <c r="N129" s="20" t="inlineStr">
        <is>
          <t xml:space="preserve">          4K             4K             3K</t>
        </is>
      </c>
      <c r="O129" s="20" t="inlineStr">
        <is>
          <t>VoKQkgEsXrkNjtcDJbwbyArG1LKbVkkwrvY8fhspump</t>
        </is>
      </c>
      <c r="P129" s="20">
        <f>HYPERLINK("https://dexscreener.com/solana/VoKQkgEsXrkNjtcDJbwbyArG1LKbVkkwrvY8fhspump", "View")</f>
        <v/>
      </c>
    </row>
    <row r="130">
      <c r="A130" s="15" t="inlineStr">
        <is>
          <t>Helios</t>
        </is>
      </c>
      <c r="B130" s="16" t="n">
        <v>5635314</v>
      </c>
      <c r="C130" s="16" t="n">
        <v>5635314</v>
      </c>
      <c r="D130" s="16" t="inlineStr">
        <is>
          <t>0.006360</t>
        </is>
      </c>
      <c r="E130" s="16" t="inlineStr">
        <is>
          <t>0.200 SOL</t>
        </is>
      </c>
      <c r="F130" s="16" t="inlineStr">
        <is>
          <t>0.107 SOL</t>
        </is>
      </c>
      <c r="G130" s="21" t="inlineStr">
        <is>
          <t>-0.099 SOL</t>
        </is>
      </c>
      <c r="H130" s="21" t="inlineStr">
        <is>
          <t>-47.91%</t>
        </is>
      </c>
      <c r="I130" s="16" t="inlineStr">
        <is>
          <t>N/A</t>
        </is>
      </c>
      <c r="J130" s="16" t="n">
        <v>2</v>
      </c>
      <c r="K130" s="16" t="n">
        <v>1</v>
      </c>
      <c r="L130" s="16" t="inlineStr">
        <is>
          <t>27.10.2024 08:59:46</t>
        </is>
      </c>
      <c r="M130" s="16" t="inlineStr">
        <is>
          <t>2 days</t>
        </is>
      </c>
      <c r="N130" s="16" t="inlineStr">
        <is>
          <t xml:space="preserve">         12K             4K             3K</t>
        </is>
      </c>
      <c r="O130" s="16" t="inlineStr">
        <is>
          <t>4cpq9x6WrQfpMBobcVfdKXw5YuHc6mFQQCbFaLwJpump</t>
        </is>
      </c>
      <c r="P130" s="16">
        <f>HYPERLINK("https://dexscreener.com/solana/4cpq9x6WrQfpMBobcVfdKXw5YuHc6mFQQCbFaLwJpump", "View")</f>
        <v/>
      </c>
    </row>
    <row r="131">
      <c r="A131" s="19" t="inlineStr">
        <is>
          <t>T47</t>
        </is>
      </c>
      <c r="B131" s="20" t="n">
        <v>260054</v>
      </c>
      <c r="C131" s="20" t="n">
        <v>260054</v>
      </c>
      <c r="D131" s="20" t="inlineStr">
        <is>
          <t>0.004560</t>
        </is>
      </c>
      <c r="E131" s="20" t="inlineStr">
        <is>
          <t>0.100 SOL</t>
        </is>
      </c>
      <c r="F131" s="20" t="inlineStr">
        <is>
          <t>3.426 SOL</t>
        </is>
      </c>
      <c r="G131" s="23" t="inlineStr">
        <is>
          <t>3.321 SOL</t>
        </is>
      </c>
      <c r="H131" s="23" t="inlineStr">
        <is>
          <t>3176.28%</t>
        </is>
      </c>
      <c r="I131" s="20" t="inlineStr">
        <is>
          <t>N/A</t>
        </is>
      </c>
      <c r="J131" s="20" t="n">
        <v>2</v>
      </c>
      <c r="K131" s="20" t="n">
        <v>2</v>
      </c>
      <c r="L131" s="20" t="inlineStr">
        <is>
          <t>27.10.2024 08:57:54</t>
        </is>
      </c>
      <c r="M131" s="20" t="inlineStr">
        <is>
          <t>1 days</t>
        </is>
      </c>
      <c r="N131" s="20" t="inlineStr">
        <is>
          <t xml:space="preserve">        123K             5M            50K</t>
        </is>
      </c>
      <c r="O131" s="20" t="inlineStr">
        <is>
          <t>9RLS414pwe1RvCQDFNMU31jtPAnLUVULPqzSM1ipump</t>
        </is>
      </c>
      <c r="P131" s="20">
        <f>HYPERLINK("https://dexscreener.com/solana/9RLS414pwe1RvCQDFNMU31jtPAnLUVULPqzSM1ipump", "View")</f>
        <v/>
      </c>
    </row>
    <row r="132">
      <c r="A132" s="15" t="inlineStr">
        <is>
          <t>hubert</t>
        </is>
      </c>
      <c r="B132" s="16" t="n">
        <v>345031</v>
      </c>
      <c r="C132" s="16" t="n">
        <v>0</v>
      </c>
      <c r="D132" s="16" t="inlineStr">
        <is>
          <t>0.003530</t>
        </is>
      </c>
      <c r="E132" s="16" t="inlineStr">
        <is>
          <t>0.050 SOL</t>
        </is>
      </c>
      <c r="F132" s="16" t="inlineStr">
        <is>
          <t>0.000 SOL</t>
        </is>
      </c>
      <c r="G132" s="17" t="inlineStr">
        <is>
          <t>-0.054 SOL</t>
        </is>
      </c>
      <c r="H132" s="17" t="inlineStr">
        <is>
          <t>0.00%</t>
        </is>
      </c>
      <c r="I132" s="16" t="inlineStr">
        <is>
          <t>345,031</t>
        </is>
      </c>
      <c r="J132" s="16" t="n">
        <v>1</v>
      </c>
      <c r="K132" s="16" t="n">
        <v>0</v>
      </c>
      <c r="L132" s="16" t="inlineStr">
        <is>
          <t>27.10.2024 08:56:22</t>
        </is>
      </c>
      <c r="M132" s="18" t="inlineStr">
        <is>
          <t>0 sec</t>
        </is>
      </c>
      <c r="N132" s="16" t="inlineStr">
        <is>
          <t xml:space="preserve">         25K            25K             8K</t>
        </is>
      </c>
      <c r="O132" s="16" t="inlineStr">
        <is>
          <t>GhnSqjk15XH7m1inUgK9Lpw4CpyHAvghLniCYbikpump</t>
        </is>
      </c>
      <c r="P132" s="16">
        <f>HYPERLINK("https://dexscreener.com/solana/GhnSqjk15XH7m1inUgK9Lpw4CpyHAvghLniCYbikpump", "View")</f>
        <v/>
      </c>
    </row>
    <row r="133">
      <c r="A133" s="19" t="inlineStr">
        <is>
          <t>Pep</t>
        </is>
      </c>
      <c r="B133" s="20" t="n">
        <v>29432</v>
      </c>
      <c r="C133" s="20" t="n">
        <v>0</v>
      </c>
      <c r="D133" s="20" t="inlineStr">
        <is>
          <t>0.001960</t>
        </is>
      </c>
      <c r="E133" s="20" t="inlineStr">
        <is>
          <t>0.050 SOL</t>
        </is>
      </c>
      <c r="F133" s="20" t="inlineStr">
        <is>
          <t>0.000 SOL</t>
        </is>
      </c>
      <c r="G133" s="17" t="inlineStr">
        <is>
          <t>-0.052 SOL</t>
        </is>
      </c>
      <c r="H133" s="17" t="inlineStr">
        <is>
          <t>0.00%</t>
        </is>
      </c>
      <c r="I133" s="20" t="inlineStr">
        <is>
          <t>29,432</t>
        </is>
      </c>
      <c r="J133" s="20" t="n">
        <v>1</v>
      </c>
      <c r="K133" s="20" t="n">
        <v>0</v>
      </c>
      <c r="L133" s="20" t="inlineStr">
        <is>
          <t>26.10.2024 20:55:22</t>
        </is>
      </c>
      <c r="M133" s="18" t="inlineStr">
        <is>
          <t>0 sec</t>
        </is>
      </c>
      <c r="N133" s="20" t="inlineStr">
        <is>
          <t xml:space="preserve">        298K           298K             4K</t>
        </is>
      </c>
      <c r="O133" s="20" t="inlineStr">
        <is>
          <t>A5K8uVrCSMawgUdbc82nJhCjMRXhGxX3fLDn6RKjpump</t>
        </is>
      </c>
      <c r="P133" s="20">
        <f>HYPERLINK("https://dexscreener.com/solana/A5K8uVrCSMawgUdbc82nJhCjMRXhGxX3fLDn6RKjpump", "View")</f>
        <v/>
      </c>
    </row>
    <row r="134">
      <c r="A134" s="15" t="inlineStr">
        <is>
          <t>BYTE</t>
        </is>
      </c>
      <c r="B134" s="16" t="n">
        <v>585164</v>
      </c>
      <c r="C134" s="16" t="n">
        <v>0</v>
      </c>
      <c r="D134" s="16" t="inlineStr">
        <is>
          <t>0.004210</t>
        </is>
      </c>
      <c r="E134" s="16" t="inlineStr">
        <is>
          <t>0.050 SOL</t>
        </is>
      </c>
      <c r="F134" s="16" t="inlineStr">
        <is>
          <t>0.000 SOL</t>
        </is>
      </c>
      <c r="G134" s="17" t="inlineStr">
        <is>
          <t>-0.054 SOL</t>
        </is>
      </c>
      <c r="H134" s="17" t="inlineStr">
        <is>
          <t>0.00%</t>
        </is>
      </c>
      <c r="I134" s="16" t="inlineStr">
        <is>
          <t>585,164</t>
        </is>
      </c>
      <c r="J134" s="16" t="n">
        <v>1</v>
      </c>
      <c r="K134" s="16" t="n">
        <v>0</v>
      </c>
      <c r="L134" s="16" t="inlineStr">
        <is>
          <t>26.10.2024 20:15:28</t>
        </is>
      </c>
      <c r="M134" s="18" t="inlineStr">
        <is>
          <t>0 sec</t>
        </is>
      </c>
      <c r="N134" s="16" t="inlineStr">
        <is>
          <t xml:space="preserve">         16K            16K             3K</t>
        </is>
      </c>
      <c r="O134" s="16" t="inlineStr">
        <is>
          <t>5s2Bmx97ccoVGe9Zf7WkSNbRwVc737NUPV1ZigUepump</t>
        </is>
      </c>
      <c r="P134" s="16">
        <f>HYPERLINK("https://dexscreener.com/solana/5s2Bmx97ccoVGe9Zf7WkSNbRwVc737NUPV1ZigUepump", "View")</f>
        <v/>
      </c>
    </row>
    <row r="135">
      <c r="A135" s="19" t="inlineStr">
        <is>
          <t>CROAKI</t>
        </is>
      </c>
      <c r="B135" s="20" t="n">
        <v>96448</v>
      </c>
      <c r="C135" s="20" t="n">
        <v>0</v>
      </c>
      <c r="D135" s="20" t="inlineStr">
        <is>
          <t>0.000400</t>
        </is>
      </c>
      <c r="E135" s="20" t="inlineStr">
        <is>
          <t>0.099 SOL</t>
        </is>
      </c>
      <c r="F135" s="20" t="inlineStr">
        <is>
          <t>0.000 SOL</t>
        </is>
      </c>
      <c r="G135" s="17" t="inlineStr">
        <is>
          <t>-0.100 SOL</t>
        </is>
      </c>
      <c r="H135" s="17" t="inlineStr">
        <is>
          <t>0.00%</t>
        </is>
      </c>
      <c r="I135" s="20" t="inlineStr">
        <is>
          <t>96,448</t>
        </is>
      </c>
      <c r="J135" s="20" t="n">
        <v>1</v>
      </c>
      <c r="K135" s="20" t="n">
        <v>0</v>
      </c>
      <c r="L135" s="20" t="inlineStr">
        <is>
          <t>26.10.2024 19:57:15</t>
        </is>
      </c>
      <c r="M135" s="18" t="inlineStr">
        <is>
          <t>0 sec</t>
        </is>
      </c>
      <c r="N135" s="20" t="inlineStr">
        <is>
          <t xml:space="preserve">        181K           181K             5K</t>
        </is>
      </c>
      <c r="O135" s="20" t="inlineStr">
        <is>
          <t>3Cur2Dk32Nwdt2F1aqEgWSQzJ2WJr5DEtNV7fPJMpump</t>
        </is>
      </c>
      <c r="P135" s="20">
        <f>HYPERLINK("https://dexscreener.com/solana/3Cur2Dk32Nwdt2F1aqEgWSQzJ2WJr5DEtNV7fPJMpump", "View")</f>
        <v/>
      </c>
    </row>
    <row r="136">
      <c r="A136" s="15" t="inlineStr">
        <is>
          <t>$AthenaAi</t>
        </is>
      </c>
      <c r="B136" s="16" t="n">
        <v>59744</v>
      </c>
      <c r="C136" s="16" t="n">
        <v>0</v>
      </c>
      <c r="D136" s="16" t="inlineStr">
        <is>
          <t>0.000910</t>
        </is>
      </c>
      <c r="E136" s="16" t="inlineStr">
        <is>
          <t>0.050 SOL</t>
        </is>
      </c>
      <c r="F136" s="16" t="inlineStr">
        <is>
          <t>0.000 SOL</t>
        </is>
      </c>
      <c r="G136" s="17" t="inlineStr">
        <is>
          <t>-0.051 SOL</t>
        </is>
      </c>
      <c r="H136" s="17" t="inlineStr">
        <is>
          <t>0.00%</t>
        </is>
      </c>
      <c r="I136" s="16" t="inlineStr">
        <is>
          <t>59,744</t>
        </is>
      </c>
      <c r="J136" s="16" t="n">
        <v>1</v>
      </c>
      <c r="K136" s="16" t="n">
        <v>0</v>
      </c>
      <c r="L136" s="16" t="inlineStr">
        <is>
          <t>26.10.2024 19:45:02</t>
        </is>
      </c>
      <c r="M136" s="18" t="inlineStr">
        <is>
          <t>0 sec</t>
        </is>
      </c>
      <c r="N136" s="16" t="inlineStr">
        <is>
          <t xml:space="preserve">        147K           147K             4K</t>
        </is>
      </c>
      <c r="O136" s="16" t="inlineStr">
        <is>
          <t>HKrkwPftFs5yNReBYqSzgBNbTP7AupoK62rSinSrpump</t>
        </is>
      </c>
      <c r="P136" s="16">
        <f>HYPERLINK("https://dexscreener.com/solana/HKrkwPftFs5yNReBYqSzgBNbTP7AupoK62rSinSrpump", "View")</f>
        <v/>
      </c>
    </row>
    <row r="137">
      <c r="A137" s="19" t="inlineStr">
        <is>
          <t>ALEX</t>
        </is>
      </c>
      <c r="B137" s="20" t="n">
        <v>163269</v>
      </c>
      <c r="C137" s="20" t="n">
        <v>0</v>
      </c>
      <c r="D137" s="20" t="inlineStr">
        <is>
          <t>0.003920</t>
        </is>
      </c>
      <c r="E137" s="20" t="inlineStr">
        <is>
          <t>0.050 SOL</t>
        </is>
      </c>
      <c r="F137" s="20" t="inlineStr">
        <is>
          <t>0.000 SOL</t>
        </is>
      </c>
      <c r="G137" s="17" t="inlineStr">
        <is>
          <t>-0.054 SOL</t>
        </is>
      </c>
      <c r="H137" s="17" t="inlineStr">
        <is>
          <t>0.00%</t>
        </is>
      </c>
      <c r="I137" s="20" t="inlineStr">
        <is>
          <t>163,269</t>
        </is>
      </c>
      <c r="J137" s="20" t="n">
        <v>1</v>
      </c>
      <c r="K137" s="20" t="n">
        <v>0</v>
      </c>
      <c r="L137" s="20" t="inlineStr">
        <is>
          <t>26.10.2024 19:10:20</t>
        </is>
      </c>
      <c r="M137" s="18" t="inlineStr">
        <is>
          <t>0 sec</t>
        </is>
      </c>
      <c r="N137" s="20" t="inlineStr">
        <is>
          <t xml:space="preserve">         54K            54K             6K</t>
        </is>
      </c>
      <c r="O137" s="20" t="inlineStr">
        <is>
          <t>6M3ozgFbwSHkBpw4aeaB8gne42kCzdLVGkFpn4qcLv3</t>
        </is>
      </c>
      <c r="P137" s="20">
        <f>HYPERLINK("https://dexscreener.com/solana/6M3ozgFbwSHkBpw4aeaB8gne42kCzdLVGkFpn4qcLv3", "View")</f>
        <v/>
      </c>
    </row>
    <row r="138">
      <c r="A138" s="15" t="inlineStr">
        <is>
          <t>Cody</t>
        </is>
      </c>
      <c r="B138" s="16" t="n">
        <v>81890</v>
      </c>
      <c r="C138" s="16" t="n">
        <v>0</v>
      </c>
      <c r="D138" s="16" t="inlineStr">
        <is>
          <t>0.000150</t>
        </is>
      </c>
      <c r="E138" s="16" t="inlineStr">
        <is>
          <t>0.050 SOL</t>
        </is>
      </c>
      <c r="F138" s="16" t="inlineStr">
        <is>
          <t>0.000 SOL</t>
        </is>
      </c>
      <c r="G138" s="17" t="inlineStr">
        <is>
          <t>-0.050 SOL</t>
        </is>
      </c>
      <c r="H138" s="17" t="inlineStr">
        <is>
          <t>0.00%</t>
        </is>
      </c>
      <c r="I138" s="16" t="inlineStr">
        <is>
          <t>81,890</t>
        </is>
      </c>
      <c r="J138" s="16" t="n">
        <v>1</v>
      </c>
      <c r="K138" s="16" t="n">
        <v>0</v>
      </c>
      <c r="L138" s="16" t="inlineStr">
        <is>
          <t>26.10.2024 18:35:41</t>
        </is>
      </c>
      <c r="M138" s="18" t="inlineStr">
        <is>
          <t>0 sec</t>
        </is>
      </c>
      <c r="N138" s="16" t="inlineStr">
        <is>
          <t xml:space="preserve">        107K           107K            14K</t>
        </is>
      </c>
      <c r="O138" s="16" t="inlineStr">
        <is>
          <t>J7QoEcvcpieuDcuqrA9GZjunGQ3ofkGx4MzgyPmrpump</t>
        </is>
      </c>
      <c r="P138" s="16">
        <f>HYPERLINK("https://dexscreener.com/solana/J7QoEcvcpieuDcuqrA9GZjunGQ3ofkGx4MzgyPmrpump", "View")</f>
        <v/>
      </c>
    </row>
    <row r="139">
      <c r="A139" s="19" t="inlineStr">
        <is>
          <t>NIKA</t>
        </is>
      </c>
      <c r="B139" s="20" t="n">
        <v>87139</v>
      </c>
      <c r="C139" s="20" t="n">
        <v>0</v>
      </c>
      <c r="D139" s="20" t="inlineStr">
        <is>
          <t>0.002340</t>
        </is>
      </c>
      <c r="E139" s="20" t="inlineStr">
        <is>
          <t>0.050 SOL</t>
        </is>
      </c>
      <c r="F139" s="20" t="inlineStr">
        <is>
          <t>0.000 SOL</t>
        </is>
      </c>
      <c r="G139" s="17" t="inlineStr">
        <is>
          <t>-0.052 SOL</t>
        </is>
      </c>
      <c r="H139" s="17" t="inlineStr">
        <is>
          <t>0.00%</t>
        </is>
      </c>
      <c r="I139" s="20" t="inlineStr">
        <is>
          <t>87,139</t>
        </is>
      </c>
      <c r="J139" s="20" t="n">
        <v>1</v>
      </c>
      <c r="K139" s="20" t="n">
        <v>0</v>
      </c>
      <c r="L139" s="20" t="inlineStr">
        <is>
          <t>26.10.2024 18:19:31</t>
        </is>
      </c>
      <c r="M139" s="18" t="inlineStr">
        <is>
          <t>0 sec</t>
        </is>
      </c>
      <c r="N139" s="20" t="inlineStr">
        <is>
          <t xml:space="preserve">        100K           100K             9K</t>
        </is>
      </c>
      <c r="O139" s="20" t="inlineStr">
        <is>
          <t>3d6B22xL1Jmi4sXkYgU27V4CXQ8Ut7nHdhaMa4yepump</t>
        </is>
      </c>
      <c r="P139" s="20">
        <f>HYPERLINK("https://dexscreener.com/solana/3d6B22xL1Jmi4sXkYgU27V4CXQ8Ut7nHdhaMa4yepump", "View")</f>
        <v/>
      </c>
    </row>
    <row r="140">
      <c r="A140" s="15" t="inlineStr">
        <is>
          <t>THEM</t>
        </is>
      </c>
      <c r="B140" s="16" t="n">
        <v>42422</v>
      </c>
      <c r="C140" s="16" t="n">
        <v>0</v>
      </c>
      <c r="D140" s="16" t="inlineStr">
        <is>
          <t>0.001810</t>
        </is>
      </c>
      <c r="E140" s="16" t="inlineStr">
        <is>
          <t>0.050 SOL</t>
        </is>
      </c>
      <c r="F140" s="16" t="inlineStr">
        <is>
          <t>0.000 SOL</t>
        </is>
      </c>
      <c r="G140" s="17" t="inlineStr">
        <is>
          <t>-0.052 SOL</t>
        </is>
      </c>
      <c r="H140" s="17" t="inlineStr">
        <is>
          <t>0.00%</t>
        </is>
      </c>
      <c r="I140" s="16" t="inlineStr">
        <is>
          <t>42,422</t>
        </is>
      </c>
      <c r="J140" s="16" t="n">
        <v>1</v>
      </c>
      <c r="K140" s="16" t="n">
        <v>0</v>
      </c>
      <c r="L140" s="16" t="inlineStr">
        <is>
          <t>26.10.2024 18:15:23</t>
        </is>
      </c>
      <c r="M140" s="18" t="inlineStr">
        <is>
          <t>0 sec</t>
        </is>
      </c>
      <c r="N140" s="16" t="inlineStr">
        <is>
          <t xml:space="preserve">        207K           207K            13K</t>
        </is>
      </c>
      <c r="O140" s="16" t="inlineStr">
        <is>
          <t>AMgvH5Bdzoegx2EqgbzZ53jVccRbDYRSgNuEhd8upump</t>
        </is>
      </c>
      <c r="P140" s="16">
        <f>HYPERLINK("https://dexscreener.com/solana/AMgvH5Bdzoegx2EqgbzZ53jVccRbDYRSgNuEhd8upump", "View")</f>
        <v/>
      </c>
    </row>
    <row r="141">
      <c r="A141" s="19" t="inlineStr">
        <is>
          <t>Theory</t>
        </is>
      </c>
      <c r="B141" s="20" t="n">
        <v>47983</v>
      </c>
      <c r="C141" s="20" t="n">
        <v>0</v>
      </c>
      <c r="D141" s="20" t="inlineStr">
        <is>
          <t>0.004210</t>
        </is>
      </c>
      <c r="E141" s="20" t="inlineStr">
        <is>
          <t>0.050 SOL</t>
        </is>
      </c>
      <c r="F141" s="20" t="inlineStr">
        <is>
          <t>0.000 SOL</t>
        </is>
      </c>
      <c r="G141" s="17" t="inlineStr">
        <is>
          <t>-0.054 SOL</t>
        </is>
      </c>
      <c r="H141" s="17" t="inlineStr">
        <is>
          <t>0.00%</t>
        </is>
      </c>
      <c r="I141" s="20" t="inlineStr">
        <is>
          <t>47,983</t>
        </is>
      </c>
      <c r="J141" s="20" t="n">
        <v>1</v>
      </c>
      <c r="K141" s="20" t="n">
        <v>0</v>
      </c>
      <c r="L141" s="20" t="inlineStr">
        <is>
          <t>26.10.2024 17:41:53</t>
        </is>
      </c>
      <c r="M141" s="18" t="inlineStr">
        <is>
          <t>0 sec</t>
        </is>
      </c>
      <c r="N141" s="20" t="inlineStr">
        <is>
          <t xml:space="preserve">        183K           183K             4K</t>
        </is>
      </c>
      <c r="O141" s="20" t="inlineStr">
        <is>
          <t>Bg6CZaEfPj6UK2V2dYDn48vonKWBwEMq6B3ysWLUpump</t>
        </is>
      </c>
      <c r="P141" s="20">
        <f>HYPERLINK("https://dexscreener.com/solana/Bg6CZaEfPj6UK2V2dYDn48vonKWBwEMq6B3ysWLUpump", "View")</f>
        <v/>
      </c>
    </row>
    <row r="142">
      <c r="A142" s="15" t="inlineStr">
        <is>
          <t>DROG</t>
        </is>
      </c>
      <c r="B142" s="16" t="n">
        <v>77252</v>
      </c>
      <c r="C142" s="16" t="n">
        <v>0</v>
      </c>
      <c r="D142" s="16" t="inlineStr">
        <is>
          <t>0.004210</t>
        </is>
      </c>
      <c r="E142" s="16" t="inlineStr">
        <is>
          <t>0.050 SOL</t>
        </is>
      </c>
      <c r="F142" s="16" t="inlineStr">
        <is>
          <t>0.000 SOL</t>
        </is>
      </c>
      <c r="G142" s="17" t="inlineStr">
        <is>
          <t>-0.054 SOL</t>
        </is>
      </c>
      <c r="H142" s="17" t="inlineStr">
        <is>
          <t>0.00%</t>
        </is>
      </c>
      <c r="I142" s="16" t="inlineStr">
        <is>
          <t>77,252</t>
        </is>
      </c>
      <c r="J142" s="16" t="n">
        <v>1</v>
      </c>
      <c r="K142" s="16" t="n">
        <v>0</v>
      </c>
      <c r="L142" s="16" t="inlineStr">
        <is>
          <t>26.10.2024 15:06:18</t>
        </is>
      </c>
      <c r="M142" s="18" t="inlineStr">
        <is>
          <t>0 sec</t>
        </is>
      </c>
      <c r="N142" s="16" t="inlineStr">
        <is>
          <t xml:space="preserve">        114K           114K             9K</t>
        </is>
      </c>
      <c r="O142" s="16" t="inlineStr">
        <is>
          <t>3pPHAhKGrtm94ZWGp3SwNNbB2JMnAZEZAY9ZtCmJpump</t>
        </is>
      </c>
      <c r="P142" s="16">
        <f>HYPERLINK("https://dexscreener.com/solana/3pPHAhKGrtm94ZWGp3SwNNbB2JMnAZEZAY9ZtCmJpump", "View")</f>
        <v/>
      </c>
    </row>
    <row r="143">
      <c r="A143" s="19" t="inlineStr">
        <is>
          <t>Manilow</t>
        </is>
      </c>
      <c r="B143" s="20" t="n">
        <v>398389</v>
      </c>
      <c r="C143" s="20" t="n">
        <v>328015</v>
      </c>
      <c r="D143" s="20" t="inlineStr">
        <is>
          <t>0.009020</t>
        </is>
      </c>
      <c r="E143" s="20" t="inlineStr">
        <is>
          <t>0.200 SOL</t>
        </is>
      </c>
      <c r="F143" s="20" t="inlineStr">
        <is>
          <t>0.472 SOL</t>
        </is>
      </c>
      <c r="G143" s="23" t="inlineStr">
        <is>
          <t>0.263 SOL</t>
        </is>
      </c>
      <c r="H143" s="23" t="inlineStr">
        <is>
          <t>125.72%</t>
        </is>
      </c>
      <c r="I143" s="20" t="inlineStr">
        <is>
          <t>N/A</t>
        </is>
      </c>
      <c r="J143" s="20" t="n">
        <v>2</v>
      </c>
      <c r="K143" s="20" t="n">
        <v>3</v>
      </c>
      <c r="L143" s="20" t="inlineStr">
        <is>
          <t>26.10.2024 15:02:31</t>
        </is>
      </c>
      <c r="M143" s="20" t="inlineStr">
        <is>
          <t>21 hours</t>
        </is>
      </c>
      <c r="N143" s="20" t="inlineStr">
        <is>
          <t xml:space="preserve">        107K            75K             9K</t>
        </is>
      </c>
      <c r="O143" s="20" t="inlineStr">
        <is>
          <t>JXL9547qPmBhutuVcFWownV6opuAkgxutvc6KCfpump</t>
        </is>
      </c>
      <c r="P143" s="20">
        <f>HYPERLINK("https://dexscreener.com/solana/JXL9547qPmBhutuVcFWownV6opuAkgxutvc6KCfpump", "View")</f>
        <v/>
      </c>
    </row>
    <row r="144">
      <c r="A144" s="15" t="inlineStr">
        <is>
          <t>TrT</t>
        </is>
      </c>
      <c r="B144" s="16" t="n">
        <v>60847</v>
      </c>
      <c r="C144" s="16" t="n">
        <v>0</v>
      </c>
      <c r="D144" s="16" t="inlineStr">
        <is>
          <t>0.004210</t>
        </is>
      </c>
      <c r="E144" s="16" t="inlineStr">
        <is>
          <t>0.050 SOL</t>
        </is>
      </c>
      <c r="F144" s="16" t="inlineStr">
        <is>
          <t>0.000 SOL</t>
        </is>
      </c>
      <c r="G144" s="17" t="inlineStr">
        <is>
          <t>-0.054 SOL</t>
        </is>
      </c>
      <c r="H144" s="17" t="inlineStr">
        <is>
          <t>0.00%</t>
        </is>
      </c>
      <c r="I144" s="16" t="inlineStr">
        <is>
          <t>60,847</t>
        </is>
      </c>
      <c r="J144" s="16" t="n">
        <v>1</v>
      </c>
      <c r="K144" s="16" t="n">
        <v>0</v>
      </c>
      <c r="L144" s="16" t="inlineStr">
        <is>
          <t>26.10.2024 14:59:19</t>
        </is>
      </c>
      <c r="M144" s="18" t="inlineStr">
        <is>
          <t>0 sec</t>
        </is>
      </c>
      <c r="N144" s="16" t="inlineStr">
        <is>
          <t xml:space="preserve">        144K           144K            45K</t>
        </is>
      </c>
      <c r="O144" s="16" t="inlineStr">
        <is>
          <t>4dx69VLhJGpswMGdVb2thWsuykyhWRZrrVjLZ1mgpump</t>
        </is>
      </c>
      <c r="P144" s="16">
        <f>HYPERLINK("https://dexscreener.com/solana/4dx69VLhJGpswMGdVb2thWsuykyhWRZrrVjLZ1mgpump", "View")</f>
        <v/>
      </c>
    </row>
    <row r="145">
      <c r="A145" s="19" t="inlineStr">
        <is>
          <t>escape</t>
        </is>
      </c>
      <c r="B145" s="20" t="n">
        <v>38049</v>
      </c>
      <c r="C145" s="20" t="n">
        <v>0</v>
      </c>
      <c r="D145" s="20" t="inlineStr">
        <is>
          <t>0.000530</t>
        </is>
      </c>
      <c r="E145" s="20" t="inlineStr">
        <is>
          <t>0.050 SOL</t>
        </is>
      </c>
      <c r="F145" s="20" t="inlineStr">
        <is>
          <t>0.000 SOL</t>
        </is>
      </c>
      <c r="G145" s="17" t="inlineStr">
        <is>
          <t>-0.051 SOL</t>
        </is>
      </c>
      <c r="H145" s="17" t="inlineStr">
        <is>
          <t>0.00%</t>
        </is>
      </c>
      <c r="I145" s="20" t="inlineStr">
        <is>
          <t>38,049</t>
        </is>
      </c>
      <c r="J145" s="20" t="n">
        <v>1</v>
      </c>
      <c r="K145" s="20" t="n">
        <v>0</v>
      </c>
      <c r="L145" s="20" t="inlineStr">
        <is>
          <t>26.10.2024 13:45:10</t>
        </is>
      </c>
      <c r="M145" s="18" t="inlineStr">
        <is>
          <t>0 sec</t>
        </is>
      </c>
      <c r="N145" s="20" t="inlineStr">
        <is>
          <t xml:space="preserve">        230K           230K           108K</t>
        </is>
      </c>
      <c r="O145" s="20" t="inlineStr">
        <is>
          <t>6kc11KwEgT4fzubPEFvw8WCgLcVxV2Sk5Xx3eembpump</t>
        </is>
      </c>
      <c r="P145" s="20">
        <f>HYPERLINK("https://dexscreener.com/solana/6kc11KwEgT4fzubPEFvw8WCgLcVxV2Sk5Xx3eembpump", "View")</f>
        <v/>
      </c>
    </row>
    <row r="146">
      <c r="A146" s="15" t="inlineStr">
        <is>
          <t>SYRUP</t>
        </is>
      </c>
      <c r="B146" s="16" t="n">
        <v>171171</v>
      </c>
      <c r="C146" s="16" t="n">
        <v>0</v>
      </c>
      <c r="D146" s="16" t="inlineStr">
        <is>
          <t>0.004210</t>
        </is>
      </c>
      <c r="E146" s="16" t="inlineStr">
        <is>
          <t>0.050 SOL</t>
        </is>
      </c>
      <c r="F146" s="16" t="inlineStr">
        <is>
          <t>0.000 SOL</t>
        </is>
      </c>
      <c r="G146" s="17" t="inlineStr">
        <is>
          <t>-0.054 SOL</t>
        </is>
      </c>
      <c r="H146" s="17" t="inlineStr">
        <is>
          <t>0.00%</t>
        </is>
      </c>
      <c r="I146" s="16" t="inlineStr">
        <is>
          <t>171,171</t>
        </is>
      </c>
      <c r="J146" s="16" t="n">
        <v>1</v>
      </c>
      <c r="K146" s="16" t="n">
        <v>0</v>
      </c>
      <c r="L146" s="16" t="inlineStr">
        <is>
          <t>26.10.2024 13:44:10</t>
        </is>
      </c>
      <c r="M146" s="18" t="inlineStr">
        <is>
          <t>0 sec</t>
        </is>
      </c>
      <c r="N146" s="16" t="inlineStr">
        <is>
          <t xml:space="preserve">         49K            49K            20K</t>
        </is>
      </c>
      <c r="O146" s="16" t="inlineStr">
        <is>
          <t>2cBwLnG1jwm4B6yFGJ13mKJcUFvuZS8v3bq6JwVmpump</t>
        </is>
      </c>
      <c r="P146" s="16">
        <f>HYPERLINK("https://dexscreener.com/solana/2cBwLnG1jwm4B6yFGJ13mKJcUFvuZS8v3bq6JwVmpump", "View")</f>
        <v/>
      </c>
    </row>
    <row r="147">
      <c r="A147" s="19" t="inlineStr">
        <is>
          <t>SWIG</t>
        </is>
      </c>
      <c r="B147" s="20" t="n">
        <v>33877</v>
      </c>
      <c r="C147" s="20" t="n">
        <v>0</v>
      </c>
      <c r="D147" s="20" t="inlineStr">
        <is>
          <t>0.000150</t>
        </is>
      </c>
      <c r="E147" s="20" t="inlineStr">
        <is>
          <t>0.050 SOL</t>
        </is>
      </c>
      <c r="F147" s="20" t="inlineStr">
        <is>
          <t>0.000 SOL</t>
        </is>
      </c>
      <c r="G147" s="17" t="inlineStr">
        <is>
          <t>-0.050 SOL</t>
        </is>
      </c>
      <c r="H147" s="17" t="inlineStr">
        <is>
          <t>0.00%</t>
        </is>
      </c>
      <c r="I147" s="20" t="inlineStr">
        <is>
          <t>33,877</t>
        </is>
      </c>
      <c r="J147" s="20" t="n">
        <v>1</v>
      </c>
      <c r="K147" s="20" t="n">
        <v>0</v>
      </c>
      <c r="L147" s="20" t="inlineStr">
        <is>
          <t>26.10.2024 12:31:14</t>
        </is>
      </c>
      <c r="M147" s="18" t="inlineStr">
        <is>
          <t>0 sec</t>
        </is>
      </c>
      <c r="N147" s="20" t="inlineStr">
        <is>
          <t xml:space="preserve">        258K           258K            37K</t>
        </is>
      </c>
      <c r="O147" s="20" t="inlineStr">
        <is>
          <t>3ougYPdtSunmDvxkFb4ZEnahEomRGr936HuNqFoopump</t>
        </is>
      </c>
      <c r="P147" s="20">
        <f>HYPERLINK("https://dexscreener.com/solana/3ougYPdtSunmDvxkFb4ZEnahEomRGr936HuNqFoopump", "View")</f>
        <v/>
      </c>
    </row>
    <row r="148">
      <c r="A148" s="15" t="inlineStr">
        <is>
          <t>DOTS</t>
        </is>
      </c>
      <c r="B148" s="16" t="n">
        <v>37574</v>
      </c>
      <c r="C148" s="16" t="n">
        <v>0</v>
      </c>
      <c r="D148" s="16" t="inlineStr">
        <is>
          <t>0.004210</t>
        </is>
      </c>
      <c r="E148" s="16" t="inlineStr">
        <is>
          <t>0.050 SOL</t>
        </is>
      </c>
      <c r="F148" s="16" t="inlineStr">
        <is>
          <t>0.000 SOL</t>
        </is>
      </c>
      <c r="G148" s="17" t="inlineStr">
        <is>
          <t>-0.054 SOL</t>
        </is>
      </c>
      <c r="H148" s="17" t="inlineStr">
        <is>
          <t>0.00%</t>
        </is>
      </c>
      <c r="I148" s="16" t="inlineStr">
        <is>
          <t>37,574</t>
        </is>
      </c>
      <c r="J148" s="16" t="n">
        <v>1</v>
      </c>
      <c r="K148" s="16" t="n">
        <v>0</v>
      </c>
      <c r="L148" s="16" t="inlineStr">
        <is>
          <t>26.10.2024 11:21:53</t>
        </is>
      </c>
      <c r="M148" s="18" t="inlineStr">
        <is>
          <t>0 sec</t>
        </is>
      </c>
      <c r="N148" s="16" t="inlineStr">
        <is>
          <t xml:space="preserve">        234K           234K            14K</t>
        </is>
      </c>
      <c r="O148" s="16" t="inlineStr">
        <is>
          <t>AJczhLzrJn2mKV8Exkyz1L6pPGAEMmeY5KB7Tbf2pump</t>
        </is>
      </c>
      <c r="P148" s="16">
        <f>HYPERLINK("https://dexscreener.com/solana/AJczhLzrJn2mKV8Exkyz1L6pPGAEMmeY5KB7Tbf2pump", "View")</f>
        <v/>
      </c>
    </row>
    <row r="149">
      <c r="A149" s="19" t="inlineStr">
        <is>
          <t>WojakAI</t>
        </is>
      </c>
      <c r="B149" s="20" t="n">
        <v>2500758</v>
      </c>
      <c r="C149" s="20" t="n">
        <v>2500758</v>
      </c>
      <c r="D149" s="20" t="inlineStr">
        <is>
          <t>0.000970</t>
        </is>
      </c>
      <c r="E149" s="20" t="inlineStr">
        <is>
          <t>0.100 SOL</t>
        </is>
      </c>
      <c r="F149" s="20" t="inlineStr">
        <is>
          <t>0.058 SOL</t>
        </is>
      </c>
      <c r="G149" s="21" t="inlineStr">
        <is>
          <t>-0.043 SOL</t>
        </is>
      </c>
      <c r="H149" s="21" t="inlineStr">
        <is>
          <t>-42.09%</t>
        </is>
      </c>
      <c r="I149" s="20" t="inlineStr">
        <is>
          <t>N/A</t>
        </is>
      </c>
      <c r="J149" s="20" t="n">
        <v>1</v>
      </c>
      <c r="K149" s="20" t="n">
        <v>1</v>
      </c>
      <c r="L149" s="20" t="inlineStr">
        <is>
          <t>26.10.2024 10:52:37</t>
        </is>
      </c>
      <c r="M149" s="20" t="inlineStr">
        <is>
          <t>8 days</t>
        </is>
      </c>
      <c r="N149" s="20" t="inlineStr">
        <is>
          <t xml:space="preserve">          7K             7K             4K</t>
        </is>
      </c>
      <c r="O149" s="20" t="inlineStr">
        <is>
          <t>EiX8zhiYZB51JDXTM36ELxaTAgRscvYCUjqj6Bn1pump</t>
        </is>
      </c>
      <c r="P149" s="20">
        <f>HYPERLINK("https://dexscreener.com/solana/EiX8zhiYZB51JDXTM36ELxaTAgRscvYCUjqj6Bn1pump", "View")</f>
        <v/>
      </c>
    </row>
    <row r="150">
      <c r="A150" s="15" t="inlineStr">
        <is>
          <t>hoodie</t>
        </is>
      </c>
      <c r="B150" s="16" t="n">
        <v>3259229</v>
      </c>
      <c r="C150" s="16" t="n">
        <v>3259229</v>
      </c>
      <c r="D150" s="16" t="inlineStr">
        <is>
          <t>0.002180</t>
        </is>
      </c>
      <c r="E150" s="16" t="inlineStr">
        <is>
          <t>0.100 SOL</t>
        </is>
      </c>
      <c r="F150" s="16" t="inlineStr">
        <is>
          <t>0.099 SOL</t>
        </is>
      </c>
      <c r="G150" s="21" t="inlineStr">
        <is>
          <t>-0.003 SOL</t>
        </is>
      </c>
      <c r="H150" s="21" t="inlineStr">
        <is>
          <t>-2.75%</t>
        </is>
      </c>
      <c r="I150" s="16" t="inlineStr">
        <is>
          <t>N/A</t>
        </is>
      </c>
      <c r="J150" s="16" t="n">
        <v>1</v>
      </c>
      <c r="K150" s="16" t="n">
        <v>1</v>
      </c>
      <c r="L150" s="16" t="inlineStr">
        <is>
          <t>26.10.2024 10:51:20</t>
        </is>
      </c>
      <c r="M150" s="16" t="inlineStr">
        <is>
          <t>1 days</t>
        </is>
      </c>
      <c r="N150" s="16" t="inlineStr">
        <is>
          <t xml:space="preserve">          5K             5K             5K</t>
        </is>
      </c>
      <c r="O150" s="16" t="inlineStr">
        <is>
          <t>CrMJqqGHmTtHSDCouDEfR8hJWLnrhoJ5SV81T189pump</t>
        </is>
      </c>
      <c r="P150" s="16">
        <f>HYPERLINK("https://dexscreener.com/solana/CrMJqqGHmTtHSDCouDEfR8hJWLnrhoJ5SV81T189pump", "View")</f>
        <v/>
      </c>
    </row>
    <row r="151">
      <c r="A151" s="19" t="inlineStr">
        <is>
          <t>TRUTHSEED</t>
        </is>
      </c>
      <c r="B151" s="20" t="n">
        <v>4721580</v>
      </c>
      <c r="C151" s="20" t="n">
        <v>4721580</v>
      </c>
      <c r="D151" s="20" t="inlineStr">
        <is>
          <t>0.000730</t>
        </is>
      </c>
      <c r="E151" s="20" t="inlineStr">
        <is>
          <t>0.100 SOL</t>
        </is>
      </c>
      <c r="F151" s="20" t="inlineStr">
        <is>
          <t>0.082 SOL</t>
        </is>
      </c>
      <c r="G151" s="21" t="inlineStr">
        <is>
          <t>-0.018 SOL</t>
        </is>
      </c>
      <c r="H151" s="21" t="inlineStr">
        <is>
          <t>-18.11%</t>
        </is>
      </c>
      <c r="I151" s="20" t="inlineStr">
        <is>
          <t>N/A</t>
        </is>
      </c>
      <c r="J151" s="20" t="n">
        <v>1</v>
      </c>
      <c r="K151" s="20" t="n">
        <v>1</v>
      </c>
      <c r="L151" s="20" t="inlineStr">
        <is>
          <t>26.10.2024 10:49:17</t>
        </is>
      </c>
      <c r="M151" s="20" t="inlineStr">
        <is>
          <t>1 days</t>
        </is>
      </c>
      <c r="N151" s="20" t="inlineStr">
        <is>
          <t xml:space="preserve">          4K             4K             3K</t>
        </is>
      </c>
      <c r="O151" s="20" t="inlineStr">
        <is>
          <t>ExMuqc7564Cg4oRS55BVuknhURc4wuThWt5aSRh8pump</t>
        </is>
      </c>
      <c r="P151" s="20">
        <f>HYPERLINK("https://dexscreener.com/solana/ExMuqc7564Cg4oRS55BVuknhURc4wuThWt5aSRh8pump", "View")</f>
        <v/>
      </c>
    </row>
    <row r="152">
      <c r="A152" s="15" t="inlineStr">
        <is>
          <t>SHEGEN</t>
        </is>
      </c>
      <c r="B152" s="16" t="n">
        <v>2082</v>
      </c>
      <c r="C152" s="16" t="n">
        <v>2082</v>
      </c>
      <c r="D152" s="16" t="inlineStr">
        <is>
          <t>0.008620</t>
        </is>
      </c>
      <c r="E152" s="16" t="inlineStr">
        <is>
          <t>0.200 SOL</t>
        </is>
      </c>
      <c r="F152" s="16" t="inlineStr">
        <is>
          <t>0.400 SOL</t>
        </is>
      </c>
      <c r="G152" s="23" t="inlineStr">
        <is>
          <t>0.192 SOL</t>
        </is>
      </c>
      <c r="H152" s="23" t="inlineStr">
        <is>
          <t>91.92%</t>
        </is>
      </c>
      <c r="I152" s="16" t="inlineStr">
        <is>
          <t>N/A</t>
        </is>
      </c>
      <c r="J152" s="16" t="n">
        <v>2</v>
      </c>
      <c r="K152" s="16" t="n">
        <v>2</v>
      </c>
      <c r="L152" s="16" t="inlineStr">
        <is>
          <t>26.10.2024 10:47:56</t>
        </is>
      </c>
      <c r="M152" s="16" t="inlineStr">
        <is>
          <t>4 days</t>
        </is>
      </c>
      <c r="N152" s="16" t="inlineStr">
        <is>
          <t xml:space="preserve">         16M            18M             9M</t>
        </is>
      </c>
      <c r="O152" s="16" t="inlineStr">
        <is>
          <t>2KgAN8nLAU74wjiyKi85m4ZT6Z9MtqrUTGfse8Xapump</t>
        </is>
      </c>
      <c r="P152" s="16">
        <f>HYPERLINK("https://dexscreener.com/solana/2KgAN8nLAU74wjiyKi85m4ZT6Z9MtqrUTGfse8Xapump", "View")</f>
        <v/>
      </c>
    </row>
    <row r="153">
      <c r="A153" s="19" t="inlineStr">
        <is>
          <t>vapor</t>
        </is>
      </c>
      <c r="B153" s="20" t="n">
        <v>178221</v>
      </c>
      <c r="C153" s="20" t="n">
        <v>178221</v>
      </c>
      <c r="D153" s="20" t="inlineStr">
        <is>
          <t>0.005020</t>
        </is>
      </c>
      <c r="E153" s="20" t="inlineStr">
        <is>
          <t>0.100 SOL</t>
        </is>
      </c>
      <c r="F153" s="20" t="inlineStr">
        <is>
          <t>0.321 SOL</t>
        </is>
      </c>
      <c r="G153" s="23" t="inlineStr">
        <is>
          <t>0.216 SOL</t>
        </is>
      </c>
      <c r="H153" s="23" t="inlineStr">
        <is>
          <t>205.36%</t>
        </is>
      </c>
      <c r="I153" s="20" t="inlineStr">
        <is>
          <t>N/A</t>
        </is>
      </c>
      <c r="J153" s="20" t="n">
        <v>1</v>
      </c>
      <c r="K153" s="20" t="n">
        <v>2</v>
      </c>
      <c r="L153" s="20" t="inlineStr">
        <is>
          <t>26.10.2024 10:44:33</t>
        </is>
      </c>
      <c r="M153" s="20" t="inlineStr">
        <is>
          <t>13 hours</t>
        </is>
      </c>
      <c r="N153" s="20" t="inlineStr">
        <is>
          <t xml:space="preserve">         94K            94K           128K</t>
        </is>
      </c>
      <c r="O153" s="20" t="inlineStr">
        <is>
          <t>6dC8y49qqogktNvnYecEszwuDAgkVsj19UP7dziZpump</t>
        </is>
      </c>
      <c r="P153" s="20">
        <f>HYPERLINK("https://dexscreener.com/solana/6dC8y49qqogktNvnYecEszwuDAgkVsj19UP7dziZpump", "View")</f>
        <v/>
      </c>
    </row>
    <row r="154">
      <c r="A154" s="15" t="inlineStr">
        <is>
          <t>ZARA</t>
        </is>
      </c>
      <c r="B154" s="16" t="n">
        <v>574380</v>
      </c>
      <c r="C154" s="16" t="n">
        <v>0</v>
      </c>
      <c r="D154" s="16" t="inlineStr">
        <is>
          <t>0.007810</t>
        </is>
      </c>
      <c r="E154" s="16" t="inlineStr">
        <is>
          <t>0.100 SOL</t>
        </is>
      </c>
      <c r="F154" s="16" t="inlineStr">
        <is>
          <t>0.000 SOL</t>
        </is>
      </c>
      <c r="G154" s="17" t="inlineStr">
        <is>
          <t>-0.108 SOL</t>
        </is>
      </c>
      <c r="H154" s="17" t="inlineStr">
        <is>
          <t>0.00%</t>
        </is>
      </c>
      <c r="I154" s="16" t="inlineStr">
        <is>
          <t>574,380</t>
        </is>
      </c>
      <c r="J154" s="16" t="n">
        <v>2</v>
      </c>
      <c r="K154" s="16" t="n">
        <v>0</v>
      </c>
      <c r="L154" s="16" t="inlineStr">
        <is>
          <t>26.10.2024 08:21:56</t>
        </is>
      </c>
      <c r="M154" s="16" t="inlineStr">
        <is>
          <t>14 hours</t>
        </is>
      </c>
      <c r="N154" s="16" t="inlineStr">
        <is>
          <t xml:space="preserve">         16K           188K             7K</t>
        </is>
      </c>
      <c r="O154" s="16" t="inlineStr">
        <is>
          <t>BtLXyMKH8ZRnkSC28xqzh67RrnrSoZKtnM9zMxJspump</t>
        </is>
      </c>
      <c r="P154" s="16">
        <f>HYPERLINK("https://dexscreener.com/solana/BtLXyMKH8ZRnkSC28xqzh67RrnrSoZKtnM9zMxJspump", "View")</f>
        <v/>
      </c>
    </row>
    <row r="155">
      <c r="A155" s="19" t="inlineStr">
        <is>
          <t>mint</t>
        </is>
      </c>
      <c r="B155" s="20" t="n">
        <v>260465</v>
      </c>
      <c r="C155" s="20" t="n">
        <v>0</v>
      </c>
      <c r="D155" s="20" t="inlineStr">
        <is>
          <t>0.004210</t>
        </is>
      </c>
      <c r="E155" s="20" t="inlineStr">
        <is>
          <t>0.050 SOL</t>
        </is>
      </c>
      <c r="F155" s="20" t="inlineStr">
        <is>
          <t>0.000 SOL</t>
        </is>
      </c>
      <c r="G155" s="17" t="inlineStr">
        <is>
          <t>-0.054 SOL</t>
        </is>
      </c>
      <c r="H155" s="17" t="inlineStr">
        <is>
          <t>0.00%</t>
        </is>
      </c>
      <c r="I155" s="20" t="inlineStr">
        <is>
          <t>260,465</t>
        </is>
      </c>
      <c r="J155" s="20" t="n">
        <v>1</v>
      </c>
      <c r="K155" s="20" t="n">
        <v>0</v>
      </c>
      <c r="L155" s="20" t="inlineStr">
        <is>
          <t>26.10.2024 08:21:23</t>
        </is>
      </c>
      <c r="M155" s="18" t="inlineStr">
        <is>
          <t>0 sec</t>
        </is>
      </c>
      <c r="N155" s="20" t="inlineStr">
        <is>
          <t xml:space="preserve">         33K            33K            12K</t>
        </is>
      </c>
      <c r="O155" s="20" t="inlineStr">
        <is>
          <t>2TXwAQ3jCicGS4SdoS1huXT3hEk64ybREaqT1jtkpump</t>
        </is>
      </c>
      <c r="P155" s="20">
        <f>HYPERLINK("https://dexscreener.com/solana/2TXwAQ3jCicGS4SdoS1huXT3hEk64ybREaqT1jtkpump", "View")</f>
        <v/>
      </c>
    </row>
    <row r="156">
      <c r="A156" s="15" t="inlineStr">
        <is>
          <t>Paradox</t>
        </is>
      </c>
      <c r="B156" s="16" t="n">
        <v>238828</v>
      </c>
      <c r="C156" s="16" t="n">
        <v>0</v>
      </c>
      <c r="D156" s="16" t="inlineStr">
        <is>
          <t>0.004010</t>
        </is>
      </c>
      <c r="E156" s="16" t="inlineStr">
        <is>
          <t>0.199 SOL</t>
        </is>
      </c>
      <c r="F156" s="16" t="inlineStr">
        <is>
          <t>0.000 SOL</t>
        </is>
      </c>
      <c r="G156" s="17" t="inlineStr">
        <is>
          <t>-0.203 SOL</t>
        </is>
      </c>
      <c r="H156" s="17" t="inlineStr">
        <is>
          <t>0.00%</t>
        </is>
      </c>
      <c r="I156" s="16" t="inlineStr">
        <is>
          <t>238,828</t>
        </is>
      </c>
      <c r="J156" s="16" t="n">
        <v>2</v>
      </c>
      <c r="K156" s="16" t="n">
        <v>0</v>
      </c>
      <c r="L156" s="16" t="inlineStr">
        <is>
          <t>26.10.2024 08:19:50</t>
        </is>
      </c>
      <c r="M156" s="16" t="inlineStr">
        <is>
          <t>22 hours</t>
        </is>
      </c>
      <c r="N156" s="16" t="inlineStr">
        <is>
          <t xml:space="preserve">         42K           773K            12K</t>
        </is>
      </c>
      <c r="O156" s="16" t="inlineStr">
        <is>
          <t>Fmc9g6bL1Y8Szhn3pFqRnoEhaopbJNXHMdcxqHsUpump</t>
        </is>
      </c>
      <c r="P156" s="16">
        <f>HYPERLINK("https://dexscreener.com/solana/Fmc9g6bL1Y8Szhn3pFqRnoEhaopbJNXHMdcxqHsUpump", "View")</f>
        <v/>
      </c>
    </row>
    <row r="157">
      <c r="A157" s="19" t="inlineStr">
        <is>
          <t>ΩMΣGA</t>
        </is>
      </c>
      <c r="B157" s="20" t="n">
        <v>142975</v>
      </c>
      <c r="C157" s="20" t="n">
        <v>0</v>
      </c>
      <c r="D157" s="20" t="inlineStr">
        <is>
          <t>0.004210</t>
        </is>
      </c>
      <c r="E157" s="20" t="inlineStr">
        <is>
          <t>0.050 SOL</t>
        </is>
      </c>
      <c r="F157" s="20" t="inlineStr">
        <is>
          <t>0.000 SOL</t>
        </is>
      </c>
      <c r="G157" s="17" t="inlineStr">
        <is>
          <t>-0.054 SOL</t>
        </is>
      </c>
      <c r="H157" s="17" t="inlineStr">
        <is>
          <t>0.00%</t>
        </is>
      </c>
      <c r="I157" s="20" t="inlineStr">
        <is>
          <t>142,975</t>
        </is>
      </c>
      <c r="J157" s="20" t="n">
        <v>1</v>
      </c>
      <c r="K157" s="20" t="n">
        <v>0</v>
      </c>
      <c r="L157" s="20" t="inlineStr">
        <is>
          <t>26.10.2024 08:18:30</t>
        </is>
      </c>
      <c r="M157" s="18" t="inlineStr">
        <is>
          <t>0 sec</t>
        </is>
      </c>
      <c r="N157" s="20" t="inlineStr">
        <is>
          <t xml:space="preserve">         61K            61K            19K</t>
        </is>
      </c>
      <c r="O157" s="20" t="inlineStr">
        <is>
          <t>8C5wsKz682s8ByYLxVpY8J3GHSAHTsT4fJPfT97Npump</t>
        </is>
      </c>
      <c r="P157" s="20">
        <f>HYPERLINK("https://dexscreener.com/solana/8C5wsKz682s8ByYLxVpY8J3GHSAHTsT4fJPfT97Npump", "View")</f>
        <v/>
      </c>
    </row>
    <row r="158">
      <c r="A158" s="15" t="inlineStr">
        <is>
          <t>DJLOLI</t>
        </is>
      </c>
      <c r="B158" s="16" t="n">
        <v>147715</v>
      </c>
      <c r="C158" s="16" t="n">
        <v>0</v>
      </c>
      <c r="D158" s="16" t="inlineStr">
        <is>
          <t>0.004210</t>
        </is>
      </c>
      <c r="E158" s="16" t="inlineStr">
        <is>
          <t>0.100 SOL</t>
        </is>
      </c>
      <c r="F158" s="16" t="inlineStr">
        <is>
          <t>0.000 SOL</t>
        </is>
      </c>
      <c r="G158" s="17" t="inlineStr">
        <is>
          <t>-0.104 SOL</t>
        </is>
      </c>
      <c r="H158" s="17" t="inlineStr">
        <is>
          <t>0.00%</t>
        </is>
      </c>
      <c r="I158" s="16" t="inlineStr">
        <is>
          <t>147,715</t>
        </is>
      </c>
      <c r="J158" s="16" t="n">
        <v>1</v>
      </c>
      <c r="K158" s="16" t="n">
        <v>0</v>
      </c>
      <c r="L158" s="16" t="inlineStr">
        <is>
          <t>26.10.2024 07:42:09</t>
        </is>
      </c>
      <c r="M158" s="18" t="inlineStr">
        <is>
          <t>0 sec</t>
        </is>
      </c>
      <c r="N158" s="16" t="inlineStr">
        <is>
          <t xml:space="preserve">        119K           119K            19K</t>
        </is>
      </c>
      <c r="O158" s="16" t="inlineStr">
        <is>
          <t>5DNd2f9xTAJo1wKQ1aWswXrutbpWSzGoyyNHLLoTpump</t>
        </is>
      </c>
      <c r="P158" s="16">
        <f>HYPERLINK("https://dexscreener.com/solana/5DNd2f9xTAJo1wKQ1aWswXrutbpWSzGoyyNHLLoTpump", "View")</f>
        <v/>
      </c>
    </row>
    <row r="159">
      <c r="A159" s="19" t="inlineStr">
        <is>
          <t>miraGPT</t>
        </is>
      </c>
      <c r="B159" s="20" t="n">
        <v>92616</v>
      </c>
      <c r="C159" s="20" t="n">
        <v>0</v>
      </c>
      <c r="D159" s="20" t="inlineStr">
        <is>
          <t>0.000400</t>
        </is>
      </c>
      <c r="E159" s="20" t="inlineStr">
        <is>
          <t>0.099 SOL</t>
        </is>
      </c>
      <c r="F159" s="20" t="inlineStr">
        <is>
          <t>0.000 SOL</t>
        </is>
      </c>
      <c r="G159" s="17" t="inlineStr">
        <is>
          <t>-0.100 SOL</t>
        </is>
      </c>
      <c r="H159" s="17" t="inlineStr">
        <is>
          <t>0.00%</t>
        </is>
      </c>
      <c r="I159" s="20" t="inlineStr">
        <is>
          <t>92,616</t>
        </is>
      </c>
      <c r="J159" s="20" t="n">
        <v>1</v>
      </c>
      <c r="K159" s="20" t="n">
        <v>0</v>
      </c>
      <c r="L159" s="20" t="inlineStr">
        <is>
          <t>25.10.2024 22:58:32</t>
        </is>
      </c>
      <c r="M159" s="18" t="inlineStr">
        <is>
          <t>0 sec</t>
        </is>
      </c>
      <c r="N159" s="20" t="inlineStr">
        <is>
          <t xml:space="preserve">        188K           188K             4K</t>
        </is>
      </c>
      <c r="O159" s="20" t="inlineStr">
        <is>
          <t>HF6eqB12Mj47DJiRWCdvBdD5UaQZSHuzVfqNmxEVpump</t>
        </is>
      </c>
      <c r="P159" s="20">
        <f>HYPERLINK("https://dexscreener.com/solana/HF6eqB12Mj47DJiRWCdvBdD5UaQZSHuzVfqNmxEVpump", "View")</f>
        <v/>
      </c>
    </row>
    <row r="160">
      <c r="A160" s="15" t="inlineStr">
        <is>
          <t>BOLT</t>
        </is>
      </c>
      <c r="B160" s="16" t="n">
        <v>65485</v>
      </c>
      <c r="C160" s="16" t="n">
        <v>0</v>
      </c>
      <c r="D160" s="16" t="inlineStr">
        <is>
          <t>0.000400</t>
        </is>
      </c>
      <c r="E160" s="16" t="inlineStr">
        <is>
          <t>0.099 SOL</t>
        </is>
      </c>
      <c r="F160" s="16" t="inlineStr">
        <is>
          <t>0.000 SOL</t>
        </is>
      </c>
      <c r="G160" s="17" t="inlineStr">
        <is>
          <t>-0.100 SOL</t>
        </is>
      </c>
      <c r="H160" s="17" t="inlineStr">
        <is>
          <t>0.00%</t>
        </is>
      </c>
      <c r="I160" s="16" t="inlineStr">
        <is>
          <t>65,485</t>
        </is>
      </c>
      <c r="J160" s="16" t="n">
        <v>1</v>
      </c>
      <c r="K160" s="16" t="n">
        <v>0</v>
      </c>
      <c r="L160" s="16" t="inlineStr">
        <is>
          <t>25.10.2024 22:54:12</t>
        </is>
      </c>
      <c r="M160" s="18" t="inlineStr">
        <is>
          <t>0 sec</t>
        </is>
      </c>
      <c r="N160" s="16" t="inlineStr">
        <is>
          <t xml:space="preserve">        249K           249K            21K</t>
        </is>
      </c>
      <c r="O160" s="16" t="inlineStr">
        <is>
          <t>4Ej4Rkzon8oH6eAtGJ7LSFPRfPnBku8q8bLg8PhcXpCS</t>
        </is>
      </c>
      <c r="P160" s="16">
        <f>HYPERLINK("https://dexscreener.com/solana/4Ej4Rkzon8oH6eAtGJ7LSFPRfPnBku8q8bLg8PhcXpCS", "View")</f>
        <v/>
      </c>
    </row>
    <row r="161">
      <c r="A161" s="19" t="inlineStr">
        <is>
          <t>MONK</t>
        </is>
      </c>
      <c r="B161" s="20" t="n">
        <v>256361</v>
      </c>
      <c r="C161" s="20" t="n">
        <v>0</v>
      </c>
      <c r="D161" s="20" t="inlineStr">
        <is>
          <t>0.003000</t>
        </is>
      </c>
      <c r="E161" s="20" t="inlineStr">
        <is>
          <t>0.100 SOL</t>
        </is>
      </c>
      <c r="F161" s="20" t="inlineStr">
        <is>
          <t>0.000 SOL</t>
        </is>
      </c>
      <c r="G161" s="17" t="inlineStr">
        <is>
          <t>-0.103 SOL</t>
        </is>
      </c>
      <c r="H161" s="17" t="inlineStr">
        <is>
          <t>0.00%</t>
        </is>
      </c>
      <c r="I161" s="20" t="inlineStr">
        <is>
          <t>256,361</t>
        </is>
      </c>
      <c r="J161" s="20" t="n">
        <v>1</v>
      </c>
      <c r="K161" s="20" t="n">
        <v>0</v>
      </c>
      <c r="L161" s="20" t="inlineStr">
        <is>
          <t>25.10.2024 22:14:16</t>
        </is>
      </c>
      <c r="M161" s="18" t="inlineStr">
        <is>
          <t>0 sec</t>
        </is>
      </c>
      <c r="N161" s="20" t="inlineStr">
        <is>
          <t xml:space="preserve">         68K            68K             6K</t>
        </is>
      </c>
      <c r="O161" s="20" t="inlineStr">
        <is>
          <t>Monkv6a5h2hrfpQzyKdWp9vUxTRGbzWX89zsZ1QTj4F</t>
        </is>
      </c>
      <c r="P161" s="20">
        <f>HYPERLINK("https://photon-sol.tinyastro.io/en/lp/Monkv6a5h2hrfpQzyKdWp9vUxTRGbzWX89zsZ1QTj4F?handle=676050794bc1b1657a56b", "View")</f>
        <v/>
      </c>
    </row>
    <row r="162">
      <c r="A162" s="15" t="inlineStr">
        <is>
          <t>TrumpT</t>
        </is>
      </c>
      <c r="B162" s="16" t="n">
        <v>511245</v>
      </c>
      <c r="C162" s="16" t="n">
        <v>511245</v>
      </c>
      <c r="D162" s="16" t="inlineStr">
        <is>
          <t>0.007810</t>
        </is>
      </c>
      <c r="E162" s="16" t="inlineStr">
        <is>
          <t>0.100 SOL</t>
        </is>
      </c>
      <c r="F162" s="16" t="inlineStr">
        <is>
          <t>0.339 SOL</t>
        </is>
      </c>
      <c r="G162" s="23" t="inlineStr">
        <is>
          <t>0.231 SOL</t>
        </is>
      </c>
      <c r="H162" s="23" t="inlineStr">
        <is>
          <t>214.34%</t>
        </is>
      </c>
      <c r="I162" s="16" t="inlineStr">
        <is>
          <t>N/A</t>
        </is>
      </c>
      <c r="J162" s="16" t="n">
        <v>1</v>
      </c>
      <c r="K162" s="16" t="n">
        <v>1</v>
      </c>
      <c r="L162" s="16" t="inlineStr">
        <is>
          <t>25.10.2024 22:12:20</t>
        </is>
      </c>
      <c r="M162" s="16" t="inlineStr">
        <is>
          <t>8 min</t>
        </is>
      </c>
      <c r="N162" s="16" t="inlineStr">
        <is>
          <t xml:space="preserve">         35K            35K            11K</t>
        </is>
      </c>
      <c r="O162" s="16" t="inlineStr">
        <is>
          <t>9qQKtsBiBPk3U6aJLUrrq5zXEQ1JGuYWCkaL6Ge2HizD</t>
        </is>
      </c>
      <c r="P162" s="16">
        <f>HYPERLINK("https://dexscreener.com/solana/9qQKtsBiBPk3U6aJLUrrq5zXEQ1JGuYWCkaL6Ge2HizD", "View")</f>
        <v/>
      </c>
    </row>
    <row r="163">
      <c r="A163" s="19" t="inlineStr">
        <is>
          <t>EPPO</t>
        </is>
      </c>
      <c r="B163" s="20" t="n">
        <v>164200</v>
      </c>
      <c r="C163" s="20" t="n">
        <v>0</v>
      </c>
      <c r="D163" s="20" t="inlineStr">
        <is>
          <t>0.004210</t>
        </is>
      </c>
      <c r="E163" s="20" t="inlineStr">
        <is>
          <t>0.100 SOL</t>
        </is>
      </c>
      <c r="F163" s="20" t="inlineStr">
        <is>
          <t>0.000 SOL</t>
        </is>
      </c>
      <c r="G163" s="17" t="inlineStr">
        <is>
          <t>-0.104 SOL</t>
        </is>
      </c>
      <c r="H163" s="17" t="inlineStr">
        <is>
          <t>0.00%</t>
        </is>
      </c>
      <c r="I163" s="20" t="inlineStr">
        <is>
          <t>164,200</t>
        </is>
      </c>
      <c r="J163" s="20" t="n">
        <v>1</v>
      </c>
      <c r="K163" s="20" t="n">
        <v>0</v>
      </c>
      <c r="L163" s="20" t="inlineStr">
        <is>
          <t>25.10.2024 21:40:04</t>
        </is>
      </c>
      <c r="M163" s="18" t="inlineStr">
        <is>
          <t>0 sec</t>
        </is>
      </c>
      <c r="N163" s="20" t="inlineStr">
        <is>
          <t xml:space="preserve">        107K           107K             8K</t>
        </is>
      </c>
      <c r="O163" s="20" t="inlineStr">
        <is>
          <t>34vv2Wwn7VYSkJUFFtPnj2cj6pfqgwAEPD3j4DrWpump</t>
        </is>
      </c>
      <c r="P163" s="20">
        <f>HYPERLINK("https://dexscreener.com/solana/34vv2Wwn7VYSkJUFFtPnj2cj6pfqgwAEPD3j4DrWpump", "View")</f>
        <v/>
      </c>
    </row>
    <row r="164">
      <c r="A164" s="15" t="inlineStr">
        <is>
          <t>TESLA</t>
        </is>
      </c>
      <c r="B164" s="16" t="n">
        <v>82300</v>
      </c>
      <c r="C164" s="16" t="n">
        <v>0</v>
      </c>
      <c r="D164" s="16" t="inlineStr">
        <is>
          <t>0.004210</t>
        </is>
      </c>
      <c r="E164" s="16" t="inlineStr">
        <is>
          <t>0.050 SOL</t>
        </is>
      </c>
      <c r="F164" s="16" t="inlineStr">
        <is>
          <t>0.000 SOL</t>
        </is>
      </c>
      <c r="G164" s="17" t="inlineStr">
        <is>
          <t>-0.054 SOL</t>
        </is>
      </c>
      <c r="H164" s="17" t="inlineStr">
        <is>
          <t>0.00%</t>
        </is>
      </c>
      <c r="I164" s="16" t="inlineStr">
        <is>
          <t>82,300</t>
        </is>
      </c>
      <c r="J164" s="16" t="n">
        <v>1</v>
      </c>
      <c r="K164" s="16" t="n">
        <v>0</v>
      </c>
      <c r="L164" s="16" t="inlineStr">
        <is>
          <t>25.10.2024 21:07:41</t>
        </is>
      </c>
      <c r="M164" s="18" t="inlineStr">
        <is>
          <t>0 sec</t>
        </is>
      </c>
      <c r="N164" s="16" t="inlineStr">
        <is>
          <t xml:space="preserve">        107K           107K             4K</t>
        </is>
      </c>
      <c r="O164" s="16" t="inlineStr">
        <is>
          <t>B7onEqzGeAicCNhcEPYK3kq9VJUzaFEiunQP8wHwpump</t>
        </is>
      </c>
      <c r="P164" s="16">
        <f>HYPERLINK("https://dexscreener.com/solana/B7onEqzGeAicCNhcEPYK3kq9VJUzaFEiunQP8wHwpump", "View")</f>
        <v/>
      </c>
    </row>
    <row r="165">
      <c r="A165" s="19" t="inlineStr">
        <is>
          <t>THEO</t>
        </is>
      </c>
      <c r="B165" s="20" t="n">
        <v>278494</v>
      </c>
      <c r="C165" s="20" t="n">
        <v>0</v>
      </c>
      <c r="D165" s="20" t="inlineStr">
        <is>
          <t>0.014000</t>
        </is>
      </c>
      <c r="E165" s="20" t="inlineStr">
        <is>
          <t>0.100 SOL</t>
        </is>
      </c>
      <c r="F165" s="20" t="inlineStr">
        <is>
          <t>0.000 SOL</t>
        </is>
      </c>
      <c r="G165" s="17" t="inlineStr">
        <is>
          <t>-0.114 SOL</t>
        </is>
      </c>
      <c r="H165" s="17" t="inlineStr">
        <is>
          <t>0.00%</t>
        </is>
      </c>
      <c r="I165" s="20" t="inlineStr">
        <is>
          <t>278,494</t>
        </is>
      </c>
      <c r="J165" s="20" t="n">
        <v>2</v>
      </c>
      <c r="K165" s="20" t="n">
        <v>0</v>
      </c>
      <c r="L165" s="20" t="inlineStr">
        <is>
          <t>25.10.2024 20:59:12</t>
        </is>
      </c>
      <c r="M165" s="20" t="inlineStr">
        <is>
          <t>11 hours</t>
        </is>
      </c>
      <c r="N165" s="20" t="inlineStr">
        <is>
          <t xml:space="preserve">         39K           179K            11K</t>
        </is>
      </c>
      <c r="O165" s="20" t="inlineStr">
        <is>
          <t>BZW215nxTGpbw87TUQJJpABGTBXeXqfjxjDYyrjCpump</t>
        </is>
      </c>
      <c r="P165" s="20">
        <f>HYPERLINK("https://dexscreener.com/solana/BZW215nxTGpbw87TUQJJpABGTBXeXqfjxjDYyrjCpump", "View")</f>
        <v/>
      </c>
    </row>
    <row r="166">
      <c r="A166" s="15" t="inlineStr">
        <is>
          <t>Link</t>
        </is>
      </c>
      <c r="B166" s="16" t="n">
        <v>39487</v>
      </c>
      <c r="C166" s="16" t="n">
        <v>0</v>
      </c>
      <c r="D166" s="16" t="inlineStr">
        <is>
          <t>0.004210</t>
        </is>
      </c>
      <c r="E166" s="16" t="inlineStr">
        <is>
          <t>0.050 SOL</t>
        </is>
      </c>
      <c r="F166" s="16" t="inlineStr">
        <is>
          <t>0.000 SOL</t>
        </is>
      </c>
      <c r="G166" s="17" t="inlineStr">
        <is>
          <t>-0.054 SOL</t>
        </is>
      </c>
      <c r="H166" s="17" t="inlineStr">
        <is>
          <t>0.00%</t>
        </is>
      </c>
      <c r="I166" s="16" t="inlineStr">
        <is>
          <t>39,487</t>
        </is>
      </c>
      <c r="J166" s="16" t="n">
        <v>1</v>
      </c>
      <c r="K166" s="16" t="n">
        <v>0</v>
      </c>
      <c r="L166" s="16" t="inlineStr">
        <is>
          <t>25.10.2024 20:54:29</t>
        </is>
      </c>
      <c r="M166" s="18" t="inlineStr">
        <is>
          <t>0 sec</t>
        </is>
      </c>
      <c r="N166" s="16" t="inlineStr">
        <is>
          <t xml:space="preserve">        223K           223K            28K</t>
        </is>
      </c>
      <c r="O166" s="16" t="inlineStr">
        <is>
          <t>ADzp2buxkzgHqMKxVp9prwJhij6Sjp14zuLsFFdKpump</t>
        </is>
      </c>
      <c r="P166" s="16">
        <f>HYPERLINK("https://dexscreener.com/solana/ADzp2buxkzgHqMKxVp9prwJhij6Sjp14zuLsFFdKpump", "View")</f>
        <v/>
      </c>
    </row>
    <row r="167">
      <c r="A167" s="19" t="inlineStr">
        <is>
          <t>scooby</t>
        </is>
      </c>
      <c r="B167" s="20" t="n">
        <v>168723</v>
      </c>
      <c r="C167" s="20" t="n">
        <v>0</v>
      </c>
      <c r="D167" s="20" t="inlineStr">
        <is>
          <t>0.004210</t>
        </is>
      </c>
      <c r="E167" s="20" t="inlineStr">
        <is>
          <t>0.050 SOL</t>
        </is>
      </c>
      <c r="F167" s="20" t="inlineStr">
        <is>
          <t>0.000 SOL</t>
        </is>
      </c>
      <c r="G167" s="17" t="inlineStr">
        <is>
          <t>-0.054 SOL</t>
        </is>
      </c>
      <c r="H167" s="17" t="inlineStr">
        <is>
          <t>0.00%</t>
        </is>
      </c>
      <c r="I167" s="20" t="inlineStr">
        <is>
          <t>168,723</t>
        </is>
      </c>
      <c r="J167" s="20" t="n">
        <v>1</v>
      </c>
      <c r="K167" s="20" t="n">
        <v>0</v>
      </c>
      <c r="L167" s="20" t="inlineStr">
        <is>
          <t>25.10.2024 20:54:13</t>
        </is>
      </c>
      <c r="M167" s="18" t="inlineStr">
        <is>
          <t>0 sec</t>
        </is>
      </c>
      <c r="N167" s="20" t="inlineStr">
        <is>
          <t xml:space="preserve">         53K            53K             7K</t>
        </is>
      </c>
      <c r="O167" s="20" t="inlineStr">
        <is>
          <t>A371DpYTbFpjngpQS9PUJXHWSx8B6Q7yeTXTgjebpump</t>
        </is>
      </c>
      <c r="P167" s="20">
        <f>HYPERLINK("https://dexscreener.com/solana/A371DpYTbFpjngpQS9PUJXHWSx8B6Q7yeTXTgjebpump", "View")</f>
        <v/>
      </c>
    </row>
    <row r="168">
      <c r="A168" s="15" t="inlineStr">
        <is>
          <t>PrayAI</t>
        </is>
      </c>
      <c r="B168" s="16" t="n">
        <v>66357</v>
      </c>
      <c r="C168" s="16" t="n">
        <v>0</v>
      </c>
      <c r="D168" s="16" t="inlineStr">
        <is>
          <t>0.000150</t>
        </is>
      </c>
      <c r="E168" s="16" t="inlineStr">
        <is>
          <t>0.050 SOL</t>
        </is>
      </c>
      <c r="F168" s="16" t="inlineStr">
        <is>
          <t>0.000 SOL</t>
        </is>
      </c>
      <c r="G168" s="17" t="inlineStr">
        <is>
          <t>-0.050 SOL</t>
        </is>
      </c>
      <c r="H168" s="17" t="inlineStr">
        <is>
          <t>0.00%</t>
        </is>
      </c>
      <c r="I168" s="16" t="inlineStr">
        <is>
          <t>66,357</t>
        </is>
      </c>
      <c r="J168" s="16" t="n">
        <v>1</v>
      </c>
      <c r="K168" s="16" t="n">
        <v>0</v>
      </c>
      <c r="L168" s="16" t="inlineStr">
        <is>
          <t>25.10.2024 19:15:06</t>
        </is>
      </c>
      <c r="M168" s="18" t="inlineStr">
        <is>
          <t>0 sec</t>
        </is>
      </c>
      <c r="N168" s="16" t="inlineStr">
        <is>
          <t xml:space="preserve">        132K           132K            24K</t>
        </is>
      </c>
      <c r="O168" s="16" t="inlineStr">
        <is>
          <t>7PrD83NuMYWSUJG6s2BeJv2nRkV3giy9XkAMFfD6pump</t>
        </is>
      </c>
      <c r="P168" s="16">
        <f>HYPERLINK("https://dexscreener.com/solana/7PrD83NuMYWSUJG6s2BeJv2nRkV3giy9XkAMFfD6pump", "View")</f>
        <v/>
      </c>
    </row>
    <row r="169">
      <c r="A169" s="19" t="inlineStr">
        <is>
          <t>Julius</t>
        </is>
      </c>
      <c r="B169" s="20" t="n">
        <v>460189</v>
      </c>
      <c r="C169" s="20" t="n">
        <v>345142</v>
      </c>
      <c r="D169" s="20" t="inlineStr">
        <is>
          <t>0.009890</t>
        </is>
      </c>
      <c r="E169" s="20" t="inlineStr">
        <is>
          <t>0.100 SOL</t>
        </is>
      </c>
      <c r="F169" s="20" t="inlineStr">
        <is>
          <t>0.284 SOL</t>
        </is>
      </c>
      <c r="G169" s="23" t="inlineStr">
        <is>
          <t>0.175 SOL</t>
        </is>
      </c>
      <c r="H169" s="23" t="inlineStr">
        <is>
          <t>158.88%</t>
        </is>
      </c>
      <c r="I169" s="20" t="inlineStr">
        <is>
          <t>N/A</t>
        </is>
      </c>
      <c r="J169" s="20" t="n">
        <v>1</v>
      </c>
      <c r="K169" s="20" t="n">
        <v>2</v>
      </c>
      <c r="L169" s="20" t="inlineStr">
        <is>
          <t>25.10.2024 14:48:25</t>
        </is>
      </c>
      <c r="M169" s="20" t="inlineStr">
        <is>
          <t>9 min</t>
        </is>
      </c>
      <c r="N169" s="20" t="inlineStr">
        <is>
          <t xml:space="preserve">         39K           160K            13K</t>
        </is>
      </c>
      <c r="O169" s="20" t="inlineStr">
        <is>
          <t>8MCmyPzS8xGKz3YsCRhU6GPqZRc5v6bBWVhPhcYkpump</t>
        </is>
      </c>
      <c r="P169" s="20">
        <f>HYPERLINK("https://dexscreener.com/solana/8MCmyPzS8xGKz3YsCRhU6GPqZRc5v6bBWVhPhcYkpump", "View")</f>
        <v/>
      </c>
    </row>
    <row r="170">
      <c r="A170" s="15" t="inlineStr">
        <is>
          <t>MEQ</t>
        </is>
      </c>
      <c r="B170" s="16" t="n">
        <v>195978</v>
      </c>
      <c r="C170" s="16" t="n">
        <v>0</v>
      </c>
      <c r="D170" s="16" t="inlineStr">
        <is>
          <t>0.007810</t>
        </is>
      </c>
      <c r="E170" s="16" t="inlineStr">
        <is>
          <t>0.150 SOL</t>
        </is>
      </c>
      <c r="F170" s="16" t="inlineStr">
        <is>
          <t>0.000 SOL</t>
        </is>
      </c>
      <c r="G170" s="17" t="inlineStr">
        <is>
          <t>-0.158 SOL</t>
        </is>
      </c>
      <c r="H170" s="17" t="inlineStr">
        <is>
          <t>0.00%</t>
        </is>
      </c>
      <c r="I170" s="16" t="inlineStr">
        <is>
          <t>195,978</t>
        </is>
      </c>
      <c r="J170" s="16" t="n">
        <v>2</v>
      </c>
      <c r="K170" s="16" t="n">
        <v>0</v>
      </c>
      <c r="L170" s="16" t="inlineStr">
        <is>
          <t>25.10.2024 14:42:35</t>
        </is>
      </c>
      <c r="M170" s="16" t="inlineStr">
        <is>
          <t>4 min</t>
        </is>
      </c>
      <c r="N170" s="16" t="inlineStr">
        <is>
          <t xml:space="preserve">        239K            72K            12K</t>
        </is>
      </c>
      <c r="O170" s="16" t="inlineStr">
        <is>
          <t>3MNkGKDbwvGq8P9XBnQx4ECzifFPFU5Nf43e78EYpump</t>
        </is>
      </c>
      <c r="P170" s="16">
        <f>HYPERLINK("https://dexscreener.com/solana/3MNkGKDbwvGq8P9XBnQx4ECzifFPFU5Nf43e78EYpump", "View")</f>
        <v/>
      </c>
    </row>
    <row r="171">
      <c r="A171" s="19" t="inlineStr">
        <is>
          <t>TOAI</t>
        </is>
      </c>
      <c r="B171" s="20" t="n">
        <v>151151</v>
      </c>
      <c r="C171" s="20" t="n">
        <v>0</v>
      </c>
      <c r="D171" s="20" t="inlineStr">
        <is>
          <t>0.000400</t>
        </is>
      </c>
      <c r="E171" s="20" t="inlineStr">
        <is>
          <t>0.099 SOL</t>
        </is>
      </c>
      <c r="F171" s="20" t="inlineStr">
        <is>
          <t>0.000 SOL</t>
        </is>
      </c>
      <c r="G171" s="17" t="inlineStr">
        <is>
          <t>-0.100 SOL</t>
        </is>
      </c>
      <c r="H171" s="17" t="inlineStr">
        <is>
          <t>0.00%</t>
        </is>
      </c>
      <c r="I171" s="20" t="inlineStr">
        <is>
          <t>151,151</t>
        </is>
      </c>
      <c r="J171" s="20" t="n">
        <v>1</v>
      </c>
      <c r="K171" s="20" t="n">
        <v>0</v>
      </c>
      <c r="L171" s="20" t="inlineStr">
        <is>
          <t>25.10.2024 14:38:36</t>
        </is>
      </c>
      <c r="M171" s="18" t="inlineStr">
        <is>
          <t>0 sec</t>
        </is>
      </c>
      <c r="N171" s="20" t="inlineStr">
        <is>
          <t xml:space="preserve">        106K           106K             5K</t>
        </is>
      </c>
      <c r="O171" s="20" t="inlineStr">
        <is>
          <t>EUKyPPNAQRpYwBi2SzYLaF5nwBKaDwESuxqWQd7Xpump</t>
        </is>
      </c>
      <c r="P171" s="20">
        <f>HYPERLINK("https://dexscreener.com/solana/EUKyPPNAQRpYwBi2SzYLaF5nwBKaDwESuxqWQd7Xpump", "View")</f>
        <v/>
      </c>
    </row>
    <row r="172">
      <c r="A172" s="15" t="inlineStr">
        <is>
          <t>DOG</t>
        </is>
      </c>
      <c r="B172" s="16" t="n">
        <v>727213</v>
      </c>
      <c r="C172" s="16" t="n">
        <v>0</v>
      </c>
      <c r="D172" s="16" t="inlineStr">
        <is>
          <t>0.003360</t>
        </is>
      </c>
      <c r="E172" s="16" t="inlineStr">
        <is>
          <t>0.050 SOL</t>
        </is>
      </c>
      <c r="F172" s="16" t="inlineStr">
        <is>
          <t>0.000 SOL</t>
        </is>
      </c>
      <c r="G172" s="17" t="inlineStr">
        <is>
          <t>-0.053 SOL</t>
        </is>
      </c>
      <c r="H172" s="17" t="inlineStr">
        <is>
          <t>0.00%</t>
        </is>
      </c>
      <c r="I172" s="16" t="inlineStr">
        <is>
          <t>727,213</t>
        </is>
      </c>
      <c r="J172" s="16" t="n">
        <v>1</v>
      </c>
      <c r="K172" s="16" t="n">
        <v>0</v>
      </c>
      <c r="L172" s="16" t="inlineStr">
        <is>
          <t>25.10.2024 14:23:46</t>
        </is>
      </c>
      <c r="M172" s="18" t="inlineStr">
        <is>
          <t>0 sec</t>
        </is>
      </c>
      <c r="N172" s="16" t="inlineStr">
        <is>
          <t xml:space="preserve">         12K            12K             6K</t>
        </is>
      </c>
      <c r="O172" s="16" t="inlineStr">
        <is>
          <t>DhncHp7VRouug7f7D7PXGvZhAHDi7tuMbbmY24MVpump</t>
        </is>
      </c>
      <c r="P172" s="16">
        <f>HYPERLINK("https://dexscreener.com/solana/DhncHp7VRouug7f7D7PXGvZhAHDi7tuMbbmY24MVpump", "View")</f>
        <v/>
      </c>
    </row>
    <row r="173">
      <c r="A173" s="19" t="inlineStr">
        <is>
          <t>Emerge</t>
        </is>
      </c>
      <c r="B173" s="20" t="n">
        <v>40102</v>
      </c>
      <c r="C173" s="20" t="n">
        <v>0</v>
      </c>
      <c r="D173" s="20" t="inlineStr">
        <is>
          <t>0.004210</t>
        </is>
      </c>
      <c r="E173" s="20" t="inlineStr">
        <is>
          <t>0.050 SOL</t>
        </is>
      </c>
      <c r="F173" s="20" t="inlineStr">
        <is>
          <t>0.000 SOL</t>
        </is>
      </c>
      <c r="G173" s="17" t="inlineStr">
        <is>
          <t>-0.054 SOL</t>
        </is>
      </c>
      <c r="H173" s="17" t="inlineStr">
        <is>
          <t>0.00%</t>
        </is>
      </c>
      <c r="I173" s="20" t="inlineStr">
        <is>
          <t>40,102</t>
        </is>
      </c>
      <c r="J173" s="20" t="n">
        <v>1</v>
      </c>
      <c r="K173" s="20" t="n">
        <v>0</v>
      </c>
      <c r="L173" s="20" t="inlineStr">
        <is>
          <t>25.10.2024 13:57:53</t>
        </is>
      </c>
      <c r="M173" s="18" t="inlineStr">
        <is>
          <t>0 sec</t>
        </is>
      </c>
      <c r="N173" s="20" t="inlineStr">
        <is>
          <t xml:space="preserve">        219K           219K            13K</t>
        </is>
      </c>
      <c r="O173" s="20" t="inlineStr">
        <is>
          <t>CvARs26ujuCphpnFQZ1Lxsk5R6YaHZ5uKUJoRnoLpump</t>
        </is>
      </c>
      <c r="P173" s="20">
        <f>HYPERLINK("https://dexscreener.com/solana/CvARs26ujuCphpnFQZ1Lxsk5R6YaHZ5uKUJoRnoLpump", "View")</f>
        <v/>
      </c>
    </row>
    <row r="174">
      <c r="A174" s="15" t="inlineStr">
        <is>
          <t xml:space="preserve">Kira </t>
        </is>
      </c>
      <c r="B174" s="16" t="n">
        <v>167317</v>
      </c>
      <c r="C174" s="16" t="n">
        <v>0</v>
      </c>
      <c r="D174" s="16" t="inlineStr">
        <is>
          <t>0.004210</t>
        </is>
      </c>
      <c r="E174" s="16" t="inlineStr">
        <is>
          <t>0.100 SOL</t>
        </is>
      </c>
      <c r="F174" s="16" t="inlineStr">
        <is>
          <t>0.000 SOL</t>
        </is>
      </c>
      <c r="G174" s="17" t="inlineStr">
        <is>
          <t>-0.104 SOL</t>
        </is>
      </c>
      <c r="H174" s="17" t="inlineStr">
        <is>
          <t>0.00%</t>
        </is>
      </c>
      <c r="I174" s="16" t="inlineStr">
        <is>
          <t>167,317</t>
        </is>
      </c>
      <c r="J174" s="16" t="n">
        <v>1</v>
      </c>
      <c r="K174" s="16" t="n">
        <v>0</v>
      </c>
      <c r="L174" s="16" t="inlineStr">
        <is>
          <t>25.10.2024 11:45:44</t>
        </is>
      </c>
      <c r="M174" s="18" t="inlineStr">
        <is>
          <t>0 sec</t>
        </is>
      </c>
      <c r="N174" s="16" t="inlineStr">
        <is>
          <t xml:space="preserve">        102K           102K            12K</t>
        </is>
      </c>
      <c r="O174" s="16" t="inlineStr">
        <is>
          <t>wpU56BR9qLyA9bxxF2uLtULERVZFvtuLtcXdL9xpump</t>
        </is>
      </c>
      <c r="P174" s="16">
        <f>HYPERLINK("https://dexscreener.com/solana/wpU56BR9qLyA9bxxF2uLtULERVZFvtuLtcXdL9xpump", "View")</f>
        <v/>
      </c>
    </row>
    <row r="175">
      <c r="A175" s="19" t="inlineStr">
        <is>
          <t>PPMP</t>
        </is>
      </c>
      <c r="B175" s="20" t="n">
        <v>59488</v>
      </c>
      <c r="C175" s="20" t="n">
        <v>42688</v>
      </c>
      <c r="D175" s="20" t="inlineStr">
        <is>
          <t>0.010080</t>
        </is>
      </c>
      <c r="E175" s="20" t="inlineStr">
        <is>
          <t>0.050 SOL</t>
        </is>
      </c>
      <c r="F175" s="20" t="inlineStr">
        <is>
          <t>0.149 SOL</t>
        </is>
      </c>
      <c r="G175" s="23" t="inlineStr">
        <is>
          <t>0.089 SOL</t>
        </is>
      </c>
      <c r="H175" s="23" t="inlineStr">
        <is>
          <t>148.20%</t>
        </is>
      </c>
      <c r="I175" s="20" t="inlineStr">
        <is>
          <t>N/A</t>
        </is>
      </c>
      <c r="J175" s="20" t="n">
        <v>1</v>
      </c>
      <c r="K175" s="20" t="n">
        <v>1</v>
      </c>
      <c r="L175" s="20" t="inlineStr">
        <is>
          <t>25.10.2024 09:31:19</t>
        </is>
      </c>
      <c r="M175" s="20" t="inlineStr">
        <is>
          <t>11 hours</t>
        </is>
      </c>
      <c r="N175" s="20" t="inlineStr">
        <is>
          <t xml:space="preserve">        133K           553K            22K</t>
        </is>
      </c>
      <c r="O175" s="20" t="inlineStr">
        <is>
          <t>mmfkyTYJS9fPnWBDfbayi5zKYtioYM7mbGUSLPQk94U</t>
        </is>
      </c>
      <c r="P175" s="20">
        <f>HYPERLINK("https://dexscreener.com/solana/mmfkyTYJS9fPnWBDfbayi5zKYtioYM7mbGUSLPQk94U", "View")</f>
        <v/>
      </c>
    </row>
    <row r="176">
      <c r="A176" s="15" t="inlineStr">
        <is>
          <t>MEMO</t>
        </is>
      </c>
      <c r="B176" s="16" t="n">
        <v>127981</v>
      </c>
      <c r="C176" s="16" t="n">
        <v>0</v>
      </c>
      <c r="D176" s="16" t="inlineStr">
        <is>
          <t>0.012920</t>
        </is>
      </c>
      <c r="E176" s="16" t="inlineStr">
        <is>
          <t>0.050 SOL</t>
        </is>
      </c>
      <c r="F176" s="16" t="inlineStr">
        <is>
          <t>0.000 SOL</t>
        </is>
      </c>
      <c r="G176" s="17" t="inlineStr">
        <is>
          <t>-0.063 SOL</t>
        </is>
      </c>
      <c r="H176" s="17" t="inlineStr">
        <is>
          <t>0.00%</t>
        </is>
      </c>
      <c r="I176" s="16" t="inlineStr">
        <is>
          <t>127,981</t>
        </is>
      </c>
      <c r="J176" s="16" t="n">
        <v>1</v>
      </c>
      <c r="K176" s="16" t="n">
        <v>0</v>
      </c>
      <c r="L176" s="16" t="inlineStr">
        <is>
          <t>25.10.2024 09:05:32</t>
        </is>
      </c>
      <c r="M176" s="18" t="inlineStr">
        <is>
          <t>0 sec</t>
        </is>
      </c>
      <c r="N176" s="16" t="inlineStr">
        <is>
          <t xml:space="preserve">         65K            65K            10K</t>
        </is>
      </c>
      <c r="O176" s="16" t="inlineStr">
        <is>
          <t>oJ4EYgeDfviyFYDNmyXSjpMqjuXwq7wpGP1rm1Hpump</t>
        </is>
      </c>
      <c r="P176" s="16">
        <f>HYPERLINK("https://dexscreener.com/solana/oJ4EYgeDfviyFYDNmyXSjpMqjuXwq7wpGP1rm1Hpump", "View")</f>
        <v/>
      </c>
    </row>
    <row r="177">
      <c r="A177" s="19" t="inlineStr">
        <is>
          <t>LUCID</t>
        </is>
      </c>
      <c r="B177" s="20" t="n">
        <v>74102</v>
      </c>
      <c r="C177" s="20" t="n">
        <v>0</v>
      </c>
      <c r="D177" s="20" t="inlineStr">
        <is>
          <t>0.012920</t>
        </is>
      </c>
      <c r="E177" s="20" t="inlineStr">
        <is>
          <t>0.050 SOL</t>
        </is>
      </c>
      <c r="F177" s="20" t="inlineStr">
        <is>
          <t>0.000 SOL</t>
        </is>
      </c>
      <c r="G177" s="17" t="inlineStr">
        <is>
          <t>-0.063 SOL</t>
        </is>
      </c>
      <c r="H177" s="17" t="inlineStr">
        <is>
          <t>0.00%</t>
        </is>
      </c>
      <c r="I177" s="20" t="inlineStr">
        <is>
          <t>74,102</t>
        </is>
      </c>
      <c r="J177" s="20" t="n">
        <v>1</v>
      </c>
      <c r="K177" s="20" t="n">
        <v>0</v>
      </c>
      <c r="L177" s="20" t="inlineStr">
        <is>
          <t>25.10.2024 09:05:07</t>
        </is>
      </c>
      <c r="M177" s="18" t="inlineStr">
        <is>
          <t>0 sec</t>
        </is>
      </c>
      <c r="N177" s="20" t="inlineStr">
        <is>
          <t xml:space="preserve">        118K           118K            14K</t>
        </is>
      </c>
      <c r="O177" s="20" t="inlineStr">
        <is>
          <t>FiQSxRdBzBgskvWcxFYZUrYdcZ55Qzci9dtrSH54pump</t>
        </is>
      </c>
      <c r="P177" s="20">
        <f>HYPERLINK("https://dexscreener.com/solana/FiQSxRdBzBgskvWcxFYZUrYdcZ55Qzci9dtrSH54pump", "View")</f>
        <v/>
      </c>
    </row>
    <row r="178">
      <c r="A178" s="15" t="inlineStr">
        <is>
          <t>CONSORTIUM</t>
        </is>
      </c>
      <c r="B178" s="16" t="n">
        <v>51344</v>
      </c>
      <c r="C178" s="16" t="n">
        <v>0</v>
      </c>
      <c r="D178" s="16" t="inlineStr">
        <is>
          <t>0.004160</t>
        </is>
      </c>
      <c r="E178" s="16" t="inlineStr">
        <is>
          <t>0.080 SOL</t>
        </is>
      </c>
      <c r="F178" s="16" t="inlineStr">
        <is>
          <t>0.000 SOL</t>
        </is>
      </c>
      <c r="G178" s="17" t="inlineStr">
        <is>
          <t>-0.084 SOL</t>
        </is>
      </c>
      <c r="H178" s="17" t="inlineStr">
        <is>
          <t>0.00%</t>
        </is>
      </c>
      <c r="I178" s="16" t="inlineStr">
        <is>
          <t>51,344</t>
        </is>
      </c>
      <c r="J178" s="16" t="n">
        <v>1</v>
      </c>
      <c r="K178" s="16" t="n">
        <v>0</v>
      </c>
      <c r="L178" s="16" t="inlineStr">
        <is>
          <t>25.10.2024 06:49:11</t>
        </is>
      </c>
      <c r="M178" s="18" t="inlineStr">
        <is>
          <t>0 sec</t>
        </is>
      </c>
      <c r="N178" s="16" t="inlineStr">
        <is>
          <t xml:space="preserve">        274K           274K            10K</t>
        </is>
      </c>
      <c r="O178" s="16" t="inlineStr">
        <is>
          <t>5Nvo3o9h3WQy1LnLUfPTMuNCSTssi1WaW6ZJ8kuapump</t>
        </is>
      </c>
      <c r="P178" s="16">
        <f>HYPERLINK("https://dexscreener.com/solana/5Nvo3o9h3WQy1LnLUfPTMuNCSTssi1WaW6ZJ8kuapump", "View")</f>
        <v/>
      </c>
    </row>
    <row r="179">
      <c r="A179" s="19" t="inlineStr">
        <is>
          <t>Baxter</t>
        </is>
      </c>
      <c r="B179" s="20" t="n">
        <v>77965</v>
      </c>
      <c r="C179" s="20" t="n">
        <v>0</v>
      </c>
      <c r="D179" s="20" t="inlineStr">
        <is>
          <t>0.020690</t>
        </is>
      </c>
      <c r="E179" s="20" t="inlineStr">
        <is>
          <t>0.100 SOL</t>
        </is>
      </c>
      <c r="F179" s="20" t="inlineStr">
        <is>
          <t>0.000 SOL</t>
        </is>
      </c>
      <c r="G179" s="17" t="inlineStr">
        <is>
          <t>-0.121 SOL</t>
        </is>
      </c>
      <c r="H179" s="17" t="inlineStr">
        <is>
          <t>0.00%</t>
        </is>
      </c>
      <c r="I179" s="20" t="inlineStr">
        <is>
          <t>77,965</t>
        </is>
      </c>
      <c r="J179" s="20" t="n">
        <v>1</v>
      </c>
      <c r="K179" s="20" t="n">
        <v>0</v>
      </c>
      <c r="L179" s="20" t="inlineStr">
        <is>
          <t>24.10.2024 22:06:33</t>
        </is>
      </c>
      <c r="M179" s="18" t="inlineStr">
        <is>
          <t>0 sec</t>
        </is>
      </c>
      <c r="N179" s="20" t="inlineStr">
        <is>
          <t xml:space="preserve">        225K           225K            20K</t>
        </is>
      </c>
      <c r="O179" s="20" t="inlineStr">
        <is>
          <t>7LRwrLyztjtusMxCknD4UXMs9f8Cvn3GTobjH4ctt8AN</t>
        </is>
      </c>
      <c r="P179" s="20">
        <f>HYPERLINK("https://dexscreener.com/solana/7LRwrLyztjtusMxCknD4UXMs9f8Cvn3GTobjH4ctt8AN", "View")</f>
        <v/>
      </c>
    </row>
    <row r="180">
      <c r="A180" s="15" t="inlineStr">
        <is>
          <t>TITM</t>
        </is>
      </c>
      <c r="B180" s="16" t="n">
        <v>159076</v>
      </c>
      <c r="C180" s="16" t="n">
        <v>0</v>
      </c>
      <c r="D180" s="16" t="inlineStr">
        <is>
          <t>0.003000</t>
        </is>
      </c>
      <c r="E180" s="16" t="inlineStr">
        <is>
          <t>0.056 SOL</t>
        </is>
      </c>
      <c r="F180" s="16" t="inlineStr">
        <is>
          <t>0.000 SOL</t>
        </is>
      </c>
      <c r="G180" s="17" t="inlineStr">
        <is>
          <t>-0.059 SOL</t>
        </is>
      </c>
      <c r="H180" s="17" t="inlineStr">
        <is>
          <t>0.00%</t>
        </is>
      </c>
      <c r="I180" s="16" t="inlineStr">
        <is>
          <t>159,076</t>
        </is>
      </c>
      <c r="J180" s="16" t="n">
        <v>1</v>
      </c>
      <c r="K180" s="16" t="n">
        <v>0</v>
      </c>
      <c r="L180" s="16" t="inlineStr">
        <is>
          <t>24.10.2024 21:36:17</t>
        </is>
      </c>
      <c r="M180" s="18" t="inlineStr">
        <is>
          <t>0 sec</t>
        </is>
      </c>
      <c r="N180" s="16" t="inlineStr">
        <is>
          <t xml:space="preserve">         61K            61K             4K</t>
        </is>
      </c>
      <c r="O180" s="16" t="inlineStr">
        <is>
          <t>tu44mmYuNQQYUH3KXjiYCGsAGy9BVqXygpYbH7Gpump</t>
        </is>
      </c>
      <c r="P180" s="16">
        <f>HYPERLINK("https://photon-sol.tinyastro.io/en/lp/tu44mmYuNQQYUH3KXjiYCGsAGy9BVqXygpYbH7Gpump?handle=676050794bc1b1657a56b", "View")</f>
        <v/>
      </c>
    </row>
    <row r="181">
      <c r="A181" s="19" t="inlineStr">
        <is>
          <t>ROSIE</t>
        </is>
      </c>
      <c r="B181" s="20" t="n">
        <v>58431</v>
      </c>
      <c r="C181" s="20" t="n">
        <v>0</v>
      </c>
      <c r="D181" s="20" t="inlineStr">
        <is>
          <t>0.019620</t>
        </is>
      </c>
      <c r="E181" s="20" t="inlineStr">
        <is>
          <t>0.100 SOL</t>
        </is>
      </c>
      <c r="F181" s="20" t="inlineStr">
        <is>
          <t>0.000 SOL</t>
        </is>
      </c>
      <c r="G181" s="17" t="inlineStr">
        <is>
          <t>-0.120 SOL</t>
        </is>
      </c>
      <c r="H181" s="17" t="inlineStr">
        <is>
          <t>0.00%</t>
        </is>
      </c>
      <c r="I181" s="20" t="inlineStr">
        <is>
          <t>58,431</t>
        </is>
      </c>
      <c r="J181" s="20" t="n">
        <v>1</v>
      </c>
      <c r="K181" s="20" t="n">
        <v>0</v>
      </c>
      <c r="L181" s="20" t="inlineStr">
        <is>
          <t>24.10.2024 21:10:07</t>
        </is>
      </c>
      <c r="M181" s="18" t="inlineStr">
        <is>
          <t>0 sec</t>
        </is>
      </c>
      <c r="N181" s="20" t="inlineStr">
        <is>
          <t xml:space="preserve">        300K           300K            15K</t>
        </is>
      </c>
      <c r="O181" s="20" t="inlineStr">
        <is>
          <t>EDHrQBSssKYGNht9FZMhB9zzf52MZaBe4N35iyRgpump</t>
        </is>
      </c>
      <c r="P181" s="20">
        <f>HYPERLINK("https://dexscreener.com/solana/EDHrQBSssKYGNht9FZMhB9zzf52MZaBe4N35iyRgpump", "View")</f>
        <v/>
      </c>
    </row>
    <row r="182">
      <c r="A182" s="15" t="inlineStr">
        <is>
          <t>froge</t>
        </is>
      </c>
      <c r="B182" s="16" t="n">
        <v>124531</v>
      </c>
      <c r="C182" s="16" t="n">
        <v>0</v>
      </c>
      <c r="D182" s="16" t="inlineStr">
        <is>
          <t>0.026720</t>
        </is>
      </c>
      <c r="E182" s="16" t="inlineStr">
        <is>
          <t>0.100 SOL</t>
        </is>
      </c>
      <c r="F182" s="16" t="inlineStr">
        <is>
          <t>0.000 SOL</t>
        </is>
      </c>
      <c r="G182" s="17" t="inlineStr">
        <is>
          <t>-0.127 SOL</t>
        </is>
      </c>
      <c r="H182" s="17" t="inlineStr">
        <is>
          <t>0.00%</t>
        </is>
      </c>
      <c r="I182" s="16" t="inlineStr">
        <is>
          <t>124,531</t>
        </is>
      </c>
      <c r="J182" s="16" t="n">
        <v>1</v>
      </c>
      <c r="K182" s="16" t="n">
        <v>0</v>
      </c>
      <c r="L182" s="16" t="inlineStr">
        <is>
          <t>24.10.2024 21:09:49</t>
        </is>
      </c>
      <c r="M182" s="18" t="inlineStr">
        <is>
          <t>0 sec</t>
        </is>
      </c>
      <c r="N182" s="16" t="inlineStr">
        <is>
          <t xml:space="preserve">        140K           140K             8K</t>
        </is>
      </c>
      <c r="O182" s="16" t="inlineStr">
        <is>
          <t>3YpTDFXF8cpqv3YeeoQv8yRyj1xrS7ZbX3r43y3apump</t>
        </is>
      </c>
      <c r="P182" s="16">
        <f>HYPERLINK("https://dexscreener.com/solana/3YpTDFXF8cpqv3YeeoQv8yRyj1xrS7ZbX3r43y3apump", "View")</f>
        <v/>
      </c>
    </row>
    <row r="183">
      <c r="A183" s="19" t="inlineStr">
        <is>
          <t>ABYSS</t>
        </is>
      </c>
      <c r="B183" s="20" t="n">
        <v>162034</v>
      </c>
      <c r="C183" s="20" t="n">
        <v>0</v>
      </c>
      <c r="D183" s="20" t="inlineStr">
        <is>
          <t>0.017860</t>
        </is>
      </c>
      <c r="E183" s="20" t="inlineStr">
        <is>
          <t>0.100 SOL</t>
        </is>
      </c>
      <c r="F183" s="20" t="inlineStr">
        <is>
          <t>0.000 SOL</t>
        </is>
      </c>
      <c r="G183" s="17" t="inlineStr">
        <is>
          <t>-0.118 SOL</t>
        </is>
      </c>
      <c r="H183" s="17" t="inlineStr">
        <is>
          <t>0.00%</t>
        </is>
      </c>
      <c r="I183" s="20" t="inlineStr">
        <is>
          <t>162,034</t>
        </is>
      </c>
      <c r="J183" s="20" t="n">
        <v>1</v>
      </c>
      <c r="K183" s="20" t="n">
        <v>0</v>
      </c>
      <c r="L183" s="20" t="inlineStr">
        <is>
          <t>24.10.2024 21:08:01</t>
        </is>
      </c>
      <c r="M183" s="18" t="inlineStr">
        <is>
          <t>0 sec</t>
        </is>
      </c>
      <c r="N183" s="20" t="inlineStr">
        <is>
          <t xml:space="preserve">        109K           109K             5K</t>
        </is>
      </c>
      <c r="O183" s="20" t="inlineStr">
        <is>
          <t>ERQU6ppdG3mQQRgCyxBP4QR6Qvsm4UQ2VyzBoUB3pump</t>
        </is>
      </c>
      <c r="P183" s="20">
        <f>HYPERLINK("https://dexscreener.com/solana/ERQU6ppdG3mQQRgCyxBP4QR6Qvsm4UQ2VyzBoUB3pump", "View")</f>
        <v/>
      </c>
    </row>
    <row r="184">
      <c r="A184" s="15" t="inlineStr">
        <is>
          <t>FSIC</t>
        </is>
      </c>
      <c r="B184" s="16" t="n">
        <v>3339801</v>
      </c>
      <c r="C184" s="16" t="n">
        <v>3339801</v>
      </c>
      <c r="D184" s="16" t="inlineStr">
        <is>
          <t>0.000970</t>
        </is>
      </c>
      <c r="E184" s="16" t="inlineStr">
        <is>
          <t>0.100 SOL</t>
        </is>
      </c>
      <c r="F184" s="16" t="inlineStr">
        <is>
          <t>0.067 SOL</t>
        </is>
      </c>
      <c r="G184" s="21" t="inlineStr">
        <is>
          <t>-0.034 SOL</t>
        </is>
      </c>
      <c r="H184" s="21" t="inlineStr">
        <is>
          <t>-34.05%</t>
        </is>
      </c>
      <c r="I184" s="16" t="inlineStr">
        <is>
          <t>N/A</t>
        </is>
      </c>
      <c r="J184" s="16" t="n">
        <v>1</v>
      </c>
      <c r="K184" s="16" t="n">
        <v>1</v>
      </c>
      <c r="L184" s="16" t="inlineStr">
        <is>
          <t>24.10.2024 21:05:56</t>
        </is>
      </c>
      <c r="M184" s="16" t="inlineStr">
        <is>
          <t>7 days</t>
        </is>
      </c>
      <c r="N184" s="16" t="inlineStr">
        <is>
          <t xml:space="preserve">          5K             5K             3K</t>
        </is>
      </c>
      <c r="O184" s="16" t="inlineStr">
        <is>
          <t>4TbBigeQ4sr9xLfuXyspwraFcsbnCPi5tugJzhFTpump</t>
        </is>
      </c>
      <c r="P184" s="16">
        <f>HYPERLINK("https://dexscreener.com/solana/4TbBigeQ4sr9xLfuXyspwraFcsbnCPi5tugJzhFTpump", "View")</f>
        <v/>
      </c>
    </row>
    <row r="185">
      <c r="A185" s="19" t="inlineStr">
        <is>
          <t>DChefSol</t>
        </is>
      </c>
      <c r="B185" s="20" t="n">
        <v>96500</v>
      </c>
      <c r="C185" s="20" t="n">
        <v>96500</v>
      </c>
      <c r="D185" s="20" t="inlineStr">
        <is>
          <t>0.030870</t>
        </is>
      </c>
      <c r="E185" s="20" t="inlineStr">
        <is>
          <t>0.100 SOL</t>
        </is>
      </c>
      <c r="F185" s="20" t="inlineStr">
        <is>
          <t>0.150 SOL</t>
        </is>
      </c>
      <c r="G185" s="22" t="inlineStr">
        <is>
          <t>0.019 SOL</t>
        </is>
      </c>
      <c r="H185" s="22" t="inlineStr">
        <is>
          <t>14.77%</t>
        </is>
      </c>
      <c r="I185" s="20" t="inlineStr">
        <is>
          <t>N/A</t>
        </is>
      </c>
      <c r="J185" s="20" t="n">
        <v>1</v>
      </c>
      <c r="K185" s="20" t="n">
        <v>1</v>
      </c>
      <c r="L185" s="20" t="inlineStr">
        <is>
          <t>24.10.2024 21:05:15</t>
        </is>
      </c>
      <c r="M185" s="20" t="inlineStr">
        <is>
          <t>1 hours</t>
        </is>
      </c>
      <c r="N185" s="20" t="inlineStr">
        <is>
          <t xml:space="preserve">        183K           183K           300K</t>
        </is>
      </c>
      <c r="O185" s="20" t="inlineStr">
        <is>
          <t>Eoo3LNvzyMm5K1jfwY7PkSdxBSBgXYJJ7DERTdFBpump</t>
        </is>
      </c>
      <c r="P185" s="20">
        <f>HYPERLINK("https://dexscreener.com/solana/Eoo3LNvzyMm5K1jfwY7PkSdxBSBgXYJJ7DERTdFBpump", "View")</f>
        <v/>
      </c>
    </row>
    <row r="186">
      <c r="A186" s="15" t="inlineStr">
        <is>
          <t>Strawberry</t>
        </is>
      </c>
      <c r="B186" s="16" t="n">
        <v>127012</v>
      </c>
      <c r="C186" s="16" t="n">
        <v>127012</v>
      </c>
      <c r="D186" s="16" t="inlineStr">
        <is>
          <t>0.005020</t>
        </is>
      </c>
      <c r="E186" s="16" t="inlineStr">
        <is>
          <t>0.150 SOL</t>
        </is>
      </c>
      <c r="F186" s="16" t="inlineStr">
        <is>
          <t>0.445 SOL</t>
        </is>
      </c>
      <c r="G186" s="23" t="inlineStr">
        <is>
          <t>0.290 SOL</t>
        </is>
      </c>
      <c r="H186" s="23" t="inlineStr">
        <is>
          <t>187.02%</t>
        </is>
      </c>
      <c r="I186" s="16" t="inlineStr">
        <is>
          <t>N/A</t>
        </is>
      </c>
      <c r="J186" s="16" t="n">
        <v>1</v>
      </c>
      <c r="K186" s="16" t="n">
        <v>2</v>
      </c>
      <c r="L186" s="16" t="inlineStr">
        <is>
          <t>24.10.2024 21:00:55</t>
        </is>
      </c>
      <c r="M186" s="16" t="inlineStr">
        <is>
          <t>3 days</t>
        </is>
      </c>
      <c r="N186" s="16" t="inlineStr">
        <is>
          <t xml:space="preserve">        207K           207K            32K</t>
        </is>
      </c>
      <c r="O186" s="16" t="inlineStr">
        <is>
          <t>CcBZWB4KKddUCtKnWACP9vZHU471KiakYBnDYcPNpump</t>
        </is>
      </c>
      <c r="P186" s="16">
        <f>HYPERLINK("https://dexscreener.com/solana/CcBZWB4KKddUCtKnWACP9vZHU471KiakYBnDYcPNpump", "View")</f>
        <v/>
      </c>
    </row>
    <row r="187">
      <c r="A187" s="19" t="inlineStr">
        <is>
          <t>Thebes</t>
        </is>
      </c>
      <c r="B187" s="20" t="n">
        <v>138732</v>
      </c>
      <c r="C187" s="20" t="n">
        <v>138732</v>
      </c>
      <c r="D187" s="20" t="inlineStr">
        <is>
          <t>0.003890</t>
        </is>
      </c>
      <c r="E187" s="20" t="inlineStr">
        <is>
          <t>0.249 SOL</t>
        </is>
      </c>
      <c r="F187" s="20" t="inlineStr">
        <is>
          <t>0.776 SOL</t>
        </is>
      </c>
      <c r="G187" s="23" t="inlineStr">
        <is>
          <t>0.524 SOL</t>
        </is>
      </c>
      <c r="H187" s="23" t="inlineStr">
        <is>
          <t>207.27%</t>
        </is>
      </c>
      <c r="I187" s="20" t="inlineStr">
        <is>
          <t>N/A</t>
        </is>
      </c>
      <c r="J187" s="20" t="n">
        <v>2</v>
      </c>
      <c r="K187" s="20" t="n">
        <v>2</v>
      </c>
      <c r="L187" s="20" t="inlineStr">
        <is>
          <t>24.10.2024 21:00:28</t>
        </is>
      </c>
      <c r="M187" s="20" t="inlineStr">
        <is>
          <t>5 days</t>
        </is>
      </c>
      <c r="N187" s="20" t="inlineStr">
        <is>
          <t xml:space="preserve">        276K           348K            64K</t>
        </is>
      </c>
      <c r="O187" s="20" t="inlineStr">
        <is>
          <t>AgHg9Q1s9aUhU7YNMH7c5pvCghFVSFcnCEJ4ePKjrDZg</t>
        </is>
      </c>
      <c r="P187" s="20">
        <f>HYPERLINK("https://dexscreener.com/solana/AgHg9Q1s9aUhU7YNMH7c5pvCghFVSFcnCEJ4ePKjrDZg", "View")</f>
        <v/>
      </c>
    </row>
    <row r="188">
      <c r="A188" s="15" t="inlineStr">
        <is>
          <t>NODE</t>
        </is>
      </c>
      <c r="B188" s="16" t="n">
        <v>235205</v>
      </c>
      <c r="C188" s="16" t="n">
        <v>0</v>
      </c>
      <c r="D188" s="16" t="inlineStr">
        <is>
          <t>0.000400</t>
        </is>
      </c>
      <c r="E188" s="16" t="inlineStr">
        <is>
          <t>0.099 SOL</t>
        </is>
      </c>
      <c r="F188" s="16" t="inlineStr">
        <is>
          <t>0.000 SOL</t>
        </is>
      </c>
      <c r="G188" s="17" t="inlineStr">
        <is>
          <t>-0.100 SOL</t>
        </is>
      </c>
      <c r="H188" s="17" t="inlineStr">
        <is>
          <t>0.00%</t>
        </is>
      </c>
      <c r="I188" s="16" t="inlineStr">
        <is>
          <t>235,205</t>
        </is>
      </c>
      <c r="J188" s="16" t="n">
        <v>1</v>
      </c>
      <c r="K188" s="16" t="n">
        <v>0</v>
      </c>
      <c r="L188" s="16" t="inlineStr">
        <is>
          <t>24.10.2024 20:21:56</t>
        </is>
      </c>
      <c r="M188" s="18" t="inlineStr">
        <is>
          <t>0 sec</t>
        </is>
      </c>
      <c r="N188" s="16" t="inlineStr">
        <is>
          <t xml:space="preserve">         74K            74K             4K</t>
        </is>
      </c>
      <c r="O188" s="16" t="inlineStr">
        <is>
          <t>2UqpumQPfmx8MMBe64zUKfiuUhc8NKQtzbTTD428pump</t>
        </is>
      </c>
      <c r="P188" s="16">
        <f>HYPERLINK("https://dexscreener.com/solana/2UqpumQPfmx8MMBe64zUKfiuUhc8NKQtzbTTD428pump", "View")</f>
        <v/>
      </c>
    </row>
    <row r="189">
      <c r="A189" s="19" t="inlineStr">
        <is>
          <t>HIMGAJRIA</t>
        </is>
      </c>
      <c r="B189" s="20" t="n">
        <v>36984</v>
      </c>
      <c r="C189" s="20" t="n">
        <v>0</v>
      </c>
      <c r="D189" s="20" t="inlineStr">
        <is>
          <t>0.000280</t>
        </is>
      </c>
      <c r="E189" s="20" t="inlineStr">
        <is>
          <t>0.100 SOL</t>
        </is>
      </c>
      <c r="F189" s="20" t="inlineStr">
        <is>
          <t>0.000 SOL</t>
        </is>
      </c>
      <c r="G189" s="17" t="inlineStr">
        <is>
          <t>-0.100 SOL</t>
        </is>
      </c>
      <c r="H189" s="17" t="inlineStr">
        <is>
          <t>0.00%</t>
        </is>
      </c>
      <c r="I189" s="20" t="inlineStr">
        <is>
          <t>36,984</t>
        </is>
      </c>
      <c r="J189" s="20" t="n">
        <v>1</v>
      </c>
      <c r="K189" s="20" t="n">
        <v>0</v>
      </c>
      <c r="L189" s="20" t="inlineStr">
        <is>
          <t>24.10.2024 19:41:25</t>
        </is>
      </c>
      <c r="M189" s="18" t="inlineStr">
        <is>
          <t>0 sec</t>
        </is>
      </c>
      <c r="N189" s="20" t="inlineStr">
        <is>
          <t xml:space="preserve">        473K           473K            19K</t>
        </is>
      </c>
      <c r="O189" s="20" t="inlineStr">
        <is>
          <t>AJQz1zdEi4MPourV1y3KNJefM2bd8nNygsE3mMTWpump</t>
        </is>
      </c>
      <c r="P189" s="20">
        <f>HYPERLINK("https://dexscreener.com/solana/AJQz1zdEi4MPourV1y3KNJefM2bd8nNygsE3mMTWpump", "View")</f>
        <v/>
      </c>
    </row>
    <row r="190">
      <c r="A190" s="15" t="inlineStr">
        <is>
          <t>RAI</t>
        </is>
      </c>
      <c r="B190" s="16" t="n">
        <v>293180</v>
      </c>
      <c r="C190" s="16" t="n">
        <v>0</v>
      </c>
      <c r="D190" s="16" t="inlineStr">
        <is>
          <t>0.014530</t>
        </is>
      </c>
      <c r="E190" s="16" t="inlineStr">
        <is>
          <t>0.100 SOL</t>
        </is>
      </c>
      <c r="F190" s="16" t="inlineStr">
        <is>
          <t>0.000 SOL</t>
        </is>
      </c>
      <c r="G190" s="17" t="inlineStr">
        <is>
          <t>-0.115 SOL</t>
        </is>
      </c>
      <c r="H190" s="17" t="inlineStr">
        <is>
          <t>0.00%</t>
        </is>
      </c>
      <c r="I190" s="16" t="inlineStr">
        <is>
          <t>293,180</t>
        </is>
      </c>
      <c r="J190" s="16" t="n">
        <v>1</v>
      </c>
      <c r="K190" s="16" t="n">
        <v>0</v>
      </c>
      <c r="L190" s="16" t="inlineStr">
        <is>
          <t>24.10.2024 19:29:09</t>
        </is>
      </c>
      <c r="M190" s="18" t="inlineStr">
        <is>
          <t>0 sec</t>
        </is>
      </c>
      <c r="N190" s="16" t="inlineStr">
        <is>
          <t xml:space="preserve">         60K            60K             5K</t>
        </is>
      </c>
      <c r="O190" s="16" t="inlineStr">
        <is>
          <t>7G1TovBFRAk2Eyr3rjdDJMhPiyoWC6tFVngCuHXDpump</t>
        </is>
      </c>
      <c r="P190" s="16">
        <f>HYPERLINK("https://dexscreener.com/solana/7G1TovBFRAk2Eyr3rjdDJMhPiyoWC6tFVngCuHXDpump", "View")</f>
        <v/>
      </c>
    </row>
    <row r="191">
      <c r="A191" s="19" t="inlineStr">
        <is>
          <t>lolcat</t>
        </is>
      </c>
      <c r="B191" s="20" t="n">
        <v>198328</v>
      </c>
      <c r="C191" s="20" t="n">
        <v>198328</v>
      </c>
      <c r="D191" s="20" t="inlineStr">
        <is>
          <t>0.000810</t>
        </is>
      </c>
      <c r="E191" s="20" t="inlineStr">
        <is>
          <t>0.099 SOL</t>
        </is>
      </c>
      <c r="F191" s="20" t="inlineStr">
        <is>
          <t>0.188 SOL</t>
        </is>
      </c>
      <c r="G191" s="23" t="inlineStr">
        <is>
          <t>0.088 SOL</t>
        </is>
      </c>
      <c r="H191" s="23" t="inlineStr">
        <is>
          <t>88.15%</t>
        </is>
      </c>
      <c r="I191" s="20" t="inlineStr">
        <is>
          <t>N/A</t>
        </is>
      </c>
      <c r="J191" s="20" t="n">
        <v>1</v>
      </c>
      <c r="K191" s="20" t="n">
        <v>1</v>
      </c>
      <c r="L191" s="20" t="inlineStr">
        <is>
          <t>24.10.2024 19:07:36</t>
        </is>
      </c>
      <c r="M191" s="20" t="inlineStr">
        <is>
          <t>3 hours</t>
        </is>
      </c>
      <c r="N191" s="20" t="inlineStr">
        <is>
          <t xml:space="preserve">         88K            88K             2M</t>
        </is>
      </c>
      <c r="O191" s="20" t="inlineStr">
        <is>
          <t>Dt6vESocrRixuFz2taZunygpKcNQwxAjUMgYUxvNpump</t>
        </is>
      </c>
      <c r="P191" s="20">
        <f>HYPERLINK("https://dexscreener.com/solana/Dt6vESocrRixuFz2taZunygpKcNQwxAjUMgYUxvNpump", "View")</f>
        <v/>
      </c>
    </row>
    <row r="192">
      <c r="A192" s="15" t="inlineStr">
        <is>
          <t>metamind</t>
        </is>
      </c>
      <c r="B192" s="16" t="n">
        <v>66486</v>
      </c>
      <c r="C192" s="16" t="n">
        <v>0</v>
      </c>
      <c r="D192" s="16" t="inlineStr">
        <is>
          <t>0.000400</t>
        </is>
      </c>
      <c r="E192" s="16" t="inlineStr">
        <is>
          <t>0.099 SOL</t>
        </is>
      </c>
      <c r="F192" s="16" t="inlineStr">
        <is>
          <t>0.000 SOL</t>
        </is>
      </c>
      <c r="G192" s="17" t="inlineStr">
        <is>
          <t>-0.100 SOL</t>
        </is>
      </c>
      <c r="H192" s="17" t="inlineStr">
        <is>
          <t>0.00%</t>
        </is>
      </c>
      <c r="I192" s="16" t="inlineStr">
        <is>
          <t>66,486</t>
        </is>
      </c>
      <c r="J192" s="16" t="n">
        <v>1</v>
      </c>
      <c r="K192" s="16" t="n">
        <v>0</v>
      </c>
      <c r="L192" s="16" t="inlineStr">
        <is>
          <t>24.10.2024 18:36:44</t>
        </is>
      </c>
      <c r="M192" s="18" t="inlineStr">
        <is>
          <t>0 sec</t>
        </is>
      </c>
      <c r="N192" s="16" t="inlineStr">
        <is>
          <t xml:space="preserve">        262K           262K             5K</t>
        </is>
      </c>
      <c r="O192" s="16" t="inlineStr">
        <is>
          <t>6Prwp4yU5Ks3vopYMrhseEQb1GBY3fhC9qurdafTpump</t>
        </is>
      </c>
      <c r="P192" s="16">
        <f>HYPERLINK("https://dexscreener.com/solana/6Prwp4yU5Ks3vopYMrhseEQb1GBY3fhC9qurdafTpump", "View")</f>
        <v/>
      </c>
    </row>
    <row r="193">
      <c r="A193" s="19" t="inlineStr">
        <is>
          <t>BAKA</t>
        </is>
      </c>
      <c r="B193" s="20" t="n">
        <v>39770</v>
      </c>
      <c r="C193" s="20" t="n">
        <v>0</v>
      </c>
      <c r="D193" s="20" t="inlineStr">
        <is>
          <t>0.000400</t>
        </is>
      </c>
      <c r="E193" s="20" t="inlineStr">
        <is>
          <t>0.099 SOL</t>
        </is>
      </c>
      <c r="F193" s="20" t="inlineStr">
        <is>
          <t>0.000 SOL</t>
        </is>
      </c>
      <c r="G193" s="17" t="inlineStr">
        <is>
          <t>-0.100 SOL</t>
        </is>
      </c>
      <c r="H193" s="17" t="inlineStr">
        <is>
          <t>0.00%</t>
        </is>
      </c>
      <c r="I193" s="20" t="inlineStr">
        <is>
          <t>39,770</t>
        </is>
      </c>
      <c r="J193" s="20" t="n">
        <v>1</v>
      </c>
      <c r="K193" s="20" t="n">
        <v>0</v>
      </c>
      <c r="L193" s="20" t="inlineStr">
        <is>
          <t>24.10.2024 18:15:52</t>
        </is>
      </c>
      <c r="M193" s="18" t="inlineStr">
        <is>
          <t>0 sec</t>
        </is>
      </c>
      <c r="N193" s="20" t="inlineStr">
        <is>
          <t xml:space="preserve">        437K           437K           258K</t>
        </is>
      </c>
      <c r="O193" s="20" t="inlineStr">
        <is>
          <t>DB4aNrmNiNeSVeCwRKaAM9NxpWdPvm9TXUW8nsAgpump</t>
        </is>
      </c>
      <c r="P193" s="20">
        <f>HYPERLINK("https://dexscreener.com/solana/DB4aNrmNiNeSVeCwRKaAM9NxpWdPvm9TXUW8nsAgpump", "View")</f>
        <v/>
      </c>
    </row>
    <row r="194">
      <c r="A194" s="15" t="inlineStr">
        <is>
          <t>*blushes*</t>
        </is>
      </c>
      <c r="B194" s="16" t="n">
        <v>158985</v>
      </c>
      <c r="C194" s="16" t="n">
        <v>0</v>
      </c>
      <c r="D194" s="16" t="inlineStr">
        <is>
          <t>0.000400</t>
        </is>
      </c>
      <c r="E194" s="16" t="inlineStr">
        <is>
          <t>0.099 SOL</t>
        </is>
      </c>
      <c r="F194" s="16" t="inlineStr">
        <is>
          <t>0.000 SOL</t>
        </is>
      </c>
      <c r="G194" s="17" t="inlineStr">
        <is>
          <t>-0.100 SOL</t>
        </is>
      </c>
      <c r="H194" s="17" t="inlineStr">
        <is>
          <t>0.00%</t>
        </is>
      </c>
      <c r="I194" s="16" t="inlineStr">
        <is>
          <t>158,985</t>
        </is>
      </c>
      <c r="J194" s="16" t="n">
        <v>1</v>
      </c>
      <c r="K194" s="16" t="n">
        <v>0</v>
      </c>
      <c r="L194" s="16" t="inlineStr">
        <is>
          <t>24.10.2024 17:41:21</t>
        </is>
      </c>
      <c r="M194" s="18" t="inlineStr">
        <is>
          <t>0 sec</t>
        </is>
      </c>
      <c r="N194" s="16" t="inlineStr">
        <is>
          <t xml:space="preserve">        109K           109K             4K</t>
        </is>
      </c>
      <c r="O194" s="16" t="inlineStr">
        <is>
          <t>7kBJEXqZYnGQ34Z6TWFsEHHQRQV8Hc4Vk4shhasnpump</t>
        </is>
      </c>
      <c r="P194" s="16">
        <f>HYPERLINK("https://dexscreener.com/solana/7kBJEXqZYnGQ34Z6TWFsEHHQRQV8Hc4Vk4shhasnpump", "View")</f>
        <v/>
      </c>
    </row>
    <row r="195">
      <c r="A195" s="19" t="inlineStr">
        <is>
          <t>SAGE</t>
        </is>
      </c>
      <c r="B195" s="20" t="n">
        <v>98167</v>
      </c>
      <c r="C195" s="20" t="n">
        <v>0</v>
      </c>
      <c r="D195" s="20" t="inlineStr">
        <is>
          <t>0.000400</t>
        </is>
      </c>
      <c r="E195" s="20" t="inlineStr">
        <is>
          <t>0.099 SOL</t>
        </is>
      </c>
      <c r="F195" s="20" t="inlineStr">
        <is>
          <t>0.000 SOL</t>
        </is>
      </c>
      <c r="G195" s="17" t="inlineStr">
        <is>
          <t>-0.100 SOL</t>
        </is>
      </c>
      <c r="H195" s="17" t="inlineStr">
        <is>
          <t>0.00%</t>
        </is>
      </c>
      <c r="I195" s="20" t="inlineStr">
        <is>
          <t>98,167</t>
        </is>
      </c>
      <c r="J195" s="20" t="n">
        <v>1</v>
      </c>
      <c r="K195" s="20" t="n">
        <v>0</v>
      </c>
      <c r="L195" s="20" t="inlineStr">
        <is>
          <t>24.10.2024 17:39:08</t>
        </is>
      </c>
      <c r="M195" s="18" t="inlineStr">
        <is>
          <t>0 sec</t>
        </is>
      </c>
      <c r="N195" s="20" t="inlineStr">
        <is>
          <t xml:space="preserve">        177K           177K             5K</t>
        </is>
      </c>
      <c r="O195" s="20" t="inlineStr">
        <is>
          <t>Biv5YApffTssU9aLAuiFiiJQHNQA4aAw3D8bFpoFpump</t>
        </is>
      </c>
      <c r="P195" s="20">
        <f>HYPERLINK("https://dexscreener.com/solana/Biv5YApffTssU9aLAuiFiiJQHNQA4aAw3D8bFpoFpump", "View")</f>
        <v/>
      </c>
    </row>
    <row r="196">
      <c r="A196" s="15" t="inlineStr">
        <is>
          <t>TALK</t>
        </is>
      </c>
      <c r="B196" s="16" t="n">
        <v>201293</v>
      </c>
      <c r="C196" s="16" t="n">
        <v>0</v>
      </c>
      <c r="D196" s="16" t="inlineStr">
        <is>
          <t>0.000280</t>
        </is>
      </c>
      <c r="E196" s="16" t="inlineStr">
        <is>
          <t>0.100 SOL</t>
        </is>
      </c>
      <c r="F196" s="16" t="inlineStr">
        <is>
          <t>0.000 SOL</t>
        </is>
      </c>
      <c r="G196" s="17" t="inlineStr">
        <is>
          <t>-0.100 SOL</t>
        </is>
      </c>
      <c r="H196" s="17" t="inlineStr">
        <is>
          <t>0.00%</t>
        </is>
      </c>
      <c r="I196" s="16" t="inlineStr">
        <is>
          <t>201,293</t>
        </is>
      </c>
      <c r="J196" s="16" t="n">
        <v>1</v>
      </c>
      <c r="K196" s="16" t="n">
        <v>0</v>
      </c>
      <c r="L196" s="16" t="inlineStr">
        <is>
          <t>24.10.2024 17:08:16</t>
        </is>
      </c>
      <c r="M196" s="18" t="inlineStr">
        <is>
          <t>0 sec</t>
        </is>
      </c>
      <c r="N196" s="16" t="inlineStr">
        <is>
          <t xml:space="preserve">         88K            88K             4K</t>
        </is>
      </c>
      <c r="O196" s="16" t="inlineStr">
        <is>
          <t>5cKei21esHuSSKC6G3UXTb4HLHZqNu47PfMbJLuxpump</t>
        </is>
      </c>
      <c r="P196" s="16">
        <f>HYPERLINK("https://dexscreener.com/solana/5cKei21esHuSSKC6G3UXTb4HLHZqNu47PfMbJLuxpump", "View")</f>
        <v/>
      </c>
    </row>
    <row r="197">
      <c r="A197" s="19" t="inlineStr">
        <is>
          <t>JOSHUA</t>
        </is>
      </c>
      <c r="B197" s="20" t="n">
        <v>229844</v>
      </c>
      <c r="C197" s="20" t="n">
        <v>0</v>
      </c>
      <c r="D197" s="20" t="inlineStr">
        <is>
          <t>0.000400</t>
        </is>
      </c>
      <c r="E197" s="20" t="inlineStr">
        <is>
          <t>0.099 SOL</t>
        </is>
      </c>
      <c r="F197" s="20" t="inlineStr">
        <is>
          <t>0.000 SOL</t>
        </is>
      </c>
      <c r="G197" s="17" t="inlineStr">
        <is>
          <t>-0.100 SOL</t>
        </is>
      </c>
      <c r="H197" s="17" t="inlineStr">
        <is>
          <t>0.00%</t>
        </is>
      </c>
      <c r="I197" s="20" t="inlineStr">
        <is>
          <t>229,844</t>
        </is>
      </c>
      <c r="J197" s="20" t="n">
        <v>1</v>
      </c>
      <c r="K197" s="20" t="n">
        <v>0</v>
      </c>
      <c r="L197" s="20" t="inlineStr">
        <is>
          <t>24.10.2024 16:57:47</t>
        </is>
      </c>
      <c r="M197" s="18" t="inlineStr">
        <is>
          <t>0 sec</t>
        </is>
      </c>
      <c r="N197" s="20" t="inlineStr">
        <is>
          <t xml:space="preserve">         76K            76K             4K</t>
        </is>
      </c>
      <c r="O197" s="20" t="inlineStr">
        <is>
          <t>MM44MLunQYw2fFrgdd6vQyjnPpgdp9kNXMwSeLTpump</t>
        </is>
      </c>
      <c r="P197" s="20">
        <f>HYPERLINK("https://dexscreener.com/solana/MM44MLunQYw2fFrgdd6vQyjnPpgdp9kNXMwSeLTpump", "View")</f>
        <v/>
      </c>
    </row>
    <row r="198">
      <c r="A198" s="15" t="inlineStr">
        <is>
          <t>GINA</t>
        </is>
      </c>
      <c r="B198" s="16" t="n">
        <v>57784</v>
      </c>
      <c r="C198" s="16" t="n">
        <v>0</v>
      </c>
      <c r="D198" s="16" t="inlineStr">
        <is>
          <t>0.000280</t>
        </is>
      </c>
      <c r="E198" s="16" t="inlineStr">
        <is>
          <t>0.100 SOL</t>
        </is>
      </c>
      <c r="F198" s="16" t="inlineStr">
        <is>
          <t>0.000 SOL</t>
        </is>
      </c>
      <c r="G198" s="17" t="inlineStr">
        <is>
          <t>-0.100 SOL</t>
        </is>
      </c>
      <c r="H198" s="17" t="inlineStr">
        <is>
          <t>0.00%</t>
        </is>
      </c>
      <c r="I198" s="16" t="inlineStr">
        <is>
          <t>57,784</t>
        </is>
      </c>
      <c r="J198" s="16" t="n">
        <v>1</v>
      </c>
      <c r="K198" s="16" t="n">
        <v>0</v>
      </c>
      <c r="L198" s="16" t="inlineStr">
        <is>
          <t>24.10.2024 16:33:09</t>
        </is>
      </c>
      <c r="M198" s="18" t="inlineStr">
        <is>
          <t>0 sec</t>
        </is>
      </c>
      <c r="N198" s="16" t="inlineStr">
        <is>
          <t xml:space="preserve">        304K           304K            14K</t>
        </is>
      </c>
      <c r="O198" s="16" t="inlineStr">
        <is>
          <t>Ec2SNUVJAvh3ko81rMZ9NuzZMEg17GXB4zb1dWgspump</t>
        </is>
      </c>
      <c r="P198" s="16">
        <f>HYPERLINK("https://dexscreener.com/solana/Ec2SNUVJAvh3ko81rMZ9NuzZMEg17GXB4zb1dWgspump", "View")</f>
        <v/>
      </c>
    </row>
    <row r="199">
      <c r="A199" s="19" t="inlineStr">
        <is>
          <t>PGT</t>
        </is>
      </c>
      <c r="B199" s="20" t="n">
        <v>1170458</v>
      </c>
      <c r="C199" s="20" t="n">
        <v>1170458</v>
      </c>
      <c r="D199" s="20" t="inlineStr">
        <is>
          <t>0.002490</t>
        </is>
      </c>
      <c r="E199" s="20" t="inlineStr">
        <is>
          <t>0.100 SOL</t>
        </is>
      </c>
      <c r="F199" s="20" t="inlineStr">
        <is>
          <t>0.397 SOL</t>
        </is>
      </c>
      <c r="G199" s="23" t="inlineStr">
        <is>
          <t>0.294 SOL</t>
        </is>
      </c>
      <c r="H199" s="23" t="inlineStr">
        <is>
          <t>287.12%</t>
        </is>
      </c>
      <c r="I199" s="20" t="inlineStr">
        <is>
          <t>N/A</t>
        </is>
      </c>
      <c r="J199" s="20" t="n">
        <v>1</v>
      </c>
      <c r="K199" s="20" t="n">
        <v>2</v>
      </c>
      <c r="L199" s="20" t="inlineStr">
        <is>
          <t>24.10.2024 15:58:17</t>
        </is>
      </c>
      <c r="M199" s="20" t="inlineStr">
        <is>
          <t>9 hours</t>
        </is>
      </c>
      <c r="N199" s="20" t="inlineStr">
        <is>
          <t xml:space="preserve">         16K            16K            11K</t>
        </is>
      </c>
      <c r="O199" s="20" t="inlineStr">
        <is>
          <t>Bk4sZawxty8hgq2Ga8rychVojLTNuGRY8f1VTE98pump</t>
        </is>
      </c>
      <c r="P199" s="20">
        <f>HYPERLINK("https://dexscreener.com/solana/Bk4sZawxty8hgq2Ga8rychVojLTNuGRY8f1VTE98pump", "View")</f>
        <v/>
      </c>
    </row>
    <row r="200">
      <c r="A200" s="15" t="inlineStr">
        <is>
          <t>TIM</t>
        </is>
      </c>
      <c r="B200" s="16" t="n">
        <v>156174</v>
      </c>
      <c r="C200" s="16" t="n">
        <v>78087</v>
      </c>
      <c r="D200" s="16" t="inlineStr">
        <is>
          <t>0.000810</t>
        </is>
      </c>
      <c r="E200" s="16" t="inlineStr">
        <is>
          <t>0.099 SOL</t>
        </is>
      </c>
      <c r="F200" s="16" t="inlineStr">
        <is>
          <t>0.167 SOL</t>
        </is>
      </c>
      <c r="G200" s="23" t="inlineStr">
        <is>
          <t>0.067 SOL</t>
        </is>
      </c>
      <c r="H200" s="23" t="inlineStr">
        <is>
          <t>67.14%</t>
        </is>
      </c>
      <c r="I200" s="16" t="inlineStr">
        <is>
          <t>N/A</t>
        </is>
      </c>
      <c r="J200" s="16" t="n">
        <v>1</v>
      </c>
      <c r="K200" s="16" t="n">
        <v>1</v>
      </c>
      <c r="L200" s="16" t="inlineStr">
        <is>
          <t>24.10.2024 15:56:15</t>
        </is>
      </c>
      <c r="M200" s="16" t="inlineStr">
        <is>
          <t>6 hours</t>
        </is>
      </c>
      <c r="N200" s="16" t="inlineStr">
        <is>
          <t xml:space="preserve">        103K           103K            20K</t>
        </is>
      </c>
      <c r="O200" s="16" t="inlineStr">
        <is>
          <t>AnnG2PnH4ijFrbAf6G6MWXHtrwUxT8bkyd5MJNnCpump</t>
        </is>
      </c>
      <c r="P200" s="16">
        <f>HYPERLINK("https://dexscreener.com/solana/AnnG2PnH4ijFrbAf6G6MWXHtrwUxT8bkyd5MJNnCpump", "View")</f>
        <v/>
      </c>
    </row>
    <row r="201">
      <c r="A201" s="19" t="inlineStr">
        <is>
          <t>SEED</t>
        </is>
      </c>
      <c r="B201" s="20" t="n">
        <v>1095487</v>
      </c>
      <c r="C201" s="20" t="n">
        <v>1095487</v>
      </c>
      <c r="D201" s="20" t="inlineStr">
        <is>
          <t>0.006820</t>
        </is>
      </c>
      <c r="E201" s="20" t="inlineStr">
        <is>
          <t>0.113 SOL</t>
        </is>
      </c>
      <c r="F201" s="20" t="inlineStr">
        <is>
          <t>1.787 SOL</t>
        </is>
      </c>
      <c r="G201" s="23" t="inlineStr">
        <is>
          <t>1.668 SOL</t>
        </is>
      </c>
      <c r="H201" s="23" t="inlineStr">
        <is>
          <t>1395.32%</t>
        </is>
      </c>
      <c r="I201" s="20" t="inlineStr">
        <is>
          <t>N/A</t>
        </is>
      </c>
      <c r="J201" s="20" t="n">
        <v>1</v>
      </c>
      <c r="K201" s="20" t="n">
        <v>3</v>
      </c>
      <c r="L201" s="20" t="inlineStr">
        <is>
          <t>24.10.2024 15:24:48</t>
        </is>
      </c>
      <c r="M201" s="20" t="inlineStr">
        <is>
          <t>4 hours</t>
        </is>
      </c>
      <c r="N201" s="20" t="inlineStr">
        <is>
          <t xml:space="preserve">         16K           202K            41K</t>
        </is>
      </c>
      <c r="O201" s="20" t="inlineStr">
        <is>
          <t>3nxCqsfnPvpPHFbkX9vsLwQsCCKSESMGMwdcbcBRpump</t>
        </is>
      </c>
      <c r="P201" s="20">
        <f>HYPERLINK("https://photon-sol.tinyastro.io/en/lp/3nxCqsfnPvpPHFbkX9vsLwQsCCKSESMGMwdcbcBRpump?handle=676050794bc1b1657a56b", "View")</f>
        <v/>
      </c>
    </row>
    <row r="202">
      <c r="A202" s="15" t="inlineStr">
        <is>
          <t>SOL</t>
        </is>
      </c>
      <c r="B202" s="16" t="n">
        <v>369427</v>
      </c>
      <c r="C202" s="16" t="n">
        <v>0</v>
      </c>
      <c r="D202" s="16" t="inlineStr">
        <is>
          <t>0.000400</t>
        </is>
      </c>
      <c r="E202" s="16" t="inlineStr">
        <is>
          <t>0.099 SOL</t>
        </is>
      </c>
      <c r="F202" s="16" t="inlineStr">
        <is>
          <t>0.000 SOL</t>
        </is>
      </c>
      <c r="G202" s="17" t="inlineStr">
        <is>
          <t>-0.100 SOL</t>
        </is>
      </c>
      <c r="H202" s="17" t="inlineStr">
        <is>
          <t>0.00%</t>
        </is>
      </c>
      <c r="I202" s="16" t="inlineStr">
        <is>
          <t>369,427</t>
        </is>
      </c>
      <c r="J202" s="16" t="n">
        <v>1</v>
      </c>
      <c r="K202" s="16" t="n">
        <v>0</v>
      </c>
      <c r="L202" s="16" t="inlineStr">
        <is>
          <t>24.10.2024 15:20:11</t>
        </is>
      </c>
      <c r="M202" s="18" t="inlineStr">
        <is>
          <t>0 sec</t>
        </is>
      </c>
      <c r="N202" s="16" t="inlineStr">
        <is>
          <t xml:space="preserve">        N/A           N/A           N/A</t>
        </is>
      </c>
      <c r="O202" s="16" t="inlineStr">
        <is>
          <t>2cVo1vP8kNCQG7Yc6SZqViWbJG2H5FTyHdF5hexNpump</t>
        </is>
      </c>
      <c r="P202" s="16">
        <f>HYPERLINK("https://dexscreener.com/solana/2cVo1vP8kNCQG7Yc6SZqViWbJG2H5FTyHdF5hexNpump", "View")</f>
        <v/>
      </c>
    </row>
    <row r="203">
      <c r="A203" s="19" t="inlineStr">
        <is>
          <t>COT</t>
        </is>
      </c>
      <c r="B203" s="20" t="n">
        <v>62900</v>
      </c>
      <c r="C203" s="20" t="n">
        <v>0</v>
      </c>
      <c r="D203" s="20" t="inlineStr">
        <is>
          <t>0.027560</t>
        </is>
      </c>
      <c r="E203" s="20" t="inlineStr">
        <is>
          <t>0.100 SOL</t>
        </is>
      </c>
      <c r="F203" s="20" t="inlineStr">
        <is>
          <t>0.000 SOL</t>
        </is>
      </c>
      <c r="G203" s="17" t="inlineStr">
        <is>
          <t>-0.128 SOL</t>
        </is>
      </c>
      <c r="H203" s="17" t="inlineStr">
        <is>
          <t>0.00%</t>
        </is>
      </c>
      <c r="I203" s="20" t="inlineStr">
        <is>
          <t>62,900</t>
        </is>
      </c>
      <c r="J203" s="20" t="n">
        <v>1</v>
      </c>
      <c r="K203" s="20" t="n">
        <v>0</v>
      </c>
      <c r="L203" s="20" t="inlineStr">
        <is>
          <t>24.10.2024 15:08:28</t>
        </is>
      </c>
      <c r="M203" s="18" t="inlineStr">
        <is>
          <t>0 sec</t>
        </is>
      </c>
      <c r="N203" s="20" t="inlineStr">
        <is>
          <t xml:space="preserve">        279K           279K             7K</t>
        </is>
      </c>
      <c r="O203" s="20" t="inlineStr">
        <is>
          <t>4NJg5b3YSyj1rapAmyqmJoT3eamQFL1AZFiH4Wfrpump</t>
        </is>
      </c>
      <c r="P203" s="20">
        <f>HYPERLINK("https://dexscreener.com/solana/4NJg5b3YSyj1rapAmyqmJoT3eamQFL1AZFiH4Wfrpump", "View")</f>
        <v/>
      </c>
    </row>
    <row r="204">
      <c r="A204" s="15" t="inlineStr">
        <is>
          <t>OPUS</t>
        </is>
      </c>
      <c r="B204" s="16" t="n">
        <v>31309</v>
      </c>
      <c r="C204" s="16" t="n">
        <v>31309</v>
      </c>
      <c r="D204" s="16" t="inlineStr">
        <is>
          <t>0.002930</t>
        </is>
      </c>
      <c r="E204" s="16" t="inlineStr">
        <is>
          <t>0.250 SOL</t>
        </is>
      </c>
      <c r="F204" s="16" t="inlineStr">
        <is>
          <t>0.558 SOL</t>
        </is>
      </c>
      <c r="G204" s="23" t="inlineStr">
        <is>
          <t>0.305 SOL</t>
        </is>
      </c>
      <c r="H204" s="23" t="inlineStr">
        <is>
          <t>120.63%</t>
        </is>
      </c>
      <c r="I204" s="16" t="inlineStr">
        <is>
          <t>N/A</t>
        </is>
      </c>
      <c r="J204" s="16" t="n">
        <v>2</v>
      </c>
      <c r="K204" s="16" t="n">
        <v>3</v>
      </c>
      <c r="L204" s="16" t="inlineStr">
        <is>
          <t>24.10.2024 13:45:26</t>
        </is>
      </c>
      <c r="M204" s="16" t="inlineStr">
        <is>
          <t>6 days</t>
        </is>
      </c>
      <c r="N204" s="16" t="inlineStr">
        <is>
          <t xml:space="preserve">          2M           920K             4M</t>
        </is>
      </c>
      <c r="O204" s="16" t="inlineStr">
        <is>
          <t>9JhFqCA21MoAXs2PTaeqNQp2XngPn1PgYr2rsEVCpump</t>
        </is>
      </c>
      <c r="P204" s="16">
        <f>HYPERLINK("https://dexscreener.com/solana/9JhFqCA21MoAXs2PTaeqNQp2XngPn1PgYr2rsEVCpump", "View")</f>
        <v/>
      </c>
    </row>
    <row r="205">
      <c r="A205" s="19" t="inlineStr">
        <is>
          <t>FUJI</t>
        </is>
      </c>
      <c r="B205" s="20" t="n">
        <v>98147</v>
      </c>
      <c r="C205" s="20" t="n">
        <v>98147</v>
      </c>
      <c r="D205" s="20" t="inlineStr">
        <is>
          <t>0.002490</t>
        </is>
      </c>
      <c r="E205" s="20" t="inlineStr">
        <is>
          <t>0.100 SOL</t>
        </is>
      </c>
      <c r="F205" s="20" t="inlineStr">
        <is>
          <t>0.541 SOL</t>
        </is>
      </c>
      <c r="G205" s="23" t="inlineStr">
        <is>
          <t>0.439 SOL</t>
        </is>
      </c>
      <c r="H205" s="23" t="inlineStr">
        <is>
          <t>428.11%</t>
        </is>
      </c>
      <c r="I205" s="20" t="inlineStr">
        <is>
          <t>N/A</t>
        </is>
      </c>
      <c r="J205" s="20" t="n">
        <v>1</v>
      </c>
      <c r="K205" s="20" t="n">
        <v>2</v>
      </c>
      <c r="L205" s="20" t="inlineStr">
        <is>
          <t>24.10.2024 13:44:39</t>
        </is>
      </c>
      <c r="M205" s="20" t="inlineStr">
        <is>
          <t>22 hours</t>
        </is>
      </c>
      <c r="N205" s="20" t="inlineStr">
        <is>
          <t xml:space="preserve">        179K           179K           233K</t>
        </is>
      </c>
      <c r="O205" s="20" t="inlineStr">
        <is>
          <t>4M79Qjv2Jfjmcq19M41V8QFYohBv2KrgEn9dJhVtpump</t>
        </is>
      </c>
      <c r="P205" s="20">
        <f>HYPERLINK("https://dexscreener.com/solana/4M79Qjv2Jfjmcq19M41V8QFYohBv2KrgEn9dJhVtpump", "View")</f>
        <v/>
      </c>
    </row>
    <row r="206">
      <c r="A206" s="15" t="inlineStr">
        <is>
          <t>edging</t>
        </is>
      </c>
      <c r="B206" s="16" t="n">
        <v>3905718</v>
      </c>
      <c r="C206" s="16" t="n">
        <v>3905718</v>
      </c>
      <c r="D206" s="16" t="inlineStr">
        <is>
          <t>0.002090</t>
        </is>
      </c>
      <c r="E206" s="16" t="inlineStr">
        <is>
          <t>0.100 SOL</t>
        </is>
      </c>
      <c r="F206" s="16" t="inlineStr">
        <is>
          <t>0.081 SOL</t>
        </is>
      </c>
      <c r="G206" s="21" t="inlineStr">
        <is>
          <t>-0.021 SOL</t>
        </is>
      </c>
      <c r="H206" s="21" t="inlineStr">
        <is>
          <t>-20.32%</t>
        </is>
      </c>
      <c r="I206" s="16" t="inlineStr">
        <is>
          <t>N/A</t>
        </is>
      </c>
      <c r="J206" s="16" t="n">
        <v>1</v>
      </c>
      <c r="K206" s="16" t="n">
        <v>1</v>
      </c>
      <c r="L206" s="16" t="inlineStr">
        <is>
          <t>24.10.2024 13:42:54</t>
        </is>
      </c>
      <c r="M206" s="16" t="inlineStr">
        <is>
          <t>16 hours</t>
        </is>
      </c>
      <c r="N206" s="16" t="inlineStr">
        <is>
          <t xml:space="preserve">          5K             5K             4K</t>
        </is>
      </c>
      <c r="O206" s="16" t="inlineStr">
        <is>
          <t>Bp1fjV6quRxetJY8WThXrbUZFbg3y4EeoxUfAzn4pump</t>
        </is>
      </c>
      <c r="P206" s="16">
        <f>HYPERLINK("https://dexscreener.com/solana/Bp1fjV6quRxetJY8WThXrbUZFbg3y4EeoxUfAzn4pump", "View")</f>
        <v/>
      </c>
    </row>
    <row r="207">
      <c r="A207" s="19" t="inlineStr">
        <is>
          <t>flux</t>
        </is>
      </c>
      <c r="B207" s="20" t="n">
        <v>223668</v>
      </c>
      <c r="C207" s="20" t="n">
        <v>0</v>
      </c>
      <c r="D207" s="20" t="inlineStr">
        <is>
          <t>0.008820</t>
        </is>
      </c>
      <c r="E207" s="20" t="inlineStr">
        <is>
          <t>0.100 SOL</t>
        </is>
      </c>
      <c r="F207" s="20" t="inlineStr">
        <is>
          <t>0.000 SOL</t>
        </is>
      </c>
      <c r="G207" s="17" t="inlineStr">
        <is>
          <t>-0.109 SOL</t>
        </is>
      </c>
      <c r="H207" s="17" t="inlineStr">
        <is>
          <t>0.00%</t>
        </is>
      </c>
      <c r="I207" s="20" t="inlineStr">
        <is>
          <t>223,668</t>
        </is>
      </c>
      <c r="J207" s="20" t="n">
        <v>1</v>
      </c>
      <c r="K207" s="20" t="n">
        <v>0</v>
      </c>
      <c r="L207" s="20" t="inlineStr">
        <is>
          <t>24.10.2024 11:28:11</t>
        </is>
      </c>
      <c r="M207" s="18" t="inlineStr">
        <is>
          <t>0 sec</t>
        </is>
      </c>
      <c r="N207" s="20" t="inlineStr">
        <is>
          <t xml:space="preserve">         79K            79K            17K</t>
        </is>
      </c>
      <c r="O207" s="20" t="inlineStr">
        <is>
          <t>3xhDkG9BgTBnwM5D3PACpJxwtmJ1Py9LzpvmkD67pump</t>
        </is>
      </c>
      <c r="P207" s="20">
        <f>HYPERLINK("https://dexscreener.com/solana/3xhDkG9BgTBnwM5D3PACpJxwtmJ1Py9LzpvmkD67pump", "View")</f>
        <v/>
      </c>
    </row>
    <row r="208">
      <c r="A208" s="15" t="inlineStr">
        <is>
          <t>AICATS</t>
        </is>
      </c>
      <c r="B208" s="16" t="n">
        <v>75221</v>
      </c>
      <c r="C208" s="16" t="n">
        <v>0</v>
      </c>
      <c r="D208" s="16" t="inlineStr">
        <is>
          <t>0.001690</t>
        </is>
      </c>
      <c r="E208" s="16" t="inlineStr">
        <is>
          <t>0.100 SOL</t>
        </is>
      </c>
      <c r="F208" s="16" t="inlineStr">
        <is>
          <t>0.000 SOL</t>
        </is>
      </c>
      <c r="G208" s="17" t="inlineStr">
        <is>
          <t>-0.102 SOL</t>
        </is>
      </c>
      <c r="H208" s="17" t="inlineStr">
        <is>
          <t>0.00%</t>
        </is>
      </c>
      <c r="I208" s="16" t="inlineStr">
        <is>
          <t>75,221</t>
        </is>
      </c>
      <c r="J208" s="16" t="n">
        <v>1</v>
      </c>
      <c r="K208" s="16" t="n">
        <v>0</v>
      </c>
      <c r="L208" s="16" t="inlineStr">
        <is>
          <t>24.10.2024 09:25:10</t>
        </is>
      </c>
      <c r="M208" s="18" t="inlineStr">
        <is>
          <t>0 sec</t>
        </is>
      </c>
      <c r="N208" s="16" t="inlineStr">
        <is>
          <t xml:space="preserve">        234K           234K            13K</t>
        </is>
      </c>
      <c r="O208" s="16" t="inlineStr">
        <is>
          <t>wGVjXYciac5tNkq1sPreutUTYwTAkkwxnsLKkjTpump</t>
        </is>
      </c>
      <c r="P208" s="16">
        <f>HYPERLINK("https://dexscreener.com/solana/wGVjXYciac5tNkq1sPreutUTYwTAkkwxnsLKkjTpump", "View")</f>
        <v/>
      </c>
    </row>
    <row r="209">
      <c r="A209" s="19" t="inlineStr">
        <is>
          <t>DEB8</t>
        </is>
      </c>
      <c r="B209" s="20" t="n">
        <v>100018</v>
      </c>
      <c r="C209" s="20" t="n">
        <v>0</v>
      </c>
      <c r="D209" s="20" t="inlineStr">
        <is>
          <t>0.001690</t>
        </is>
      </c>
      <c r="E209" s="20" t="inlineStr">
        <is>
          <t>0.100 SOL</t>
        </is>
      </c>
      <c r="F209" s="20" t="inlineStr">
        <is>
          <t>0.000 SOL</t>
        </is>
      </c>
      <c r="G209" s="17" t="inlineStr">
        <is>
          <t>-0.102 SOL</t>
        </is>
      </c>
      <c r="H209" s="17" t="inlineStr">
        <is>
          <t>0.00%</t>
        </is>
      </c>
      <c r="I209" s="20" t="inlineStr">
        <is>
          <t>100,018</t>
        </is>
      </c>
      <c r="J209" s="20" t="n">
        <v>1</v>
      </c>
      <c r="K209" s="20" t="n">
        <v>0</v>
      </c>
      <c r="L209" s="20" t="inlineStr">
        <is>
          <t>24.10.2024 08:29:17</t>
        </is>
      </c>
      <c r="M209" s="18" t="inlineStr">
        <is>
          <t>0 sec</t>
        </is>
      </c>
      <c r="N209" s="20" t="inlineStr">
        <is>
          <t xml:space="preserve">        176K           176K            10K</t>
        </is>
      </c>
      <c r="O209" s="20" t="inlineStr">
        <is>
          <t>GgThHQDe1BSHCSTpShTMob93PNy1F3jRndUxR4AXpump</t>
        </is>
      </c>
      <c r="P209" s="20">
        <f>HYPERLINK("https://dexscreener.com/solana/GgThHQDe1BSHCSTpShTMob93PNy1F3jRndUxR4AXpump", "View")</f>
        <v/>
      </c>
    </row>
    <row r="210">
      <c r="A210" s="15" t="inlineStr">
        <is>
          <t>PACHAT</t>
        </is>
      </c>
      <c r="B210" s="16" t="n">
        <v>90984</v>
      </c>
      <c r="C210" s="16" t="n">
        <v>90984</v>
      </c>
      <c r="D210" s="16" t="inlineStr">
        <is>
          <t>0.002490</t>
        </is>
      </c>
      <c r="E210" s="16" t="inlineStr">
        <is>
          <t>0.100 SOL</t>
        </is>
      </c>
      <c r="F210" s="16" t="inlineStr">
        <is>
          <t>0.156 SOL</t>
        </is>
      </c>
      <c r="G210" s="23" t="inlineStr">
        <is>
          <t>0.054 SOL</t>
        </is>
      </c>
      <c r="H210" s="23" t="inlineStr">
        <is>
          <t>52.45%</t>
        </is>
      </c>
      <c r="I210" s="16" t="inlineStr">
        <is>
          <t>N/A</t>
        </is>
      </c>
      <c r="J210" s="16" t="n">
        <v>1</v>
      </c>
      <c r="K210" s="16" t="n">
        <v>2</v>
      </c>
      <c r="L210" s="16" t="inlineStr">
        <is>
          <t>24.10.2024 06:50:40</t>
        </is>
      </c>
      <c r="M210" s="16" t="inlineStr">
        <is>
          <t>17 hours</t>
        </is>
      </c>
      <c r="N210" s="16" t="inlineStr">
        <is>
          <t xml:space="preserve">        193K           193K            98K</t>
        </is>
      </c>
      <c r="O210" s="16" t="inlineStr">
        <is>
          <t>BfR85571aW39rkSwLgD5yYHApyijDuNRFSkGuYogpump</t>
        </is>
      </c>
      <c r="P210" s="16">
        <f>HYPERLINK("https://dexscreener.com/solana/BfR85571aW39rkSwLgD5yYHApyijDuNRFSkGuYogpump", "View")</f>
        <v/>
      </c>
    </row>
    <row r="211">
      <c r="A211" s="19" t="inlineStr">
        <is>
          <t>XVI</t>
        </is>
      </c>
      <c r="B211" s="20" t="n">
        <v>69028</v>
      </c>
      <c r="C211" s="20" t="n">
        <v>69028</v>
      </c>
      <c r="D211" s="20" t="inlineStr">
        <is>
          <t>0.002900</t>
        </is>
      </c>
      <c r="E211" s="20" t="inlineStr">
        <is>
          <t>0.100 SOL</t>
        </is>
      </c>
      <c r="F211" s="20" t="inlineStr">
        <is>
          <t>1.247 SOL</t>
        </is>
      </c>
      <c r="G211" s="23" t="inlineStr">
        <is>
          <t>1.144 SOL</t>
        </is>
      </c>
      <c r="H211" s="23" t="inlineStr">
        <is>
          <t>1111.44%</t>
        </is>
      </c>
      <c r="I211" s="20" t="inlineStr">
        <is>
          <t>N/A</t>
        </is>
      </c>
      <c r="J211" s="20" t="n">
        <v>1</v>
      </c>
      <c r="K211" s="20" t="n">
        <v>3</v>
      </c>
      <c r="L211" s="20" t="inlineStr">
        <is>
          <t>24.10.2024 06:21:08</t>
        </is>
      </c>
      <c r="M211" s="20" t="inlineStr">
        <is>
          <t>10 hours</t>
        </is>
      </c>
      <c r="N211" s="20" t="inlineStr">
        <is>
          <t xml:space="preserve">        255K           255K           182K</t>
        </is>
      </c>
      <c r="O211" s="20" t="inlineStr">
        <is>
          <t>HzkBrfPPkqk6mwNNSYhjkw1AkfNZA6zwvKzQMacapump</t>
        </is>
      </c>
      <c r="P211" s="20">
        <f>HYPERLINK("https://dexscreener.com/solana/HzkBrfPPkqk6mwNNSYhjkw1AkfNZA6zwvKzQMacapump", "View")</f>
        <v/>
      </c>
    </row>
    <row r="212">
      <c r="A212" s="15" t="inlineStr">
        <is>
          <t>DOG</t>
        </is>
      </c>
      <c r="B212" s="16" t="n">
        <v>743254</v>
      </c>
      <c r="C212" s="16" t="n">
        <v>0</v>
      </c>
      <c r="D212" s="16" t="inlineStr">
        <is>
          <t>0.000400</t>
        </is>
      </c>
      <c r="E212" s="16" t="inlineStr">
        <is>
          <t>0.099 SOL</t>
        </is>
      </c>
      <c r="F212" s="16" t="inlineStr">
        <is>
          <t>0.000 SOL</t>
        </is>
      </c>
      <c r="G212" s="17" t="inlineStr">
        <is>
          <t>-0.100 SOL</t>
        </is>
      </c>
      <c r="H212" s="17" t="inlineStr">
        <is>
          <t>0.00%</t>
        </is>
      </c>
      <c r="I212" s="16" t="inlineStr">
        <is>
          <t>743,254</t>
        </is>
      </c>
      <c r="J212" s="16" t="n">
        <v>1</v>
      </c>
      <c r="K212" s="16" t="n">
        <v>0</v>
      </c>
      <c r="L212" s="16" t="inlineStr">
        <is>
          <t>23.10.2024 21:26:06</t>
        </is>
      </c>
      <c r="M212" s="18" t="inlineStr">
        <is>
          <t>0 sec</t>
        </is>
      </c>
      <c r="N212" s="16" t="inlineStr">
        <is>
          <t xml:space="preserve">         23K            23K             4K</t>
        </is>
      </c>
      <c r="O212" s="16" t="inlineStr">
        <is>
          <t>BDzC29R4jPSK8zUnkTKvebuzxaw6L6NBkRiMe79upump</t>
        </is>
      </c>
      <c r="P212" s="16">
        <f>HYPERLINK("https://dexscreener.com/solana/BDzC29R4jPSK8zUnkTKvebuzxaw6L6NBkRiMe79upump", "View")</f>
        <v/>
      </c>
    </row>
    <row r="213">
      <c r="A213" s="19" t="inlineStr">
        <is>
          <t xml:space="preserve">FANTASY </t>
        </is>
      </c>
      <c r="B213" s="20" t="n">
        <v>45711</v>
      </c>
      <c r="C213" s="20" t="n">
        <v>0</v>
      </c>
      <c r="D213" s="20" t="inlineStr">
        <is>
          <t>0.000400</t>
        </is>
      </c>
      <c r="E213" s="20" t="inlineStr">
        <is>
          <t>0.099 SOL</t>
        </is>
      </c>
      <c r="F213" s="20" t="inlineStr">
        <is>
          <t>0.000 SOL</t>
        </is>
      </c>
      <c r="G213" s="17" t="inlineStr">
        <is>
          <t>-0.100 SOL</t>
        </is>
      </c>
      <c r="H213" s="17" t="inlineStr">
        <is>
          <t>0.00%</t>
        </is>
      </c>
      <c r="I213" s="20" t="inlineStr">
        <is>
          <t>45,711</t>
        </is>
      </c>
      <c r="J213" s="20" t="n">
        <v>1</v>
      </c>
      <c r="K213" s="20" t="n">
        <v>0</v>
      </c>
      <c r="L213" s="20" t="inlineStr">
        <is>
          <t>23.10.2024 21:09:04</t>
        </is>
      </c>
      <c r="M213" s="18" t="inlineStr">
        <is>
          <t>0 sec</t>
        </is>
      </c>
      <c r="N213" s="20" t="inlineStr">
        <is>
          <t xml:space="preserve">        381K           381K             5K</t>
        </is>
      </c>
      <c r="O213" s="20" t="inlineStr">
        <is>
          <t>45iL1eQLhSoVvuxW6H4F76CjHQXwsiwxgW87ZqRppump</t>
        </is>
      </c>
      <c r="P213" s="20">
        <f>HYPERLINK("https://dexscreener.com/solana/45iL1eQLhSoVvuxW6H4F76CjHQXwsiwxgW87ZqRppump", "View")</f>
        <v/>
      </c>
    </row>
    <row r="214">
      <c r="A214" s="15" t="inlineStr">
        <is>
          <t>TOAD</t>
        </is>
      </c>
      <c r="B214" s="16" t="n">
        <v>21384</v>
      </c>
      <c r="C214" s="16" t="n">
        <v>0</v>
      </c>
      <c r="D214" s="16" t="inlineStr">
        <is>
          <t>0.003000</t>
        </is>
      </c>
      <c r="E214" s="16" t="inlineStr">
        <is>
          <t>0.100 SOL</t>
        </is>
      </c>
      <c r="F214" s="16" t="inlineStr">
        <is>
          <t>0.000 SOL</t>
        </is>
      </c>
      <c r="G214" s="17" t="inlineStr">
        <is>
          <t>-0.103 SOL</t>
        </is>
      </c>
      <c r="H214" s="17" t="inlineStr">
        <is>
          <t>0.00%</t>
        </is>
      </c>
      <c r="I214" s="16" t="inlineStr">
        <is>
          <t>21,384</t>
        </is>
      </c>
      <c r="J214" s="16" t="n">
        <v>1</v>
      </c>
      <c r="K214" s="16" t="n">
        <v>0</v>
      </c>
      <c r="L214" s="16" t="inlineStr">
        <is>
          <t>23.10.2024 20:36:15</t>
        </is>
      </c>
      <c r="M214" s="18" t="inlineStr">
        <is>
          <t>0 sec</t>
        </is>
      </c>
      <c r="N214" s="16" t="inlineStr">
        <is>
          <t xml:space="preserve">        821K           821K             5K</t>
        </is>
      </c>
      <c r="O214" s="16" t="inlineStr">
        <is>
          <t>Ex23Pe7nNihZKZubzaJArM1qwCA7HFYEStkrxr1dpump</t>
        </is>
      </c>
      <c r="P214" s="16">
        <f>HYPERLINK("https://dexscreener.com/solana/Ex23Pe7nNihZKZubzaJArM1qwCA7HFYEStkrxr1dpump", "View")</f>
        <v/>
      </c>
    </row>
    <row r="215">
      <c r="A215" s="19" t="inlineStr">
        <is>
          <t>STARZY</t>
        </is>
      </c>
      <c r="B215" s="20" t="n">
        <v>551017</v>
      </c>
      <c r="C215" s="20" t="n">
        <v>231111</v>
      </c>
      <c r="D215" s="20" t="inlineStr">
        <is>
          <t>0.003300</t>
        </is>
      </c>
      <c r="E215" s="20" t="inlineStr">
        <is>
          <t>0.298 SOL</t>
        </is>
      </c>
      <c r="F215" s="20" t="inlineStr">
        <is>
          <t>0.666 SOL</t>
        </is>
      </c>
      <c r="G215" s="23" t="inlineStr">
        <is>
          <t>0.364 SOL</t>
        </is>
      </c>
      <c r="H215" s="23" t="inlineStr">
        <is>
          <t>120.66%</t>
        </is>
      </c>
      <c r="I215" s="20" t="inlineStr">
        <is>
          <t>N/A</t>
        </is>
      </c>
      <c r="J215" s="20" t="n">
        <v>3</v>
      </c>
      <c r="K215" s="20" t="n">
        <v>2</v>
      </c>
      <c r="L215" s="20" t="inlineStr">
        <is>
          <t>23.10.2024 18:59:40</t>
        </is>
      </c>
      <c r="M215" s="20" t="inlineStr">
        <is>
          <t>44 min</t>
        </is>
      </c>
      <c r="N215" s="20" t="inlineStr">
        <is>
          <t xml:space="preserve">        156K           183K             6K</t>
        </is>
      </c>
      <c r="O215" s="20" t="inlineStr">
        <is>
          <t>ApwHnYXaohxasWhLafDiKKzwkJJApHzphmynFJfKtrp5</t>
        </is>
      </c>
      <c r="P215" s="20">
        <f>HYPERLINK("https://dexscreener.com/solana/ApwHnYXaohxasWhLafDiKKzwkJJApHzphmynFJfKtrp5", "View")</f>
        <v/>
      </c>
    </row>
    <row r="216">
      <c r="A216" s="15" t="inlineStr">
        <is>
          <t>express</t>
        </is>
      </c>
      <c r="B216" s="16" t="n">
        <v>129374</v>
      </c>
      <c r="C216" s="16" t="n">
        <v>0</v>
      </c>
      <c r="D216" s="16" t="inlineStr">
        <is>
          <t>0.001690</t>
        </is>
      </c>
      <c r="E216" s="16" t="inlineStr">
        <is>
          <t>0.100 SOL</t>
        </is>
      </c>
      <c r="F216" s="16" t="inlineStr">
        <is>
          <t>0.000 SOL</t>
        </is>
      </c>
      <c r="G216" s="17" t="inlineStr">
        <is>
          <t>-0.102 SOL</t>
        </is>
      </c>
      <c r="H216" s="17" t="inlineStr">
        <is>
          <t>0.00%</t>
        </is>
      </c>
      <c r="I216" s="16" t="inlineStr">
        <is>
          <t>129,374</t>
        </is>
      </c>
      <c r="J216" s="16" t="n">
        <v>1</v>
      </c>
      <c r="K216" s="16" t="n">
        <v>0</v>
      </c>
      <c r="L216" s="16" t="inlineStr">
        <is>
          <t>23.10.2024 18:55:18</t>
        </is>
      </c>
      <c r="M216" s="18" t="inlineStr">
        <is>
          <t>0 sec</t>
        </is>
      </c>
      <c r="N216" s="16" t="inlineStr">
        <is>
          <t xml:space="preserve">        135K           135K             6K</t>
        </is>
      </c>
      <c r="O216" s="16" t="inlineStr">
        <is>
          <t>95H2EDxSvP2AFP7kHtu1BPRH1MHmnxrSTpz71Xcopump</t>
        </is>
      </c>
      <c r="P216" s="16">
        <f>HYPERLINK("https://dexscreener.com/solana/95H2EDxSvP2AFP7kHtu1BPRH1MHmnxrSTpz71Xcopump", "View")</f>
        <v/>
      </c>
    </row>
    <row r="217">
      <c r="A217" s="19" t="inlineStr">
        <is>
          <t>ADAMUS</t>
        </is>
      </c>
      <c r="B217" s="20" t="n">
        <v>139500</v>
      </c>
      <c r="C217" s="20" t="n">
        <v>0</v>
      </c>
      <c r="D217" s="20" t="inlineStr">
        <is>
          <t>0.001690</t>
        </is>
      </c>
      <c r="E217" s="20" t="inlineStr">
        <is>
          <t>0.100 SOL</t>
        </is>
      </c>
      <c r="F217" s="20" t="inlineStr">
        <is>
          <t>0.000 SOL</t>
        </is>
      </c>
      <c r="G217" s="17" t="inlineStr">
        <is>
          <t>-0.102 SOL</t>
        </is>
      </c>
      <c r="H217" s="17" t="inlineStr">
        <is>
          <t>0.00%</t>
        </is>
      </c>
      <c r="I217" s="20" t="inlineStr">
        <is>
          <t>139,500</t>
        </is>
      </c>
      <c r="J217" s="20" t="n">
        <v>1</v>
      </c>
      <c r="K217" s="20" t="n">
        <v>0</v>
      </c>
      <c r="L217" s="20" t="inlineStr">
        <is>
          <t>23.10.2024 15:37:07</t>
        </is>
      </c>
      <c r="M217" s="18" t="inlineStr">
        <is>
          <t>0 sec</t>
        </is>
      </c>
      <c r="N217" s="20" t="inlineStr">
        <is>
          <t xml:space="preserve">        126K           126K             6K</t>
        </is>
      </c>
      <c r="O217" s="20" t="inlineStr">
        <is>
          <t>APJ7czsvGC49vFY5c1BUSew9opjr7YSfcUjtUZFTpump</t>
        </is>
      </c>
      <c r="P217" s="20">
        <f>HYPERLINK("https://dexscreener.com/solana/APJ7czsvGC49vFY5c1BUSew9opjr7YSfcUjtUZFTpump", "View")</f>
        <v/>
      </c>
    </row>
    <row r="218">
      <c r="A218" s="15" t="inlineStr">
        <is>
          <t>SHAR</t>
        </is>
      </c>
      <c r="B218" s="16" t="n">
        <v>384</v>
      </c>
      <c r="C218" s="16" t="n">
        <v>0</v>
      </c>
      <c r="D218" s="16" t="inlineStr">
        <is>
          <t>0.001690</t>
        </is>
      </c>
      <c r="E218" s="16" t="inlineStr">
        <is>
          <t>0.100 SOL</t>
        </is>
      </c>
      <c r="F218" s="16" t="inlineStr">
        <is>
          <t>0.000 SOL</t>
        </is>
      </c>
      <c r="G218" s="17" t="inlineStr">
        <is>
          <t>-0.102 SOL</t>
        </is>
      </c>
      <c r="H218" s="17" t="inlineStr">
        <is>
          <t>0.00%</t>
        </is>
      </c>
      <c r="I218" s="16" t="inlineStr">
        <is>
          <t>384</t>
        </is>
      </c>
      <c r="J218" s="16" t="n">
        <v>1</v>
      </c>
      <c r="K218" s="16" t="n">
        <v>0</v>
      </c>
      <c r="L218" s="16" t="inlineStr">
        <is>
          <t>23.10.2024 15:03:25</t>
        </is>
      </c>
      <c r="M218" s="18" t="inlineStr">
        <is>
          <t>0 sec</t>
        </is>
      </c>
      <c r="N218" s="16" t="inlineStr">
        <is>
          <t xml:space="preserve">         41M            41M           959K</t>
        </is>
      </c>
      <c r="O218" s="16" t="inlineStr">
        <is>
          <t>9jZgvgS2bWtQiYzv48GcWzY4tnkeRSANbTm8Kp1LmSyS</t>
        </is>
      </c>
      <c r="P218" s="16">
        <f>HYPERLINK("https://dexscreener.com/solana/9jZgvgS2bWtQiYzv48GcWzY4tnkeRSANbTm8Kp1LmSyS", "View")</f>
        <v/>
      </c>
    </row>
    <row r="219">
      <c r="A219" s="19" t="inlineStr">
        <is>
          <t>LITE</t>
        </is>
      </c>
      <c r="B219" s="20" t="n">
        <v>144574</v>
      </c>
      <c r="C219" s="20" t="n">
        <v>72287</v>
      </c>
      <c r="D219" s="20" t="inlineStr">
        <is>
          <t>0.002090</t>
        </is>
      </c>
      <c r="E219" s="20" t="inlineStr">
        <is>
          <t>0.100 SOL</t>
        </is>
      </c>
      <c r="F219" s="20" t="inlineStr">
        <is>
          <t>0.120 SOL</t>
        </is>
      </c>
      <c r="G219" s="22" t="inlineStr">
        <is>
          <t>0.018 SOL</t>
        </is>
      </c>
      <c r="H219" s="22" t="inlineStr">
        <is>
          <t>17.97%</t>
        </is>
      </c>
      <c r="I219" s="20" t="inlineStr">
        <is>
          <t>N/A</t>
        </is>
      </c>
      <c r="J219" s="20" t="n">
        <v>1</v>
      </c>
      <c r="K219" s="20" t="n">
        <v>1</v>
      </c>
      <c r="L219" s="20" t="inlineStr">
        <is>
          <t>23.10.2024 12:52:01</t>
        </is>
      </c>
      <c r="M219" s="20" t="inlineStr">
        <is>
          <t>5 hours</t>
        </is>
      </c>
      <c r="N219" s="20" t="inlineStr">
        <is>
          <t xml:space="preserve">         76K            76K            29K</t>
        </is>
      </c>
      <c r="O219" s="20" t="inlineStr">
        <is>
          <t>2BBEjW3bh3Z9vZhNu6CCw121owqWquc1KWNorFG9pump</t>
        </is>
      </c>
      <c r="P219" s="20">
        <f>HYPERLINK("https://dexscreener.com/solana/2BBEjW3bh3Z9vZhNu6CCw121owqWquc1KWNorFG9pump", "View")</f>
        <v/>
      </c>
    </row>
    <row r="220">
      <c r="A220" s="15" t="inlineStr">
        <is>
          <t>kHOLE</t>
        </is>
      </c>
      <c r="B220" s="16" t="n">
        <v>447193</v>
      </c>
      <c r="C220" s="16" t="n">
        <v>0</v>
      </c>
      <c r="D220" s="16" t="inlineStr">
        <is>
          <t>0.001690</t>
        </is>
      </c>
      <c r="E220" s="16" t="inlineStr">
        <is>
          <t>0.150 SOL</t>
        </is>
      </c>
      <c r="F220" s="16" t="inlineStr">
        <is>
          <t>0.000 SOL</t>
        </is>
      </c>
      <c r="G220" s="17" t="inlineStr">
        <is>
          <t>-0.152 SOL</t>
        </is>
      </c>
      <c r="H220" s="17" t="inlineStr">
        <is>
          <t>0.00%</t>
        </is>
      </c>
      <c r="I220" s="16" t="inlineStr">
        <is>
          <t>447,193</t>
        </is>
      </c>
      <c r="J220" s="16" t="n">
        <v>1</v>
      </c>
      <c r="K220" s="16" t="n">
        <v>0</v>
      </c>
      <c r="L220" s="16" t="inlineStr">
        <is>
          <t>23.10.2024 06:47:58</t>
        </is>
      </c>
      <c r="M220" s="18" t="inlineStr">
        <is>
          <t>0 sec</t>
        </is>
      </c>
      <c r="N220" s="16" t="inlineStr">
        <is>
          <t xml:space="preserve">         60K            60K             3K</t>
        </is>
      </c>
      <c r="O220" s="16" t="inlineStr">
        <is>
          <t>BsF4qB8Lz8qzFH79XA8JMXeU7NmSH9LPzKDXkmazpump</t>
        </is>
      </c>
      <c r="P220" s="16">
        <f>HYPERLINK("https://dexscreener.com/solana/BsF4qB8Lz8qzFH79XA8JMXeU7NmSH9LPzKDXkmazpump", "View")</f>
        <v/>
      </c>
    </row>
    <row r="221">
      <c r="A221" s="19" t="inlineStr">
        <is>
          <t>GFAi</t>
        </is>
      </c>
      <c r="B221" s="20" t="n">
        <v>439813</v>
      </c>
      <c r="C221" s="20" t="n">
        <v>0</v>
      </c>
      <c r="D221" s="20" t="inlineStr">
        <is>
          <t>0.001690</t>
        </is>
      </c>
      <c r="E221" s="20" t="inlineStr">
        <is>
          <t>0.100 SOL</t>
        </is>
      </c>
      <c r="F221" s="20" t="inlineStr">
        <is>
          <t>0.000 SOL</t>
        </is>
      </c>
      <c r="G221" s="17" t="inlineStr">
        <is>
          <t>-0.102 SOL</t>
        </is>
      </c>
      <c r="H221" s="17" t="inlineStr">
        <is>
          <t>0.00%</t>
        </is>
      </c>
      <c r="I221" s="20" t="inlineStr">
        <is>
          <t>439,813</t>
        </is>
      </c>
      <c r="J221" s="20" t="n">
        <v>1</v>
      </c>
      <c r="K221" s="20" t="n">
        <v>0</v>
      </c>
      <c r="L221" s="20" t="inlineStr">
        <is>
          <t>23.10.2024 05:21:59</t>
        </is>
      </c>
      <c r="M221" s="18" t="inlineStr">
        <is>
          <t>0 sec</t>
        </is>
      </c>
      <c r="N221" s="20" t="inlineStr">
        <is>
          <t xml:space="preserve">         40K            40K             4K</t>
        </is>
      </c>
      <c r="O221" s="20" t="inlineStr">
        <is>
          <t>57Nf8xLJD8cmAfHaRdajjw4rczBp22jnoivbocfgpump</t>
        </is>
      </c>
      <c r="P221" s="20">
        <f>HYPERLINK("https://dexscreener.com/solana/57Nf8xLJD8cmAfHaRdajjw4rczBp22jnoivbocfgpump", "View")</f>
        <v/>
      </c>
    </row>
    <row r="222">
      <c r="A222" s="15" t="inlineStr">
        <is>
          <t>Omnira</t>
        </is>
      </c>
      <c r="B222" s="16" t="n">
        <v>221201</v>
      </c>
      <c r="C222" s="16" t="n">
        <v>0</v>
      </c>
      <c r="D222" s="16" t="inlineStr">
        <is>
          <t>0.001690</t>
        </is>
      </c>
      <c r="E222" s="16" t="inlineStr">
        <is>
          <t>0.150 SOL</t>
        </is>
      </c>
      <c r="F222" s="16" t="inlineStr">
        <is>
          <t>0.000 SOL</t>
        </is>
      </c>
      <c r="G222" s="17" t="inlineStr">
        <is>
          <t>-0.152 SOL</t>
        </is>
      </c>
      <c r="H222" s="17" t="inlineStr">
        <is>
          <t>0.00%</t>
        </is>
      </c>
      <c r="I222" s="16" t="inlineStr">
        <is>
          <t>221,201</t>
        </is>
      </c>
      <c r="J222" s="16" t="n">
        <v>1</v>
      </c>
      <c r="K222" s="16" t="n">
        <v>0</v>
      </c>
      <c r="L222" s="16" t="inlineStr">
        <is>
          <t>23.10.2024 05:01:18</t>
        </is>
      </c>
      <c r="M222" s="18" t="inlineStr">
        <is>
          <t>0 sec</t>
        </is>
      </c>
      <c r="N222" s="16" t="inlineStr">
        <is>
          <t xml:space="preserve">        100K           100K             5K</t>
        </is>
      </c>
      <c r="O222" s="16" t="inlineStr">
        <is>
          <t>DDdFK7UTz8ZFR5AZhgfmCAUPo9ATZk4HdMxnGyjVpump</t>
        </is>
      </c>
      <c r="P222" s="16">
        <f>HYPERLINK("https://dexscreener.com/solana/DDdFK7UTz8ZFR5AZhgfmCAUPo9ATZk4HdMxnGyjVpump", "View")</f>
        <v/>
      </c>
    </row>
    <row r="223">
      <c r="A223" s="19" t="inlineStr">
        <is>
          <t>ROI</t>
        </is>
      </c>
      <c r="B223" s="20" t="n">
        <v>102281</v>
      </c>
      <c r="C223" s="20" t="n">
        <v>102281</v>
      </c>
      <c r="D223" s="20" t="inlineStr">
        <is>
          <t>0.000970</t>
        </is>
      </c>
      <c r="E223" s="20" t="inlineStr">
        <is>
          <t>0.100 SOL</t>
        </is>
      </c>
      <c r="F223" s="20" t="inlineStr">
        <is>
          <t>0.154 SOL</t>
        </is>
      </c>
      <c r="G223" s="23" t="inlineStr">
        <is>
          <t>0.053 SOL</t>
        </is>
      </c>
      <c r="H223" s="23" t="inlineStr">
        <is>
          <t>52.83%</t>
        </is>
      </c>
      <c r="I223" s="20" t="inlineStr">
        <is>
          <t>N/A</t>
        </is>
      </c>
      <c r="J223" s="20" t="n">
        <v>1</v>
      </c>
      <c r="K223" s="20" t="n">
        <v>1</v>
      </c>
      <c r="L223" s="20" t="inlineStr">
        <is>
          <t>22.10.2024 21:22:37</t>
        </is>
      </c>
      <c r="M223" s="20" t="inlineStr">
        <is>
          <t>4 days</t>
        </is>
      </c>
      <c r="N223" s="20" t="inlineStr">
        <is>
          <t xml:space="preserve">        172K           172K           182K</t>
        </is>
      </c>
      <c r="O223" s="20" t="inlineStr">
        <is>
          <t>xeq8wHPsiZyyz7HbHzzbhSjSBybWtM1bG3ptga4pump</t>
        </is>
      </c>
      <c r="P223" s="20">
        <f>HYPERLINK("https://dexscreener.com/solana/xeq8wHPsiZyyz7HbHzzbhSjSBybWtM1bG3ptga4pump", "View")</f>
        <v/>
      </c>
    </row>
    <row r="224">
      <c r="A224" s="15" t="inlineStr">
        <is>
          <t>addy</t>
        </is>
      </c>
      <c r="B224" s="16" t="n">
        <v>252341</v>
      </c>
      <c r="C224" s="16" t="n">
        <v>0</v>
      </c>
      <c r="D224" s="16" t="inlineStr">
        <is>
          <t>0.001690</t>
        </is>
      </c>
      <c r="E224" s="16" t="inlineStr">
        <is>
          <t>0.150 SOL</t>
        </is>
      </c>
      <c r="F224" s="16" t="inlineStr">
        <is>
          <t>0.000 SOL</t>
        </is>
      </c>
      <c r="G224" s="17" t="inlineStr">
        <is>
          <t>-0.152 SOL</t>
        </is>
      </c>
      <c r="H224" s="17" t="inlineStr">
        <is>
          <t>0.00%</t>
        </is>
      </c>
      <c r="I224" s="16" t="inlineStr">
        <is>
          <t>252,341</t>
        </is>
      </c>
      <c r="J224" s="16" t="n">
        <v>1</v>
      </c>
      <c r="K224" s="16" t="n">
        <v>0</v>
      </c>
      <c r="L224" s="16" t="inlineStr">
        <is>
          <t>22.10.2024 21:16:23</t>
        </is>
      </c>
      <c r="M224" s="18" t="inlineStr">
        <is>
          <t>0 sec</t>
        </is>
      </c>
      <c r="N224" s="16" t="inlineStr">
        <is>
          <t xml:space="preserve">        102K           102K             4K</t>
        </is>
      </c>
      <c r="O224" s="16" t="inlineStr">
        <is>
          <t>Dffnpwv6NWrSvYwL6kncR8TYipgmqNfVz3TPtijTpump</t>
        </is>
      </c>
      <c r="P224" s="16">
        <f>HYPERLINK("https://dexscreener.com/solana/Dffnpwv6NWrSvYwL6kncR8TYipgmqNfVz3TPtijTpump", "View")</f>
        <v/>
      </c>
    </row>
    <row r="225">
      <c r="A225" s="19" t="inlineStr">
        <is>
          <t>Nick.exe</t>
        </is>
      </c>
      <c r="B225" s="20" t="n">
        <v>377272</v>
      </c>
      <c r="C225" s="20" t="n">
        <v>0</v>
      </c>
      <c r="D225" s="20" t="inlineStr">
        <is>
          <t>0.001690</t>
        </is>
      </c>
      <c r="E225" s="20" t="inlineStr">
        <is>
          <t>0.150 SOL</t>
        </is>
      </c>
      <c r="F225" s="20" t="inlineStr">
        <is>
          <t>0.000 SOL</t>
        </is>
      </c>
      <c r="G225" s="17" t="inlineStr">
        <is>
          <t>-0.152 SOL</t>
        </is>
      </c>
      <c r="H225" s="17" t="inlineStr">
        <is>
          <t>0.00%</t>
        </is>
      </c>
      <c r="I225" s="20" t="inlineStr">
        <is>
          <t>377,272</t>
        </is>
      </c>
      <c r="J225" s="20" t="n">
        <v>1</v>
      </c>
      <c r="K225" s="20" t="n">
        <v>0</v>
      </c>
      <c r="L225" s="20" t="inlineStr">
        <is>
          <t>22.10.2024 21:15:47</t>
        </is>
      </c>
      <c r="M225" s="18" t="inlineStr">
        <is>
          <t>0 sec</t>
        </is>
      </c>
      <c r="N225" s="20" t="inlineStr">
        <is>
          <t xml:space="preserve">         70K            70K             9K</t>
        </is>
      </c>
      <c r="O225" s="20" t="inlineStr">
        <is>
          <t>CYs9m7dqtdpnkScttBrU95bEzytQNKYesH4WtuPjpump</t>
        </is>
      </c>
      <c r="P225" s="20">
        <f>HYPERLINK("https://dexscreener.com/solana/CYs9m7dqtdpnkScttBrU95bEzytQNKYesH4WtuPjpump", "View")</f>
        <v/>
      </c>
    </row>
    <row r="226">
      <c r="A226" s="15" t="inlineStr">
        <is>
          <t>OMNI</t>
        </is>
      </c>
      <c r="B226" s="16" t="n">
        <v>224268</v>
      </c>
      <c r="C226" s="16" t="n">
        <v>224268</v>
      </c>
      <c r="D226" s="16" t="inlineStr">
        <is>
          <t>0.000810</t>
        </is>
      </c>
      <c r="E226" s="16" t="inlineStr">
        <is>
          <t>0.149 SOL</t>
        </is>
      </c>
      <c r="F226" s="16" t="inlineStr">
        <is>
          <t>0.491 SOL</t>
        </is>
      </c>
      <c r="G226" s="23" t="inlineStr">
        <is>
          <t>0.342 SOL</t>
        </is>
      </c>
      <c r="H226" s="23" t="inlineStr">
        <is>
          <t>228.43%</t>
        </is>
      </c>
      <c r="I226" s="16" t="inlineStr">
        <is>
          <t>N/A</t>
        </is>
      </c>
      <c r="J226" s="16" t="n">
        <v>1</v>
      </c>
      <c r="K226" s="16" t="n">
        <v>1</v>
      </c>
      <c r="L226" s="16" t="inlineStr">
        <is>
          <t>22.10.2024 21:11:14</t>
        </is>
      </c>
      <c r="M226" s="16" t="inlineStr">
        <is>
          <t>6 min</t>
        </is>
      </c>
      <c r="N226" s="16" t="inlineStr">
        <is>
          <t xml:space="preserve">        116K           384K             7K</t>
        </is>
      </c>
      <c r="O226" s="16" t="inlineStr">
        <is>
          <t>71ZaewQ9qJ1rJRqwPj9t4sxSZCpdPnbfmK82VQ6mpump</t>
        </is>
      </c>
      <c r="P226" s="16">
        <f>HYPERLINK("https://dexscreener.com/solana/71ZaewQ9qJ1rJRqwPj9t4sxSZCpdPnbfmK82VQ6mpump", "View")</f>
        <v/>
      </c>
    </row>
    <row r="227">
      <c r="A227" s="19" t="inlineStr">
        <is>
          <t>LYNX</t>
        </is>
      </c>
      <c r="B227" s="20" t="n">
        <v>214077</v>
      </c>
      <c r="C227" s="20" t="n">
        <v>0</v>
      </c>
      <c r="D227" s="20" t="inlineStr">
        <is>
          <t>0.000400</t>
        </is>
      </c>
      <c r="E227" s="20" t="inlineStr">
        <is>
          <t>0.149 SOL</t>
        </is>
      </c>
      <c r="F227" s="20" t="inlineStr">
        <is>
          <t>0.000 SOL</t>
        </is>
      </c>
      <c r="G227" s="17" t="inlineStr">
        <is>
          <t>-0.149 SOL</t>
        </is>
      </c>
      <c r="H227" s="17" t="inlineStr">
        <is>
          <t>0.00%</t>
        </is>
      </c>
      <c r="I227" s="20" t="inlineStr">
        <is>
          <t>214,077</t>
        </is>
      </c>
      <c r="J227" s="20" t="n">
        <v>1</v>
      </c>
      <c r="K227" s="20" t="n">
        <v>0</v>
      </c>
      <c r="L227" s="20" t="inlineStr">
        <is>
          <t>22.10.2024 20:56:58</t>
        </is>
      </c>
      <c r="M227" s="18" t="inlineStr">
        <is>
          <t>0 sec</t>
        </is>
      </c>
      <c r="N227" s="20" t="inlineStr">
        <is>
          <t xml:space="preserve">        121K           121K             4K</t>
        </is>
      </c>
      <c r="O227" s="20" t="inlineStr">
        <is>
          <t>3CUs72VJXLn3yg89eJpEdkMLty84bHvjZyV8aR3Vpump</t>
        </is>
      </c>
      <c r="P227" s="20">
        <f>HYPERLINK("https://dexscreener.com/solana/3CUs72VJXLn3yg89eJpEdkMLty84bHvjZyV8aR3Vpump", "View")</f>
        <v/>
      </c>
    </row>
    <row r="228">
      <c r="A228" s="15" t="inlineStr">
        <is>
          <t>WORLD</t>
        </is>
      </c>
      <c r="B228" s="16" t="n">
        <v>3831891</v>
      </c>
      <c r="C228" s="16" t="n">
        <v>3831891</v>
      </c>
      <c r="D228" s="16" t="inlineStr">
        <is>
          <t>0.002880</t>
        </is>
      </c>
      <c r="E228" s="16" t="inlineStr">
        <is>
          <t>0.100 SOL</t>
        </is>
      </c>
      <c r="F228" s="16" t="inlineStr">
        <is>
          <t>0.073 SOL</t>
        </is>
      </c>
      <c r="G228" s="21" t="inlineStr">
        <is>
          <t>-0.030 SOL</t>
        </is>
      </c>
      <c r="H228" s="21" t="inlineStr">
        <is>
          <t>-29.40%</t>
        </is>
      </c>
      <c r="I228" s="16" t="inlineStr">
        <is>
          <t>N/A</t>
        </is>
      </c>
      <c r="J228" s="16" t="n">
        <v>1</v>
      </c>
      <c r="K228" s="16" t="n">
        <v>1</v>
      </c>
      <c r="L228" s="16" t="inlineStr">
        <is>
          <t>22.10.2024 20:50:23</t>
        </is>
      </c>
      <c r="M228" s="16" t="inlineStr">
        <is>
          <t>9 days</t>
        </is>
      </c>
      <c r="N228" s="16" t="inlineStr">
        <is>
          <t xml:space="preserve">          5K             5K             3K</t>
        </is>
      </c>
      <c r="O228" s="16" t="inlineStr">
        <is>
          <t>9rHnvA8uTFtvgtC5zYWqvZHBSYAiL2WDnQLMUm2hpump</t>
        </is>
      </c>
      <c r="P228" s="16">
        <f>HYPERLINK("https://dexscreener.com/solana/9rHnvA8uTFtvgtC5zYWqvZHBSYAiL2WDnQLMUm2hpump", "View")</f>
        <v/>
      </c>
    </row>
    <row r="229">
      <c r="A229" s="19" t="inlineStr">
        <is>
          <t>SDW</t>
        </is>
      </c>
      <c r="B229" s="20" t="n">
        <v>1475142</v>
      </c>
      <c r="C229" s="20" t="n">
        <v>1475142</v>
      </c>
      <c r="D229" s="20" t="inlineStr">
        <is>
          <t>0.000970</t>
        </is>
      </c>
      <c r="E229" s="20" t="inlineStr">
        <is>
          <t>0.250 SOL</t>
        </is>
      </c>
      <c r="F229" s="20" t="inlineStr">
        <is>
          <t>0.043 SOL</t>
        </is>
      </c>
      <c r="G229" s="24" t="inlineStr">
        <is>
          <t>-0.208 SOL</t>
        </is>
      </c>
      <c r="H229" s="24" t="inlineStr">
        <is>
          <t>-82.89%</t>
        </is>
      </c>
      <c r="I229" s="20" t="inlineStr">
        <is>
          <t>N/A</t>
        </is>
      </c>
      <c r="J229" s="20" t="n">
        <v>1</v>
      </c>
      <c r="K229" s="20" t="n">
        <v>1</v>
      </c>
      <c r="L229" s="20" t="inlineStr">
        <is>
          <t>22.10.2024 20:48:57</t>
        </is>
      </c>
      <c r="M229" s="20" t="inlineStr">
        <is>
          <t>6 days</t>
        </is>
      </c>
      <c r="N229" s="20" t="inlineStr">
        <is>
          <t xml:space="preserve">         30K            30K             5K</t>
        </is>
      </c>
      <c r="O229" s="20" t="inlineStr">
        <is>
          <t>1349UD812XCjYGKKCeBxE8kducSHjkF8K2vv9BeBpump</t>
        </is>
      </c>
      <c r="P229" s="20">
        <f>HYPERLINK("https://dexscreener.com/solana/1349UD812XCjYGKKCeBxE8kducSHjkF8K2vv9BeBpump", "View")</f>
        <v/>
      </c>
    </row>
    <row r="230">
      <c r="A230" s="15" t="inlineStr">
        <is>
          <t>VAGABOND</t>
        </is>
      </c>
      <c r="B230" s="16" t="n">
        <v>4754378</v>
      </c>
      <c r="C230" s="16" t="n">
        <v>4754378</v>
      </c>
      <c r="D230" s="16" t="inlineStr">
        <is>
          <t>0.000830</t>
        </is>
      </c>
      <c r="E230" s="16" t="inlineStr">
        <is>
          <t>0.100 SOL</t>
        </is>
      </c>
      <c r="F230" s="16" t="inlineStr">
        <is>
          <t>0.095 SOL</t>
        </is>
      </c>
      <c r="G230" s="21" t="inlineStr">
        <is>
          <t>-0.006 SOL</t>
        </is>
      </c>
      <c r="H230" s="21" t="inlineStr">
        <is>
          <t>-5.63%</t>
        </is>
      </c>
      <c r="I230" s="16" t="inlineStr">
        <is>
          <t>N/A</t>
        </is>
      </c>
      <c r="J230" s="16" t="n">
        <v>1</v>
      </c>
      <c r="K230" s="16" t="n">
        <v>1</v>
      </c>
      <c r="L230" s="16" t="inlineStr">
        <is>
          <t>22.10.2024 20:46:06</t>
        </is>
      </c>
      <c r="M230" s="16" t="inlineStr">
        <is>
          <t>9 days</t>
        </is>
      </c>
      <c r="N230" s="16" t="inlineStr">
        <is>
          <t xml:space="preserve">          3K             3K             3K</t>
        </is>
      </c>
      <c r="O230" s="16" t="inlineStr">
        <is>
          <t>E3pAiPcTsR1evE9BSNyhrzQnazTmFSfriGEKzXycpump</t>
        </is>
      </c>
      <c r="P230" s="16">
        <f>HYPERLINK("https://dexscreener.com/solana/E3pAiPcTsR1evE9BSNyhrzQnazTmFSfriGEKzXycpump", "View")</f>
        <v/>
      </c>
    </row>
    <row r="231">
      <c r="A231" s="19" t="inlineStr">
        <is>
          <t>MYTH</t>
        </is>
      </c>
      <c r="B231" s="20" t="n">
        <v>7457188</v>
      </c>
      <c r="C231" s="20" t="n">
        <v>7457188</v>
      </c>
      <c r="D231" s="20" t="inlineStr">
        <is>
          <t>0.001000</t>
        </is>
      </c>
      <c r="E231" s="20" t="inlineStr">
        <is>
          <t>0.299 SOL</t>
        </is>
      </c>
      <c r="F231" s="20" t="inlineStr">
        <is>
          <t>0.149 SOL</t>
        </is>
      </c>
      <c r="G231" s="24" t="inlineStr">
        <is>
          <t>-0.151 SOL</t>
        </is>
      </c>
      <c r="H231" s="24" t="inlineStr">
        <is>
          <t>-50.36%</t>
        </is>
      </c>
      <c r="I231" s="20" t="inlineStr">
        <is>
          <t>N/A</t>
        </is>
      </c>
      <c r="J231" s="20" t="n">
        <v>2</v>
      </c>
      <c r="K231" s="20" t="n">
        <v>1</v>
      </c>
      <c r="L231" s="20" t="inlineStr">
        <is>
          <t>22.10.2024 20:44:50</t>
        </is>
      </c>
      <c r="M231" s="20" t="inlineStr">
        <is>
          <t>4 days</t>
        </is>
      </c>
      <c r="N231" s="20" t="inlineStr">
        <is>
          <t xml:space="preserve">          7K             7K             3K</t>
        </is>
      </c>
      <c r="O231" s="20" t="inlineStr">
        <is>
          <t>6qLPDSJwhSu9Y4WRUAggGc6bBAJ9BLxUU62JRFhpump</t>
        </is>
      </c>
      <c r="P231" s="20">
        <f>HYPERLINK("https://dexscreener.com/solana/6qLPDSJwhSu9Y4WRUAggGc6bBAJ9BLxUU62JRFhpump", "View")</f>
        <v/>
      </c>
    </row>
    <row r="232">
      <c r="A232" s="15" t="inlineStr">
        <is>
          <t>$ANDY70B$</t>
        </is>
      </c>
      <c r="B232" s="16" t="n">
        <v>127183</v>
      </c>
      <c r="C232" s="16" t="n">
        <v>127183</v>
      </c>
      <c r="D232" s="16" t="inlineStr">
        <is>
          <t>0.000970</t>
        </is>
      </c>
      <c r="E232" s="16" t="inlineStr">
        <is>
          <t>0.150 SOL</t>
        </is>
      </c>
      <c r="F232" s="16" t="inlineStr">
        <is>
          <t>0.271 SOL</t>
        </is>
      </c>
      <c r="G232" s="23" t="inlineStr">
        <is>
          <t>0.120 SOL</t>
        </is>
      </c>
      <c r="H232" s="23" t="inlineStr">
        <is>
          <t>79.80%</t>
        </is>
      </c>
      <c r="I232" s="16" t="inlineStr">
        <is>
          <t>N/A</t>
        </is>
      </c>
      <c r="J232" s="16" t="n">
        <v>1</v>
      </c>
      <c r="K232" s="16" t="n">
        <v>1</v>
      </c>
      <c r="L232" s="16" t="inlineStr">
        <is>
          <t>22.10.2024 20:43:00</t>
        </is>
      </c>
      <c r="M232" s="16" t="inlineStr">
        <is>
          <t>3 days</t>
        </is>
      </c>
      <c r="N232" s="16" t="inlineStr">
        <is>
          <t xml:space="preserve">        207K           207K            83K</t>
        </is>
      </c>
      <c r="O232" s="16" t="inlineStr">
        <is>
          <t>3JXq16mWyo1uboEK9QCGcjjgCB3DXKWWcF1yySC7pump</t>
        </is>
      </c>
      <c r="P232" s="16">
        <f>HYPERLINK("https://dexscreener.com/solana/3JXq16mWyo1uboEK9QCGcjjgCB3DXKWWcF1yySC7pump", "View")</f>
        <v/>
      </c>
    </row>
    <row r="233">
      <c r="A233" s="19" t="inlineStr">
        <is>
          <t>GB</t>
        </is>
      </c>
      <c r="B233" s="20" t="n">
        <v>554818</v>
      </c>
      <c r="C233" s="20" t="n">
        <v>0</v>
      </c>
      <c r="D233" s="20" t="inlineStr">
        <is>
          <t>0.000400</t>
        </is>
      </c>
      <c r="E233" s="20" t="inlineStr">
        <is>
          <t>0.149 SOL</t>
        </is>
      </c>
      <c r="F233" s="20" t="inlineStr">
        <is>
          <t>0.000 SOL</t>
        </is>
      </c>
      <c r="G233" s="17" t="inlineStr">
        <is>
          <t>-0.149 SOL</t>
        </is>
      </c>
      <c r="H233" s="17" t="inlineStr">
        <is>
          <t>0.00%</t>
        </is>
      </c>
      <c r="I233" s="20" t="inlineStr">
        <is>
          <t>554,818</t>
        </is>
      </c>
      <c r="J233" s="20" t="n">
        <v>1</v>
      </c>
      <c r="K233" s="20" t="n">
        <v>0</v>
      </c>
      <c r="L233" s="20" t="inlineStr">
        <is>
          <t>22.10.2024 20:42:09</t>
        </is>
      </c>
      <c r="M233" s="18" t="inlineStr">
        <is>
          <t>0 sec</t>
        </is>
      </c>
      <c r="N233" s="20" t="inlineStr">
        <is>
          <t xml:space="preserve">         47K            47K             5K</t>
        </is>
      </c>
      <c r="O233" s="20" t="inlineStr">
        <is>
          <t>GHpjHCPfG6jUKFQ8sFbNegTt6YBJxhSGDX4HHyW9pump</t>
        </is>
      </c>
      <c r="P233" s="20">
        <f>HYPERLINK("https://dexscreener.com/solana/GHpjHCPfG6jUKFQ8sFbNegTt6YBJxhSGDX4HHyW9pump", "View")</f>
        <v/>
      </c>
    </row>
    <row r="234">
      <c r="A234" s="15" t="inlineStr">
        <is>
          <t>MMI</t>
        </is>
      </c>
      <c r="B234" s="16" t="n">
        <v>113766</v>
      </c>
      <c r="C234" s="16" t="n">
        <v>0</v>
      </c>
      <c r="D234" s="16" t="inlineStr">
        <is>
          <t>0.001690</t>
        </is>
      </c>
      <c r="E234" s="16" t="inlineStr">
        <is>
          <t>0.150 SOL</t>
        </is>
      </c>
      <c r="F234" s="16" t="inlineStr">
        <is>
          <t>0.000 SOL</t>
        </is>
      </c>
      <c r="G234" s="17" t="inlineStr">
        <is>
          <t>-0.152 SOL</t>
        </is>
      </c>
      <c r="H234" s="17" t="inlineStr">
        <is>
          <t>0.00%</t>
        </is>
      </c>
      <c r="I234" s="16" t="inlineStr">
        <is>
          <t>113,766</t>
        </is>
      </c>
      <c r="J234" s="16" t="n">
        <v>1</v>
      </c>
      <c r="K234" s="16" t="n">
        <v>0</v>
      </c>
      <c r="L234" s="16" t="inlineStr">
        <is>
          <t>22.10.2024 20:32:36</t>
        </is>
      </c>
      <c r="M234" s="18" t="inlineStr">
        <is>
          <t>0 sec</t>
        </is>
      </c>
      <c r="N234" s="16" t="inlineStr">
        <is>
          <t xml:space="preserve">        220K           220K             5K</t>
        </is>
      </c>
      <c r="O234" s="16" t="inlineStr">
        <is>
          <t>9DBJ9wT4w7b4m2QXVEBKXparaYCWxckPj1s5rnvnpump</t>
        </is>
      </c>
      <c r="P234" s="16">
        <f>HYPERLINK("https://dexscreener.com/solana/9DBJ9wT4w7b4m2QXVEBKXparaYCWxckPj1s5rnvnpump", "View")</f>
        <v/>
      </c>
    </row>
    <row r="235">
      <c r="A235" s="19" t="inlineStr">
        <is>
          <t>TOM</t>
        </is>
      </c>
      <c r="B235" s="20" t="n">
        <v>212398</v>
      </c>
      <c r="C235" s="20" t="n">
        <v>0</v>
      </c>
      <c r="D235" s="20" t="inlineStr">
        <is>
          <t>0.001690</t>
        </is>
      </c>
      <c r="E235" s="20" t="inlineStr">
        <is>
          <t>0.100 SOL</t>
        </is>
      </c>
      <c r="F235" s="20" t="inlineStr">
        <is>
          <t>0.000 SOL</t>
        </is>
      </c>
      <c r="G235" s="17" t="inlineStr">
        <is>
          <t>-0.102 SOL</t>
        </is>
      </c>
      <c r="H235" s="17" t="inlineStr">
        <is>
          <t>0.00%</t>
        </is>
      </c>
      <c r="I235" s="20" t="inlineStr">
        <is>
          <t>212,398</t>
        </is>
      </c>
      <c r="J235" s="20" t="n">
        <v>1</v>
      </c>
      <c r="K235" s="20" t="n">
        <v>0</v>
      </c>
      <c r="L235" s="20" t="inlineStr">
        <is>
          <t>22.10.2024 20:09:08</t>
        </is>
      </c>
      <c r="M235" s="18" t="inlineStr">
        <is>
          <t>0 sec</t>
        </is>
      </c>
      <c r="N235" s="20" t="inlineStr">
        <is>
          <t xml:space="preserve">         82K            82K             4K</t>
        </is>
      </c>
      <c r="O235" s="20" t="inlineStr">
        <is>
          <t>7KpKfL1CjLFETcvKWgTDaifJXZXUwk3E7vzqcTC5pump</t>
        </is>
      </c>
      <c r="P235" s="20">
        <f>HYPERLINK("https://dexscreener.com/solana/7KpKfL1CjLFETcvKWgTDaifJXZXUwk3E7vzqcTC5pump", "View")</f>
        <v/>
      </c>
    </row>
    <row r="236">
      <c r="A236" s="15" t="inlineStr">
        <is>
          <t>$slop</t>
        </is>
      </c>
      <c r="B236" s="16" t="n">
        <v>1307</v>
      </c>
      <c r="C236" s="16" t="n">
        <v>0</v>
      </c>
      <c r="D236" s="16" t="inlineStr">
        <is>
          <t>0.001690</t>
        </is>
      </c>
      <c r="E236" s="16" t="inlineStr">
        <is>
          <t>0.150 SOL</t>
        </is>
      </c>
      <c r="F236" s="16" t="inlineStr">
        <is>
          <t>0.000 SOL</t>
        </is>
      </c>
      <c r="G236" s="17" t="inlineStr">
        <is>
          <t>-0.152 SOL</t>
        </is>
      </c>
      <c r="H236" s="17" t="inlineStr">
        <is>
          <t>0.00%</t>
        </is>
      </c>
      <c r="I236" s="16" t="inlineStr">
        <is>
          <t>1,307</t>
        </is>
      </c>
      <c r="J236" s="16" t="n">
        <v>1</v>
      </c>
      <c r="K236" s="16" t="n">
        <v>0</v>
      </c>
      <c r="L236" s="16" t="inlineStr">
        <is>
          <t>22.10.2024 19:45:04</t>
        </is>
      </c>
      <c r="M236" s="18" t="inlineStr">
        <is>
          <t>0 sec</t>
        </is>
      </c>
      <c r="N236" s="16" t="inlineStr">
        <is>
          <t xml:space="preserve">         20M            20M             3M</t>
        </is>
      </c>
      <c r="O236" s="16" t="inlineStr">
        <is>
          <t>FqvtZ2UFR9we82Ni4LeacC1zyTiQ77usDo31DUokpump</t>
        </is>
      </c>
      <c r="P236" s="16">
        <f>HYPERLINK("https://dexscreener.com/solana/FqvtZ2UFR9we82Ni4LeacC1zyTiQ77usDo31DUokpump", "View")</f>
        <v/>
      </c>
    </row>
    <row r="237">
      <c r="A237" s="19" t="inlineStr">
        <is>
          <t>Shrek</t>
        </is>
      </c>
      <c r="B237" s="20" t="n">
        <v>405444</v>
      </c>
      <c r="C237" s="20" t="n">
        <v>0</v>
      </c>
      <c r="D237" s="20" t="inlineStr">
        <is>
          <t>0.000400</t>
        </is>
      </c>
      <c r="E237" s="20" t="inlineStr">
        <is>
          <t>0.149 SOL</t>
        </is>
      </c>
      <c r="F237" s="20" t="inlineStr">
        <is>
          <t>0.000 SOL</t>
        </is>
      </c>
      <c r="G237" s="17" t="inlineStr">
        <is>
          <t>-0.149 SOL</t>
        </is>
      </c>
      <c r="H237" s="17" t="inlineStr">
        <is>
          <t>0.00%</t>
        </is>
      </c>
      <c r="I237" s="20" t="inlineStr">
        <is>
          <t>405,444</t>
        </is>
      </c>
      <c r="J237" s="20" t="n">
        <v>1</v>
      </c>
      <c r="K237" s="20" t="n">
        <v>0</v>
      </c>
      <c r="L237" s="20" t="inlineStr">
        <is>
          <t>22.10.2024 18:56:17</t>
        </is>
      </c>
      <c r="M237" s="18" t="inlineStr">
        <is>
          <t>0 sec</t>
        </is>
      </c>
      <c r="N237" s="20" t="inlineStr">
        <is>
          <t xml:space="preserve">         65K            65K             5K</t>
        </is>
      </c>
      <c r="O237" s="20" t="inlineStr">
        <is>
          <t>9adXft48FpWLrcyrRGCHCNccHdRioFzSurhb28Lbpump</t>
        </is>
      </c>
      <c r="P237" s="20">
        <f>HYPERLINK("https://dexscreener.com/solana/9adXft48FpWLrcyrRGCHCNccHdRioFzSurhb28Lbpump", "View")</f>
        <v/>
      </c>
    </row>
    <row r="238">
      <c r="A238" s="15" t="inlineStr">
        <is>
          <t>ILL</t>
        </is>
      </c>
      <c r="B238" s="16" t="n">
        <v>379251</v>
      </c>
      <c r="C238" s="16" t="n">
        <v>0</v>
      </c>
      <c r="D238" s="16" t="inlineStr">
        <is>
          <t>0.000400</t>
        </is>
      </c>
      <c r="E238" s="16" t="inlineStr">
        <is>
          <t>0.149 SOL</t>
        </is>
      </c>
      <c r="F238" s="16" t="inlineStr">
        <is>
          <t>0.000 SOL</t>
        </is>
      </c>
      <c r="G238" s="17" t="inlineStr">
        <is>
          <t>-0.149 SOL</t>
        </is>
      </c>
      <c r="H238" s="17" t="inlineStr">
        <is>
          <t>0.00%</t>
        </is>
      </c>
      <c r="I238" s="16" t="inlineStr">
        <is>
          <t>379,251</t>
        </is>
      </c>
      <c r="J238" s="16" t="n">
        <v>1</v>
      </c>
      <c r="K238" s="16" t="n">
        <v>0</v>
      </c>
      <c r="L238" s="16" t="inlineStr">
        <is>
          <t>22.10.2024 17:58:32</t>
        </is>
      </c>
      <c r="M238" s="18" t="inlineStr">
        <is>
          <t>0 sec</t>
        </is>
      </c>
      <c r="N238" s="16" t="inlineStr">
        <is>
          <t xml:space="preserve">         68K            68K             4K</t>
        </is>
      </c>
      <c r="O238" s="16" t="inlineStr">
        <is>
          <t>v7REse8tQXgE3GK3KT2imLCAUJ4ALw2n1XR3dHrpump</t>
        </is>
      </c>
      <c r="P238" s="16">
        <f>HYPERLINK("https://dexscreener.com/solana/v7REse8tQXgE3GK3KT2imLCAUJ4ALw2n1XR3dHrpump", "View")</f>
        <v/>
      </c>
    </row>
    <row r="239">
      <c r="A239" s="19" t="inlineStr">
        <is>
          <t>Kabal</t>
        </is>
      </c>
      <c r="B239" s="20" t="n">
        <v>246593</v>
      </c>
      <c r="C239" s="20" t="n">
        <v>0</v>
      </c>
      <c r="D239" s="20" t="inlineStr">
        <is>
          <t>0.000400</t>
        </is>
      </c>
      <c r="E239" s="20" t="inlineStr">
        <is>
          <t>0.149 SOL</t>
        </is>
      </c>
      <c r="F239" s="20" t="inlineStr">
        <is>
          <t>0.000 SOL</t>
        </is>
      </c>
      <c r="G239" s="17" t="inlineStr">
        <is>
          <t>-0.149 SOL</t>
        </is>
      </c>
      <c r="H239" s="17" t="inlineStr">
        <is>
          <t>0.00%</t>
        </is>
      </c>
      <c r="I239" s="20" t="inlineStr">
        <is>
          <t>246,593</t>
        </is>
      </c>
      <c r="J239" s="20" t="n">
        <v>1</v>
      </c>
      <c r="K239" s="20" t="n">
        <v>0</v>
      </c>
      <c r="L239" s="20" t="inlineStr">
        <is>
          <t>22.10.2024 17:39:59</t>
        </is>
      </c>
      <c r="M239" s="18" t="inlineStr">
        <is>
          <t>0 sec</t>
        </is>
      </c>
      <c r="N239" s="20" t="inlineStr">
        <is>
          <t xml:space="preserve">        105K           105K             5K</t>
        </is>
      </c>
      <c r="O239" s="20" t="inlineStr">
        <is>
          <t>2KmLUajz2KW7yjVEM6tk32P64i3HSKU9MSU4djGfpump</t>
        </is>
      </c>
      <c r="P239" s="20">
        <f>HYPERLINK("https://dexscreener.com/solana/2KmLUajz2KW7yjVEM6tk32P64i3HSKU9MSU4djGfpump", "View")</f>
        <v/>
      </c>
    </row>
    <row r="240">
      <c r="A240" s="15" t="inlineStr">
        <is>
          <t>MAYO</t>
        </is>
      </c>
      <c r="B240" s="16" t="n">
        <v>85732</v>
      </c>
      <c r="C240" s="16" t="n">
        <v>0</v>
      </c>
      <c r="D240" s="16" t="inlineStr">
        <is>
          <t>0.000400</t>
        </is>
      </c>
      <c r="E240" s="16" t="inlineStr">
        <is>
          <t>0.198 SOL</t>
        </is>
      </c>
      <c r="F240" s="16" t="inlineStr">
        <is>
          <t>0.000 SOL</t>
        </is>
      </c>
      <c r="G240" s="17" t="inlineStr">
        <is>
          <t>-0.199 SOL</t>
        </is>
      </c>
      <c r="H240" s="17" t="inlineStr">
        <is>
          <t>0.00%</t>
        </is>
      </c>
      <c r="I240" s="16" t="inlineStr">
        <is>
          <t>85,732</t>
        </is>
      </c>
      <c r="J240" s="16" t="n">
        <v>1</v>
      </c>
      <c r="K240" s="16" t="n">
        <v>0</v>
      </c>
      <c r="L240" s="16" t="inlineStr">
        <is>
          <t>22.10.2024 17:21:26</t>
        </is>
      </c>
      <c r="M240" s="18" t="inlineStr">
        <is>
          <t>0 sec</t>
        </is>
      </c>
      <c r="N240" s="16" t="inlineStr">
        <is>
          <t xml:space="preserve">        406K           406K            14K</t>
        </is>
      </c>
      <c r="O240" s="16" t="inlineStr">
        <is>
          <t>Gd4ZWW1F1C2eh1hiDAZKbJ26fsQdYBeierZW2tcjpump</t>
        </is>
      </c>
      <c r="P240" s="16">
        <f>HYPERLINK("https://dexscreener.com/solana/Gd4ZWW1F1C2eh1hiDAZKbJ26fsQdYBeierZW2tcjpump", "View")</f>
        <v/>
      </c>
    </row>
    <row r="241">
      <c r="A241" s="19" t="inlineStr">
        <is>
          <t>Rich</t>
        </is>
      </c>
      <c r="B241" s="20" t="n">
        <v>187184</v>
      </c>
      <c r="C241" s="20" t="n">
        <v>187184</v>
      </c>
      <c r="D241" s="20" t="inlineStr">
        <is>
          <t>0.001620</t>
        </is>
      </c>
      <c r="E241" s="20" t="inlineStr">
        <is>
          <t>0.248 SOL</t>
        </is>
      </c>
      <c r="F241" s="20" t="inlineStr">
        <is>
          <t>0.415 SOL</t>
        </is>
      </c>
      <c r="G241" s="23" t="inlineStr">
        <is>
          <t>0.166 SOL</t>
        </is>
      </c>
      <c r="H241" s="23" t="inlineStr">
        <is>
          <t>66.51%</t>
        </is>
      </c>
      <c r="I241" s="20" t="inlineStr">
        <is>
          <t>N/A</t>
        </is>
      </c>
      <c r="J241" s="20" t="n">
        <v>2</v>
      </c>
      <c r="K241" s="20" t="n">
        <v>2</v>
      </c>
      <c r="L241" s="20" t="inlineStr">
        <is>
          <t>22.10.2024 15:38:57</t>
        </is>
      </c>
      <c r="M241" s="20" t="inlineStr">
        <is>
          <t>27 min</t>
        </is>
      </c>
      <c r="N241" s="20" t="inlineStr">
        <is>
          <t xml:space="preserve">        216K           379K             6K</t>
        </is>
      </c>
      <c r="O241" s="20" t="inlineStr">
        <is>
          <t>HUEvTvFeL4BAn8KegfjZw5og6kxieBJrYSqk9mUS3K3v</t>
        </is>
      </c>
      <c r="P241" s="20">
        <f>HYPERLINK("https://dexscreener.com/solana/HUEvTvFeL4BAn8KegfjZw5og6kxieBJrYSqk9mUS3K3v", "View")</f>
        <v/>
      </c>
    </row>
    <row r="242">
      <c r="A242" s="15" t="inlineStr">
        <is>
          <t>SIEGHAIL</t>
        </is>
      </c>
      <c r="B242" s="16" t="n">
        <v>441762</v>
      </c>
      <c r="C242" s="16" t="n">
        <v>0</v>
      </c>
      <c r="D242" s="16" t="inlineStr">
        <is>
          <t>0.000810</t>
        </is>
      </c>
      <c r="E242" s="16" t="inlineStr">
        <is>
          <t>0.297 SOL</t>
        </is>
      </c>
      <c r="F242" s="16" t="inlineStr">
        <is>
          <t>0.000 SOL</t>
        </is>
      </c>
      <c r="G242" s="17" t="inlineStr">
        <is>
          <t>-0.298 SOL</t>
        </is>
      </c>
      <c r="H242" s="17" t="inlineStr">
        <is>
          <t>0.00%</t>
        </is>
      </c>
      <c r="I242" s="16" t="inlineStr">
        <is>
          <t>441,762</t>
        </is>
      </c>
      <c r="J242" s="16" t="n">
        <v>2</v>
      </c>
      <c r="K242" s="16" t="n">
        <v>0</v>
      </c>
      <c r="L242" s="16" t="inlineStr">
        <is>
          <t>22.10.2024 14:54:52</t>
        </is>
      </c>
      <c r="M242" s="16" t="inlineStr">
        <is>
          <t>4 min</t>
        </is>
      </c>
      <c r="N242" s="16" t="inlineStr">
        <is>
          <t xml:space="preserve">        281K            54K             4K</t>
        </is>
      </c>
      <c r="O242" s="16" t="inlineStr">
        <is>
          <t>AfUqh5vWb9Z9tXHczerhua2QLxbt9QveJjxCF2bepump</t>
        </is>
      </c>
      <c r="P242" s="16">
        <f>HYPERLINK("https://dexscreener.com/solana/AfUqh5vWb9Z9tXHczerhua2QLxbt9QveJjxCF2bepump", "View")</f>
        <v/>
      </c>
    </row>
    <row r="243">
      <c r="A243" s="19" t="inlineStr">
        <is>
          <t>AGU</t>
        </is>
      </c>
      <c r="B243" s="20" t="n">
        <v>146286</v>
      </c>
      <c r="C243" s="20" t="n">
        <v>73120</v>
      </c>
      <c r="D243" s="20" t="inlineStr">
        <is>
          <t>0.006410</t>
        </is>
      </c>
      <c r="E243" s="20" t="inlineStr">
        <is>
          <t>0.200 SOL</t>
        </is>
      </c>
      <c r="F243" s="20" t="inlineStr">
        <is>
          <t>0.220 SOL</t>
        </is>
      </c>
      <c r="G243" s="22" t="inlineStr">
        <is>
          <t>0.014 SOL</t>
        </is>
      </c>
      <c r="H243" s="22" t="inlineStr">
        <is>
          <t>6.58%</t>
        </is>
      </c>
      <c r="I243" s="20" t="inlineStr">
        <is>
          <t>N/A</t>
        </is>
      </c>
      <c r="J243" s="20" t="n">
        <v>2</v>
      </c>
      <c r="K243" s="20" t="n">
        <v>1</v>
      </c>
      <c r="L243" s="20" t="inlineStr">
        <is>
          <t>22.10.2024 13:05:40</t>
        </is>
      </c>
      <c r="M243" s="20" t="inlineStr">
        <is>
          <t>50 min</t>
        </is>
      </c>
      <c r="N243" s="20" t="inlineStr">
        <is>
          <t xml:space="preserve">        269K           529K             7K</t>
        </is>
      </c>
      <c r="O243" s="20" t="inlineStr">
        <is>
          <t>CF3kPSRHCLS5w1M3aU5o9KJnv6Uww43wkS2L1FGxpump</t>
        </is>
      </c>
      <c r="P243" s="20">
        <f>HYPERLINK("https://dexscreener.com/solana/CF3kPSRHCLS5w1M3aU5o9KJnv6Uww43wkS2L1FGxpump", "View")</f>
        <v/>
      </c>
    </row>
    <row r="244">
      <c r="A244" s="15" t="inlineStr">
        <is>
          <t>AI (real)</t>
        </is>
      </c>
      <c r="B244" s="16" t="n">
        <v>348879</v>
      </c>
      <c r="C244" s="16" t="n">
        <v>0</v>
      </c>
      <c r="D244" s="16" t="inlineStr">
        <is>
          <t>0.000400</t>
        </is>
      </c>
      <c r="E244" s="16" t="inlineStr">
        <is>
          <t>0.099 SOL</t>
        </is>
      </c>
      <c r="F244" s="16" t="inlineStr">
        <is>
          <t>0.000 SOL</t>
        </is>
      </c>
      <c r="G244" s="17" t="inlineStr">
        <is>
          <t>-0.100 SOL</t>
        </is>
      </c>
      <c r="H244" s="17" t="inlineStr">
        <is>
          <t>0.00%</t>
        </is>
      </c>
      <c r="I244" s="16" t="inlineStr">
        <is>
          <t>348,879</t>
        </is>
      </c>
      <c r="J244" s="16" t="n">
        <v>1</v>
      </c>
      <c r="K244" s="16" t="n">
        <v>0</v>
      </c>
      <c r="L244" s="16" t="inlineStr">
        <is>
          <t>22.10.2024 05:01:43</t>
        </is>
      </c>
      <c r="M244" s="18" t="inlineStr">
        <is>
          <t>0 sec</t>
        </is>
      </c>
      <c r="N244" s="16" t="inlineStr">
        <is>
          <t xml:space="preserve">         49K            49K             4K</t>
        </is>
      </c>
      <c r="O244" s="16" t="inlineStr">
        <is>
          <t>7R5AiiJBq6RDe4ZZekycYUyZFY71oLQPYoM4QSudpump</t>
        </is>
      </c>
      <c r="P244" s="16">
        <f>HYPERLINK("https://dexscreener.com/solana/7R5AiiJBq6RDe4ZZekycYUyZFY71oLQPYoM4QSudpump", "View")</f>
        <v/>
      </c>
    </row>
    <row r="245">
      <c r="A245" s="19" t="inlineStr">
        <is>
          <t>teno</t>
        </is>
      </c>
      <c r="B245" s="20" t="n">
        <v>529485</v>
      </c>
      <c r="C245" s="20" t="n">
        <v>529485</v>
      </c>
      <c r="D245" s="20" t="inlineStr">
        <is>
          <t>0.001450</t>
        </is>
      </c>
      <c r="E245" s="20" t="inlineStr">
        <is>
          <t>0.300 SOL</t>
        </is>
      </c>
      <c r="F245" s="20" t="inlineStr">
        <is>
          <t>0.411 SOL</t>
        </is>
      </c>
      <c r="G245" s="22" t="inlineStr">
        <is>
          <t>0.109 SOL</t>
        </is>
      </c>
      <c r="H245" s="22" t="inlineStr">
        <is>
          <t>36.18%</t>
        </is>
      </c>
      <c r="I245" s="20" t="inlineStr">
        <is>
          <t>N/A</t>
        </is>
      </c>
      <c r="J245" s="20" t="n">
        <v>2</v>
      </c>
      <c r="K245" s="20" t="n">
        <v>1</v>
      </c>
      <c r="L245" s="20" t="inlineStr">
        <is>
          <t>21.10.2024 21:13:11</t>
        </is>
      </c>
      <c r="M245" s="20" t="inlineStr">
        <is>
          <t>1 days</t>
        </is>
      </c>
      <c r="N245" s="20" t="inlineStr">
        <is>
          <t xml:space="preserve">         81K           130K            31K</t>
        </is>
      </c>
      <c r="O245" s="20" t="inlineStr">
        <is>
          <t>7WMh8NGrjgqQGUF8UX6GRwAAAfVJ57EvgzvDsgEmpump</t>
        </is>
      </c>
      <c r="P245" s="20">
        <f>HYPERLINK("https://dexscreener.com/solana/7WMh8NGrjgqQGUF8UX6GRwAAAfVJ57EvgzvDsgEmpump", "View")</f>
        <v/>
      </c>
    </row>
    <row r="246">
      <c r="A246" s="15" t="inlineStr">
        <is>
          <t>LEWD</t>
        </is>
      </c>
      <c r="B246" s="16" t="n">
        <v>212887</v>
      </c>
      <c r="C246" s="16" t="n">
        <v>212887</v>
      </c>
      <c r="D246" s="16" t="inlineStr">
        <is>
          <t>0.004610</t>
        </is>
      </c>
      <c r="E246" s="16" t="inlineStr">
        <is>
          <t>0.100 SOL</t>
        </is>
      </c>
      <c r="F246" s="16" t="inlineStr">
        <is>
          <t>0.275 SOL</t>
        </is>
      </c>
      <c r="G246" s="23" t="inlineStr">
        <is>
          <t>0.170 SOL</t>
        </is>
      </c>
      <c r="H246" s="23" t="inlineStr">
        <is>
          <t>162.94%</t>
        </is>
      </c>
      <c r="I246" s="16" t="inlineStr">
        <is>
          <t>N/A</t>
        </is>
      </c>
      <c r="J246" s="16" t="n">
        <v>1</v>
      </c>
      <c r="K246" s="16" t="n">
        <v>1</v>
      </c>
      <c r="L246" s="16" t="inlineStr">
        <is>
          <t>21.10.2024 21:12:08</t>
        </is>
      </c>
      <c r="M246" s="16" t="inlineStr">
        <is>
          <t>14 min</t>
        </is>
      </c>
      <c r="N246" s="16" t="inlineStr">
        <is>
          <t xml:space="preserve">         83K           227K             5K</t>
        </is>
      </c>
      <c r="O246" s="16" t="inlineStr">
        <is>
          <t>FiEJeVw6MJToGkN6KVktYzMvX1zQS9H6RtV15ARdpump</t>
        </is>
      </c>
      <c r="P246" s="16">
        <f>HYPERLINK("https://dexscreener.com/solana/FiEJeVw6MJToGkN6KVktYzMvX1zQS9H6RtV15ARdpump", "View")</f>
        <v/>
      </c>
    </row>
    <row r="247">
      <c r="A247" s="19" t="inlineStr">
        <is>
          <t>mindMeld</t>
        </is>
      </c>
      <c r="B247" s="20" t="n">
        <v>392215</v>
      </c>
      <c r="C247" s="20" t="n">
        <v>0</v>
      </c>
      <c r="D247" s="20" t="inlineStr">
        <is>
          <t>0.000400</t>
        </is>
      </c>
      <c r="E247" s="20" t="inlineStr">
        <is>
          <t>0.149 SOL</t>
        </is>
      </c>
      <c r="F247" s="20" t="inlineStr">
        <is>
          <t>0.000 SOL</t>
        </is>
      </c>
      <c r="G247" s="17" t="inlineStr">
        <is>
          <t>-0.149 SOL</t>
        </is>
      </c>
      <c r="H247" s="17" t="inlineStr">
        <is>
          <t>0.00%</t>
        </is>
      </c>
      <c r="I247" s="20" t="inlineStr">
        <is>
          <t>392,215</t>
        </is>
      </c>
      <c r="J247" s="20" t="n">
        <v>1</v>
      </c>
      <c r="K247" s="20" t="n">
        <v>0</v>
      </c>
      <c r="L247" s="20" t="inlineStr">
        <is>
          <t>21.10.2024 20:50:42</t>
        </is>
      </c>
      <c r="M247" s="18" t="inlineStr">
        <is>
          <t>0 sec</t>
        </is>
      </c>
      <c r="N247" s="20" t="inlineStr">
        <is>
          <t xml:space="preserve">         67K            67K             4K</t>
        </is>
      </c>
      <c r="O247" s="20" t="inlineStr">
        <is>
          <t>FtZkxRRHyV9EKg4uLyRNna7JQAhUjShaGPHjCDhapump</t>
        </is>
      </c>
      <c r="P247" s="20">
        <f>HYPERLINK("https://dexscreener.com/solana/FtZkxRRHyV9EKg4uLyRNna7JQAhUjShaGPHjCDhapump", "View")</f>
        <v/>
      </c>
    </row>
    <row r="248">
      <c r="A248" s="15" t="inlineStr">
        <is>
          <t>fi</t>
        </is>
      </c>
      <c r="B248" s="16" t="n">
        <v>158936</v>
      </c>
      <c r="C248" s="16" t="n">
        <v>0</v>
      </c>
      <c r="D248" s="16" t="inlineStr">
        <is>
          <t>0.004210</t>
        </is>
      </c>
      <c r="E248" s="16" t="inlineStr">
        <is>
          <t>0.100 SOL</t>
        </is>
      </c>
      <c r="F248" s="16" t="inlineStr">
        <is>
          <t>0.000 SOL</t>
        </is>
      </c>
      <c r="G248" s="17" t="inlineStr">
        <is>
          <t>-0.104 SOL</t>
        </is>
      </c>
      <c r="H248" s="17" t="inlineStr">
        <is>
          <t>0.00%</t>
        </is>
      </c>
      <c r="I248" s="16" t="inlineStr">
        <is>
          <t>158,936</t>
        </is>
      </c>
      <c r="J248" s="16" t="n">
        <v>1</v>
      </c>
      <c r="K248" s="16" t="n">
        <v>0</v>
      </c>
      <c r="L248" s="16" t="inlineStr">
        <is>
          <t>21.10.2024 20:45:31</t>
        </is>
      </c>
      <c r="M248" s="18" t="inlineStr">
        <is>
          <t>0 sec</t>
        </is>
      </c>
      <c r="N248" s="16" t="inlineStr">
        <is>
          <t xml:space="preserve">        111K           111K             6K</t>
        </is>
      </c>
      <c r="O248" s="16" t="inlineStr">
        <is>
          <t>8rsuGFduK8xP7wsh6x6ypso32MHFtDxXGDvm1gYtpump</t>
        </is>
      </c>
      <c r="P248" s="16">
        <f>HYPERLINK("https://dexscreener.com/solana/8rsuGFduK8xP7wsh6x6ypso32MHFtDxXGDvm1gYtpump", "View")</f>
        <v/>
      </c>
    </row>
    <row r="249">
      <c r="A249" s="19" t="inlineStr">
        <is>
          <t>megs</t>
        </is>
      </c>
      <c r="B249" s="20" t="n">
        <v>149820</v>
      </c>
      <c r="C249" s="20" t="n">
        <v>149820</v>
      </c>
      <c r="D249" s="20" t="inlineStr">
        <is>
          <t>0.001780</t>
        </is>
      </c>
      <c r="E249" s="20" t="inlineStr">
        <is>
          <t>0.150 SOL</t>
        </is>
      </c>
      <c r="F249" s="20" t="inlineStr">
        <is>
          <t>0.536 SOL</t>
        </is>
      </c>
      <c r="G249" s="23" t="inlineStr">
        <is>
          <t>0.384 SOL</t>
        </is>
      </c>
      <c r="H249" s="23" t="inlineStr">
        <is>
          <t>253.01%</t>
        </is>
      </c>
      <c r="I249" s="20" t="inlineStr">
        <is>
          <t>N/A</t>
        </is>
      </c>
      <c r="J249" s="20" t="n">
        <v>1</v>
      </c>
      <c r="K249" s="20" t="n">
        <v>3</v>
      </c>
      <c r="L249" s="20" t="inlineStr">
        <is>
          <t>21.10.2024 20:12:34</t>
        </is>
      </c>
      <c r="M249" s="20" t="inlineStr">
        <is>
          <t>1 days</t>
        </is>
      </c>
      <c r="N249" s="20" t="inlineStr">
        <is>
          <t xml:space="preserve">        176K           176K           165K</t>
        </is>
      </c>
      <c r="O249" s="20" t="inlineStr">
        <is>
          <t>GegBq6qGirNSVPbDcHNbG89xUcFTqNDwfSKt85T8pump</t>
        </is>
      </c>
      <c r="P249" s="20">
        <f>HYPERLINK("https://dexscreener.com/solana/GegBq6qGirNSVPbDcHNbG89xUcFTqNDwfSKt85T8pump", "View")</f>
        <v/>
      </c>
    </row>
    <row r="250">
      <c r="A250" s="15" t="inlineStr">
        <is>
          <t>GDOGE</t>
        </is>
      </c>
      <c r="B250" s="16" t="n">
        <v>21139</v>
      </c>
      <c r="C250" s="16" t="n">
        <v>21139</v>
      </c>
      <c r="D250" s="16" t="inlineStr">
        <is>
          <t>0.000970</t>
        </is>
      </c>
      <c r="E250" s="16" t="inlineStr">
        <is>
          <t>0.150 SOL</t>
        </is>
      </c>
      <c r="F250" s="16" t="inlineStr">
        <is>
          <t>0.155 SOL</t>
        </is>
      </c>
      <c r="G250" s="22" t="inlineStr">
        <is>
          <t>0.004 SOL</t>
        </is>
      </c>
      <c r="H250" s="22" t="inlineStr">
        <is>
          <t>2.96%</t>
        </is>
      </c>
      <c r="I250" s="16" t="inlineStr">
        <is>
          <t>N/A</t>
        </is>
      </c>
      <c r="J250" s="16" t="n">
        <v>1</v>
      </c>
      <c r="K250" s="16" t="n">
        <v>1</v>
      </c>
      <c r="L250" s="16" t="inlineStr">
        <is>
          <t>21.10.2024 20:09:25</t>
        </is>
      </c>
      <c r="M250" s="16" t="inlineStr">
        <is>
          <t>2 days</t>
        </is>
      </c>
      <c r="N250" s="16" t="inlineStr">
        <is>
          <t xml:space="preserve">          1M             1M           297K</t>
        </is>
      </c>
      <c r="O250" s="16" t="inlineStr">
        <is>
          <t>HzezmX8bRGCBKThgjZu7ZoBN3P825jHk3azBMGZAuTuo</t>
        </is>
      </c>
      <c r="P250" s="16">
        <f>HYPERLINK("https://dexscreener.com/solana/HzezmX8bRGCBKThgjZu7ZoBN3P825jHk3azBMGZAuTuo", "View")</f>
        <v/>
      </c>
    </row>
    <row r="251">
      <c r="A251" s="19" t="inlineStr">
        <is>
          <t>MemesAI</t>
        </is>
      </c>
      <c r="B251" s="20" t="n">
        <v>41486</v>
      </c>
      <c r="C251" s="20" t="n">
        <v>41486</v>
      </c>
      <c r="D251" s="20" t="inlineStr">
        <is>
          <t>0.000830</t>
        </is>
      </c>
      <c r="E251" s="20" t="inlineStr">
        <is>
          <t>0.250 SOL</t>
        </is>
      </c>
      <c r="F251" s="20" t="inlineStr">
        <is>
          <t>0.272 SOL</t>
        </is>
      </c>
      <c r="G251" s="22" t="inlineStr">
        <is>
          <t>0.021 SOL</t>
        </is>
      </c>
      <c r="H251" s="22" t="inlineStr">
        <is>
          <t>8.57%</t>
        </is>
      </c>
      <c r="I251" s="20" t="inlineStr">
        <is>
          <t>N/A</t>
        </is>
      </c>
      <c r="J251" s="20" t="n">
        <v>1</v>
      </c>
      <c r="K251" s="20" t="n">
        <v>1</v>
      </c>
      <c r="L251" s="20" t="inlineStr">
        <is>
          <t>21.10.2024 20:07:54</t>
        </is>
      </c>
      <c r="M251" s="20" t="inlineStr">
        <is>
          <t>7 days</t>
        </is>
      </c>
      <c r="N251" s="20" t="inlineStr">
        <is>
          <t xml:space="preserve">          1M             1M            13M</t>
        </is>
      </c>
      <c r="O251" s="20" t="inlineStr">
        <is>
          <t>39qibQxVzemuZTEvjSB7NePhw9WyyHdQCqP8xmBMpump</t>
        </is>
      </c>
      <c r="P251" s="20">
        <f>HYPERLINK("https://dexscreener.com/solana/39qibQxVzemuZTEvjSB7NePhw9WyyHdQCqP8xmBMpump", "View")</f>
        <v/>
      </c>
    </row>
    <row r="252">
      <c r="A252" s="15" t="inlineStr">
        <is>
          <t>LEMUR</t>
        </is>
      </c>
      <c r="B252" s="16" t="n">
        <v>262799</v>
      </c>
      <c r="C252" s="16" t="n">
        <v>0</v>
      </c>
      <c r="D252" s="16" t="inlineStr">
        <is>
          <t>0.000400</t>
        </is>
      </c>
      <c r="E252" s="16" t="inlineStr">
        <is>
          <t>0.149 SOL</t>
        </is>
      </c>
      <c r="F252" s="16" t="inlineStr">
        <is>
          <t>0.000 SOL</t>
        </is>
      </c>
      <c r="G252" s="17" t="inlineStr">
        <is>
          <t>-0.149 SOL</t>
        </is>
      </c>
      <c r="H252" s="17" t="inlineStr">
        <is>
          <t>0.00%</t>
        </is>
      </c>
      <c r="I252" s="16" t="inlineStr">
        <is>
          <t>262,799</t>
        </is>
      </c>
      <c r="J252" s="16" t="n">
        <v>1</v>
      </c>
      <c r="K252" s="16" t="n">
        <v>0</v>
      </c>
      <c r="L252" s="16" t="inlineStr">
        <is>
          <t>21.10.2024 19:37:13</t>
        </is>
      </c>
      <c r="M252" s="18" t="inlineStr">
        <is>
          <t>0 sec</t>
        </is>
      </c>
      <c r="N252" s="16" t="inlineStr">
        <is>
          <t xml:space="preserve">        100K           100K             7K</t>
        </is>
      </c>
      <c r="O252" s="16" t="inlineStr">
        <is>
          <t>BaYfG4M5cTJyMdSLT5e3f1U9sXvmxMiCR2o3w6gZpump</t>
        </is>
      </c>
      <c r="P252" s="16">
        <f>HYPERLINK("https://dexscreener.com/solana/BaYfG4M5cTJyMdSLT5e3f1U9sXvmxMiCR2o3w6gZpump", "View")</f>
        <v/>
      </c>
    </row>
    <row r="253">
      <c r="A253" s="19" t="inlineStr">
        <is>
          <t>MCMENOR</t>
        </is>
      </c>
      <c r="B253" s="20" t="n">
        <v>143441</v>
      </c>
      <c r="C253" s="20" t="n">
        <v>0</v>
      </c>
      <c r="D253" s="20" t="inlineStr">
        <is>
          <t>0.000400</t>
        </is>
      </c>
      <c r="E253" s="20" t="inlineStr">
        <is>
          <t>0.149 SOL</t>
        </is>
      </c>
      <c r="F253" s="20" t="inlineStr">
        <is>
          <t>0.000 SOL</t>
        </is>
      </c>
      <c r="G253" s="17" t="inlineStr">
        <is>
          <t>-0.149 SOL</t>
        </is>
      </c>
      <c r="H253" s="17" t="inlineStr">
        <is>
          <t>0.00%</t>
        </is>
      </c>
      <c r="I253" s="20" t="inlineStr">
        <is>
          <t>143,441</t>
        </is>
      </c>
      <c r="J253" s="20" t="n">
        <v>1</v>
      </c>
      <c r="K253" s="20" t="n">
        <v>0</v>
      </c>
      <c r="L253" s="20" t="inlineStr">
        <is>
          <t>21.10.2024 19:32:39</t>
        </is>
      </c>
      <c r="M253" s="18" t="inlineStr">
        <is>
          <t>0 sec</t>
        </is>
      </c>
      <c r="N253" s="20" t="inlineStr">
        <is>
          <t xml:space="preserve">        183K           183K             4K</t>
        </is>
      </c>
      <c r="O253" s="20" t="inlineStr">
        <is>
          <t>B1Dk53aseUFGnwjBafGUactyGQcGKWUxuDeBXv1tpump</t>
        </is>
      </c>
      <c r="P253" s="20">
        <f>HYPERLINK("https://dexscreener.com/solana/B1Dk53aseUFGnwjBafGUactyGQcGKWUxuDeBXv1tpump", "View")</f>
        <v/>
      </c>
    </row>
    <row r="254">
      <c r="A254" s="15" t="inlineStr">
        <is>
          <t>HABER</t>
        </is>
      </c>
      <c r="B254" s="16" t="n">
        <v>483250</v>
      </c>
      <c r="C254" s="16" t="n">
        <v>0</v>
      </c>
      <c r="D254" s="16" t="inlineStr">
        <is>
          <t>0.000400</t>
        </is>
      </c>
      <c r="E254" s="16" t="inlineStr">
        <is>
          <t>0.149 SOL</t>
        </is>
      </c>
      <c r="F254" s="16" t="inlineStr">
        <is>
          <t>0.000 SOL</t>
        </is>
      </c>
      <c r="G254" s="17" t="inlineStr">
        <is>
          <t>-0.149 SOL</t>
        </is>
      </c>
      <c r="H254" s="17" t="inlineStr">
        <is>
          <t>0.00%</t>
        </is>
      </c>
      <c r="I254" s="16" t="inlineStr">
        <is>
          <t>483,250</t>
        </is>
      </c>
      <c r="J254" s="16" t="n">
        <v>1</v>
      </c>
      <c r="K254" s="16" t="n">
        <v>0</v>
      </c>
      <c r="L254" s="16" t="inlineStr">
        <is>
          <t>21.10.2024 19:10:51</t>
        </is>
      </c>
      <c r="M254" s="18" t="inlineStr">
        <is>
          <t>0 sec</t>
        </is>
      </c>
      <c r="N254" s="16" t="inlineStr">
        <is>
          <t xml:space="preserve">         54K            54K             4K</t>
        </is>
      </c>
      <c r="O254" s="16" t="inlineStr">
        <is>
          <t>22Fp8XHiEr7Kjk1UYC4CWXVhfKiBt6d2dGFYsmoZpump</t>
        </is>
      </c>
      <c r="P254" s="16">
        <f>HYPERLINK("https://dexscreener.com/solana/22Fp8XHiEr7Kjk1UYC4CWXVhfKiBt6d2dGFYsmoZpump", "View")</f>
        <v/>
      </c>
    </row>
    <row r="255">
      <c r="A255" s="19" t="inlineStr">
        <is>
          <t>STRAWBERRY</t>
        </is>
      </c>
      <c r="B255" s="20" t="n">
        <v>11354</v>
      </c>
      <c r="C255" s="20" t="n">
        <v>0</v>
      </c>
      <c r="D255" s="20" t="inlineStr">
        <is>
          <t>0.000400</t>
        </is>
      </c>
      <c r="E255" s="20" t="inlineStr">
        <is>
          <t>0.149 SOL</t>
        </is>
      </c>
      <c r="F255" s="20" t="inlineStr">
        <is>
          <t>0.000 SOL</t>
        </is>
      </c>
      <c r="G255" s="17" t="inlineStr">
        <is>
          <t>-0.149 SOL</t>
        </is>
      </c>
      <c r="H255" s="17" t="inlineStr">
        <is>
          <t>0.00%</t>
        </is>
      </c>
      <c r="I255" s="20" t="inlineStr">
        <is>
          <t>11,354</t>
        </is>
      </c>
      <c r="J255" s="20" t="n">
        <v>1</v>
      </c>
      <c r="K255" s="20" t="n">
        <v>0</v>
      </c>
      <c r="L255" s="20" t="inlineStr">
        <is>
          <t>21.10.2024 18:54:42</t>
        </is>
      </c>
      <c r="M255" s="18" t="inlineStr">
        <is>
          <t>0 sec</t>
        </is>
      </c>
      <c r="N255" s="20" t="inlineStr">
        <is>
          <t xml:space="preserve">          2M             2M            52K</t>
        </is>
      </c>
      <c r="O255" s="20" t="inlineStr">
        <is>
          <t>CFzhqSNqYZRsUszCGwZ3SJ9iPHLvSumffaS6gWuupump</t>
        </is>
      </c>
      <c r="P255" s="20">
        <f>HYPERLINK("https://dexscreener.com/solana/CFzhqSNqYZRsUszCGwZ3SJ9iPHLvSumffaS6gWuupump", "View")</f>
        <v/>
      </c>
    </row>
    <row r="256">
      <c r="A256" s="15" t="inlineStr">
        <is>
          <t>Daphne</t>
        </is>
      </c>
      <c r="B256" s="16" t="n">
        <v>195605</v>
      </c>
      <c r="C256" s="16" t="n">
        <v>0</v>
      </c>
      <c r="D256" s="16" t="inlineStr">
        <is>
          <t>0.000400</t>
        </is>
      </c>
      <c r="E256" s="16" t="inlineStr">
        <is>
          <t>0.149 SOL</t>
        </is>
      </c>
      <c r="F256" s="16" t="inlineStr">
        <is>
          <t>0.000 SOL</t>
        </is>
      </c>
      <c r="G256" s="17" t="inlineStr">
        <is>
          <t>-0.149 SOL</t>
        </is>
      </c>
      <c r="H256" s="17" t="inlineStr">
        <is>
          <t>0.00%</t>
        </is>
      </c>
      <c r="I256" s="16" t="inlineStr">
        <is>
          <t>195,605</t>
        </is>
      </c>
      <c r="J256" s="16" t="n">
        <v>1</v>
      </c>
      <c r="K256" s="16" t="n">
        <v>0</v>
      </c>
      <c r="L256" s="16" t="inlineStr">
        <is>
          <t>21.10.2024 18:38:05</t>
        </is>
      </c>
      <c r="M256" s="18" t="inlineStr">
        <is>
          <t>0 sec</t>
        </is>
      </c>
      <c r="N256" s="16" t="inlineStr">
        <is>
          <t xml:space="preserve">        133K           133K             4K</t>
        </is>
      </c>
      <c r="O256" s="16" t="inlineStr">
        <is>
          <t>32pzUboEhuMJ7SWW6APjQQqHvHqw7khnY457NAYhpump</t>
        </is>
      </c>
      <c r="P256" s="16">
        <f>HYPERLINK("https://dexscreener.com/solana/32pzUboEhuMJ7SWW6APjQQqHvHqw7khnY457NAYhpump", "View")</f>
        <v/>
      </c>
    </row>
    <row r="257">
      <c r="A257" s="19" t="inlineStr">
        <is>
          <t>INFOHAZARD</t>
        </is>
      </c>
      <c r="B257" s="20" t="n">
        <v>164738</v>
      </c>
      <c r="C257" s="20" t="n">
        <v>0</v>
      </c>
      <c r="D257" s="20" t="inlineStr">
        <is>
          <t>0.004210</t>
        </is>
      </c>
      <c r="E257" s="20" t="inlineStr">
        <is>
          <t>0.180 SOL</t>
        </is>
      </c>
      <c r="F257" s="20" t="inlineStr">
        <is>
          <t>0.000 SOL</t>
        </is>
      </c>
      <c r="G257" s="17" t="inlineStr">
        <is>
          <t>-0.184 SOL</t>
        </is>
      </c>
      <c r="H257" s="17" t="inlineStr">
        <is>
          <t>0.00%</t>
        </is>
      </c>
      <c r="I257" s="20" t="inlineStr">
        <is>
          <t>164,738</t>
        </is>
      </c>
      <c r="J257" s="20" t="n">
        <v>1</v>
      </c>
      <c r="K257" s="20" t="n">
        <v>0</v>
      </c>
      <c r="L257" s="20" t="inlineStr">
        <is>
          <t>21.10.2024 17:25:38</t>
        </is>
      </c>
      <c r="M257" s="18" t="inlineStr">
        <is>
          <t>0 sec</t>
        </is>
      </c>
      <c r="N257" s="20" t="inlineStr">
        <is>
          <t xml:space="preserve">        187K           187K             6K</t>
        </is>
      </c>
      <c r="O257" s="20" t="inlineStr">
        <is>
          <t>ECLZxNEPJAzjbSGfVfyPa4YR4VYeXnaGu3TkxyMUpump</t>
        </is>
      </c>
      <c r="P257" s="20">
        <f>HYPERLINK("https://dexscreener.com/solana/ECLZxNEPJAzjbSGfVfyPa4YR4VYeXnaGu3TkxyMUpump", "View")</f>
        <v/>
      </c>
    </row>
    <row r="258">
      <c r="A258" s="15" t="inlineStr">
        <is>
          <t>Sonni</t>
        </is>
      </c>
      <c r="B258" s="16" t="n">
        <v>237305</v>
      </c>
      <c r="C258" s="16" t="n">
        <v>0</v>
      </c>
      <c r="D258" s="16" t="inlineStr">
        <is>
          <t>0.004210</t>
        </is>
      </c>
      <c r="E258" s="16" t="inlineStr">
        <is>
          <t>0.180 SOL</t>
        </is>
      </c>
      <c r="F258" s="16" t="inlineStr">
        <is>
          <t>0.000 SOL</t>
        </is>
      </c>
      <c r="G258" s="17" t="inlineStr">
        <is>
          <t>-0.184 SOL</t>
        </is>
      </c>
      <c r="H258" s="17" t="inlineStr">
        <is>
          <t>0.00%</t>
        </is>
      </c>
      <c r="I258" s="16" t="inlineStr">
        <is>
          <t>237,305</t>
        </is>
      </c>
      <c r="J258" s="16" t="n">
        <v>1</v>
      </c>
      <c r="K258" s="16" t="n">
        <v>0</v>
      </c>
      <c r="L258" s="16" t="inlineStr">
        <is>
          <t>21.10.2024 17:18:32</t>
        </is>
      </c>
      <c r="M258" s="18" t="inlineStr">
        <is>
          <t>0 sec</t>
        </is>
      </c>
      <c r="N258" s="16" t="inlineStr">
        <is>
          <t xml:space="preserve">        133K           133K             4K</t>
        </is>
      </c>
      <c r="O258" s="16" t="inlineStr">
        <is>
          <t>HTHadrPwfCrFs1AE5TUfK6V3uojeZHVxB4nNYmNopump</t>
        </is>
      </c>
      <c r="P258" s="16">
        <f>HYPERLINK("https://dexscreener.com/solana/HTHadrPwfCrFs1AE5TUfK6V3uojeZHVxB4nNYmNopump", "View")</f>
        <v/>
      </c>
    </row>
    <row r="259">
      <c r="A259" s="19" t="inlineStr">
        <is>
          <t>P5JS</t>
        </is>
      </c>
      <c r="B259" s="20" t="n">
        <v>53219</v>
      </c>
      <c r="C259" s="20" t="n">
        <v>0</v>
      </c>
      <c r="D259" s="20" t="inlineStr">
        <is>
          <t>0.004210</t>
        </is>
      </c>
      <c r="E259" s="20" t="inlineStr">
        <is>
          <t>0.150 SOL</t>
        </is>
      </c>
      <c r="F259" s="20" t="inlineStr">
        <is>
          <t>0.000 SOL</t>
        </is>
      </c>
      <c r="G259" s="17" t="inlineStr">
        <is>
          <t>-0.154 SOL</t>
        </is>
      </c>
      <c r="H259" s="17" t="inlineStr">
        <is>
          <t>0.00%</t>
        </is>
      </c>
      <c r="I259" s="20" t="inlineStr">
        <is>
          <t>53,219</t>
        </is>
      </c>
      <c r="J259" s="20" t="n">
        <v>1</v>
      </c>
      <c r="K259" s="20" t="n">
        <v>0</v>
      </c>
      <c r="L259" s="20" t="inlineStr">
        <is>
          <t>21.10.2024 16:52:05</t>
        </is>
      </c>
      <c r="M259" s="18" t="inlineStr">
        <is>
          <t>0 sec</t>
        </is>
      </c>
      <c r="N259" s="20" t="inlineStr">
        <is>
          <t xml:space="preserve">        485K           485K            17K</t>
        </is>
      </c>
      <c r="O259" s="20" t="inlineStr">
        <is>
          <t>98JbJ8zzca8nwsM3Z9Ex1Fz6zNAbpp3LM5vA8Tqrpump</t>
        </is>
      </c>
      <c r="P259" s="20">
        <f>HYPERLINK("https://dexscreener.com/solana/98JbJ8zzca8nwsM3Z9Ex1Fz6zNAbpp3LM5vA8Tqrpump", "View")</f>
        <v/>
      </c>
    </row>
    <row r="260">
      <c r="A260" s="15" t="inlineStr">
        <is>
          <t>GAN</t>
        </is>
      </c>
      <c r="B260" s="16" t="n">
        <v>584138</v>
      </c>
      <c r="C260" s="16" t="n">
        <v>0</v>
      </c>
      <c r="D260" s="16" t="inlineStr">
        <is>
          <t>0.004210</t>
        </is>
      </c>
      <c r="E260" s="16" t="inlineStr">
        <is>
          <t>0.150 SOL</t>
        </is>
      </c>
      <c r="F260" s="16" t="inlineStr">
        <is>
          <t>0.000 SOL</t>
        </is>
      </c>
      <c r="G260" s="17" t="inlineStr">
        <is>
          <t>-0.154 SOL</t>
        </is>
      </c>
      <c r="H260" s="17" t="inlineStr">
        <is>
          <t>0.00%</t>
        </is>
      </c>
      <c r="I260" s="16" t="inlineStr">
        <is>
          <t>584,138</t>
        </is>
      </c>
      <c r="J260" s="16" t="n">
        <v>1</v>
      </c>
      <c r="K260" s="16" t="n">
        <v>0</v>
      </c>
      <c r="L260" s="16" t="inlineStr">
        <is>
          <t>21.10.2024 16:43:51</t>
        </is>
      </c>
      <c r="M260" s="18" t="inlineStr">
        <is>
          <t>0 sec</t>
        </is>
      </c>
      <c r="N260" s="16" t="inlineStr">
        <is>
          <t xml:space="preserve">         46K            46K             4K</t>
        </is>
      </c>
      <c r="O260" s="16" t="inlineStr">
        <is>
          <t>ESvMjF5EHH5w6sMFfQL2uxryjYy23nM1eq1QixiHpump</t>
        </is>
      </c>
      <c r="P260" s="16">
        <f>HYPERLINK("https://dexscreener.com/solana/ESvMjF5EHH5w6sMFfQL2uxryjYy23nM1eq1QixiHpump", "View")</f>
        <v/>
      </c>
    </row>
    <row r="261">
      <c r="A261" s="19" t="inlineStr">
        <is>
          <t>McDog</t>
        </is>
      </c>
      <c r="B261" s="20" t="n">
        <v>166216</v>
      </c>
      <c r="C261" s="20" t="n">
        <v>0</v>
      </c>
      <c r="D261" s="20" t="inlineStr">
        <is>
          <t>0.004210</t>
        </is>
      </c>
      <c r="E261" s="20" t="inlineStr">
        <is>
          <t>0.150 SOL</t>
        </is>
      </c>
      <c r="F261" s="20" t="inlineStr">
        <is>
          <t>0.000 SOL</t>
        </is>
      </c>
      <c r="G261" s="17" t="inlineStr">
        <is>
          <t>-0.154 SOL</t>
        </is>
      </c>
      <c r="H261" s="17" t="inlineStr">
        <is>
          <t>0.00%</t>
        </is>
      </c>
      <c r="I261" s="20" t="inlineStr">
        <is>
          <t>166,216</t>
        </is>
      </c>
      <c r="J261" s="20" t="n">
        <v>1</v>
      </c>
      <c r="K261" s="20" t="n">
        <v>0</v>
      </c>
      <c r="L261" s="20" t="inlineStr">
        <is>
          <t>21.10.2024 16:29:41</t>
        </is>
      </c>
      <c r="M261" s="18" t="inlineStr">
        <is>
          <t>0 sec</t>
        </is>
      </c>
      <c r="N261" s="20" t="inlineStr">
        <is>
          <t xml:space="preserve">        153K           153K             6K</t>
        </is>
      </c>
      <c r="O261" s="20" t="inlineStr">
        <is>
          <t>HQTg5oZKnNQD6FnoJMSc85D7vDfPBN9ru6TVs5NBpump</t>
        </is>
      </c>
      <c r="P261" s="20">
        <f>HYPERLINK("https://dexscreener.com/solana/HQTg5oZKnNQD6FnoJMSc85D7vDfPBN9ru6TVs5NBpump", "View")</f>
        <v/>
      </c>
    </row>
    <row r="262">
      <c r="A262" s="15" t="inlineStr">
        <is>
          <t>CIMON</t>
        </is>
      </c>
      <c r="B262" s="16" t="n">
        <v>127032</v>
      </c>
      <c r="C262" s="16" t="n">
        <v>0</v>
      </c>
      <c r="D262" s="16" t="inlineStr">
        <is>
          <t>0.004210</t>
        </is>
      </c>
      <c r="E262" s="16" t="inlineStr">
        <is>
          <t>0.150 SOL</t>
        </is>
      </c>
      <c r="F262" s="16" t="inlineStr">
        <is>
          <t>0.000 SOL</t>
        </is>
      </c>
      <c r="G262" s="17" t="inlineStr">
        <is>
          <t>-0.154 SOL</t>
        </is>
      </c>
      <c r="H262" s="17" t="inlineStr">
        <is>
          <t>0.00%</t>
        </is>
      </c>
      <c r="I262" s="16" t="inlineStr">
        <is>
          <t>127,032</t>
        </is>
      </c>
      <c r="J262" s="16" t="n">
        <v>1</v>
      </c>
      <c r="K262" s="16" t="n">
        <v>0</v>
      </c>
      <c r="L262" s="16" t="inlineStr">
        <is>
          <t>21.10.2024 16:17:19</t>
        </is>
      </c>
      <c r="M262" s="18" t="inlineStr">
        <is>
          <t>0 sec</t>
        </is>
      </c>
      <c r="N262" s="16" t="inlineStr">
        <is>
          <t xml:space="preserve">        207K           207K             5K</t>
        </is>
      </c>
      <c r="O262" s="16" t="inlineStr">
        <is>
          <t>Dfi9wKAzomtmcqV8PoKEWMgtyiA4mbpu5xCWGLrhpump</t>
        </is>
      </c>
      <c r="P262" s="16">
        <f>HYPERLINK("https://dexscreener.com/solana/Dfi9wKAzomtmcqV8PoKEWMgtyiA4mbpu5xCWGLrhpump", "View")</f>
        <v/>
      </c>
    </row>
    <row r="263">
      <c r="A263" s="19" t="inlineStr">
        <is>
          <t>OCA</t>
        </is>
      </c>
      <c r="B263" s="20" t="n">
        <v>714272</v>
      </c>
      <c r="C263" s="20" t="n">
        <v>714272</v>
      </c>
      <c r="D263" s="20" t="inlineStr">
        <is>
          <t>0.006910</t>
        </is>
      </c>
      <c r="E263" s="20" t="inlineStr">
        <is>
          <t>0.300 SOL</t>
        </is>
      </c>
      <c r="F263" s="20" t="inlineStr">
        <is>
          <t>0.787 SOL</t>
        </is>
      </c>
      <c r="G263" s="23" t="inlineStr">
        <is>
          <t>0.480 SOL</t>
        </is>
      </c>
      <c r="H263" s="23" t="inlineStr">
        <is>
          <t>156.52%</t>
        </is>
      </c>
      <c r="I263" s="20" t="inlineStr">
        <is>
          <t>N/A</t>
        </is>
      </c>
      <c r="J263" s="20" t="n">
        <v>2</v>
      </c>
      <c r="K263" s="20" t="n">
        <v>1</v>
      </c>
      <c r="L263" s="20" t="inlineStr">
        <is>
          <t>21.10.2024 15:31:12</t>
        </is>
      </c>
      <c r="M263" s="20" t="inlineStr">
        <is>
          <t>20 min</t>
        </is>
      </c>
      <c r="N263" s="20" t="inlineStr">
        <is>
          <t xml:space="preserve">         72K           193K             4K</t>
        </is>
      </c>
      <c r="O263" s="20" t="inlineStr">
        <is>
          <t>F5TiAj2CCaaHxDXFgu18sP9Ru4Bpzk6c8kjGVpZSpump</t>
        </is>
      </c>
      <c r="P263" s="20">
        <f>HYPERLINK("https://dexscreener.com/solana/F5TiAj2CCaaHxDXFgu18sP9Ru4Bpzk6c8kjGVpZSpump", "View")</f>
        <v/>
      </c>
    </row>
    <row r="264">
      <c r="A264" s="15" t="inlineStr">
        <is>
          <t>FRAUD</t>
        </is>
      </c>
      <c r="B264" s="16" t="n">
        <v>28273</v>
      </c>
      <c r="C264" s="16" t="n">
        <v>28273</v>
      </c>
      <c r="D264" s="16" t="inlineStr">
        <is>
          <t>0.003910</t>
        </is>
      </c>
      <c r="E264" s="16" t="inlineStr">
        <is>
          <t>0.150 SOL</t>
        </is>
      </c>
      <c r="F264" s="16" t="inlineStr">
        <is>
          <t>0.328 SOL</t>
        </is>
      </c>
      <c r="G264" s="23" t="inlineStr">
        <is>
          <t>0.174 SOL</t>
        </is>
      </c>
      <c r="H264" s="23" t="inlineStr">
        <is>
          <t>113.25%</t>
        </is>
      </c>
      <c r="I264" s="16" t="inlineStr">
        <is>
          <t>N/A</t>
        </is>
      </c>
      <c r="J264" s="16" t="n">
        <v>1</v>
      </c>
      <c r="K264" s="16" t="n">
        <v>1</v>
      </c>
      <c r="L264" s="16" t="inlineStr">
        <is>
          <t>21.10.2024 15:14:40</t>
        </is>
      </c>
      <c r="M264" s="16" t="inlineStr">
        <is>
          <t>19 min</t>
        </is>
      </c>
      <c r="N264" s="16" t="inlineStr">
        <is>
          <t xml:space="preserve">        850K             2M            43K</t>
        </is>
      </c>
      <c r="O264" s="16" t="inlineStr">
        <is>
          <t>CUots31KNMDbswxamS4fYQD3g4L3i4g2smT1djitpump</t>
        </is>
      </c>
      <c r="P264" s="16">
        <f>HYPERLINK("https://dexscreener.com/solana/CUots31KNMDbswxamS4fYQD3g4L3i4g2smT1djitpump", "View")</f>
        <v/>
      </c>
    </row>
    <row r="265">
      <c r="A265" s="19" t="inlineStr">
        <is>
          <t>Q*</t>
        </is>
      </c>
      <c r="B265" s="20" t="n">
        <v>233869</v>
      </c>
      <c r="C265" s="20" t="n">
        <v>0</v>
      </c>
      <c r="D265" s="20" t="inlineStr">
        <is>
          <t>0.000400</t>
        </is>
      </c>
      <c r="E265" s="20" t="inlineStr">
        <is>
          <t>0.149 SOL</t>
        </is>
      </c>
      <c r="F265" s="20" t="inlineStr">
        <is>
          <t>0.000 SOL</t>
        </is>
      </c>
      <c r="G265" s="17" t="inlineStr">
        <is>
          <t>-0.149 SOL</t>
        </is>
      </c>
      <c r="H265" s="17" t="inlineStr">
        <is>
          <t>0.00%</t>
        </is>
      </c>
      <c r="I265" s="20" t="inlineStr">
        <is>
          <t>233,869</t>
        </is>
      </c>
      <c r="J265" s="20" t="n">
        <v>1</v>
      </c>
      <c r="K265" s="20" t="n">
        <v>0</v>
      </c>
      <c r="L265" s="20" t="inlineStr">
        <is>
          <t>21.10.2024 14:59:43</t>
        </is>
      </c>
      <c r="M265" s="18" t="inlineStr">
        <is>
          <t>0 sec</t>
        </is>
      </c>
      <c r="N265" s="20" t="inlineStr">
        <is>
          <t xml:space="preserve">        112K           112K             5K</t>
        </is>
      </c>
      <c r="O265" s="20" t="inlineStr">
        <is>
          <t>4NBfgeyFkYgEB85xKpMJkXUrqLKTxinS2CnvQMrWpump</t>
        </is>
      </c>
      <c r="P265" s="20">
        <f>HYPERLINK("https://dexscreener.com/solana/4NBfgeyFkYgEB85xKpMJkXUrqLKTxinS2CnvQMrWpump", "View")</f>
        <v/>
      </c>
    </row>
    <row r="266">
      <c r="A266" s="15" t="inlineStr">
        <is>
          <t>loop</t>
        </is>
      </c>
      <c r="B266" s="16" t="n">
        <v>53724</v>
      </c>
      <c r="C266" s="16" t="n">
        <v>34566</v>
      </c>
      <c r="D266" s="16" t="inlineStr">
        <is>
          <t>0.003210</t>
        </is>
      </c>
      <c r="E266" s="16" t="inlineStr">
        <is>
          <t>0.100 SOL</t>
        </is>
      </c>
      <c r="F266" s="16" t="inlineStr">
        <is>
          <t>0.155 SOL</t>
        </is>
      </c>
      <c r="G266" s="23" t="inlineStr">
        <is>
          <t>0.052 SOL</t>
        </is>
      </c>
      <c r="H266" s="23" t="inlineStr">
        <is>
          <t>50.18%</t>
        </is>
      </c>
      <c r="I266" s="16" t="inlineStr">
        <is>
          <t>N/A</t>
        </is>
      </c>
      <c r="J266" s="16" t="n">
        <v>1</v>
      </c>
      <c r="K266" s="16" t="n">
        <v>1</v>
      </c>
      <c r="L266" s="16" t="inlineStr">
        <is>
          <t>21.10.2024 13:48:18</t>
        </is>
      </c>
      <c r="M266" s="16" t="inlineStr">
        <is>
          <t>5 min</t>
        </is>
      </c>
      <c r="N266" s="16" t="inlineStr">
        <is>
          <t xml:space="preserve">        327K           787K            17K</t>
        </is>
      </c>
      <c r="O266" s="16" t="inlineStr">
        <is>
          <t>33ihhsv2zxE1uxRQTpKKkLzFq1gL514G11brfgqGpump</t>
        </is>
      </c>
      <c r="P266" s="16">
        <f>HYPERLINK("https://dexscreener.com/solana/33ihhsv2zxE1uxRQTpKKkLzFq1gL514G11brfgqGpump", "View")</f>
        <v/>
      </c>
    </row>
    <row r="267">
      <c r="A267" s="19" t="inlineStr">
        <is>
          <t>wDOG</t>
        </is>
      </c>
      <c r="B267" s="20" t="n">
        <v>186</v>
      </c>
      <c r="C267" s="20" t="n">
        <v>43428</v>
      </c>
      <c r="D267" s="20" t="inlineStr">
        <is>
          <t>0.000810</t>
        </is>
      </c>
      <c r="E267" s="20" t="inlineStr">
        <is>
          <t>0.010 SOL</t>
        </is>
      </c>
      <c r="F267" s="20" t="inlineStr">
        <is>
          <t>2.187 SOL</t>
        </is>
      </c>
      <c r="G267" s="23" t="inlineStr">
        <is>
          <t>2.177 SOL</t>
        </is>
      </c>
      <c r="H267" s="23" t="inlineStr">
        <is>
          <t>20294.92%</t>
        </is>
      </c>
      <c r="I267" s="20" t="inlineStr">
        <is>
          <t>N/A</t>
        </is>
      </c>
      <c r="J267" s="20" t="n">
        <v>1</v>
      </c>
      <c r="K267" s="20" t="n">
        <v>1</v>
      </c>
      <c r="L267" s="20" t="inlineStr">
        <is>
          <t>21.10.2024 06:05:00</t>
        </is>
      </c>
      <c r="M267" s="20" t="inlineStr">
        <is>
          <t>10 hours</t>
        </is>
      </c>
      <c r="N267" s="20" t="inlineStr">
        <is>
          <t xml:space="preserve">          9M             9M             7M</t>
        </is>
      </c>
      <c r="O267" s="20" t="inlineStr">
        <is>
          <t>GYKmdfcUmZVrqfcH1g579BGjuzSRijj3LBuwv79rpump</t>
        </is>
      </c>
      <c r="P267" s="20">
        <f>HYPERLINK("https://dexscreener.com/solana/GYKmdfcUmZVrqfcH1g579BGjuzSRijj3LBuwv79rpump", "View")</f>
        <v/>
      </c>
    </row>
    <row r="268">
      <c r="A268" s="15" t="inlineStr">
        <is>
          <t>$AxSys</t>
        </is>
      </c>
      <c r="B268" s="16" t="n">
        <v>275517</v>
      </c>
      <c r="C268" s="16" t="n">
        <v>0</v>
      </c>
      <c r="D268" s="16" t="inlineStr">
        <is>
          <t>0.000400</t>
        </is>
      </c>
      <c r="E268" s="16" t="inlineStr">
        <is>
          <t>0.149 SOL</t>
        </is>
      </c>
      <c r="F268" s="16" t="inlineStr">
        <is>
          <t>0.000 SOL</t>
        </is>
      </c>
      <c r="G268" s="17" t="inlineStr">
        <is>
          <t>-0.149 SOL</t>
        </is>
      </c>
      <c r="H268" s="17" t="inlineStr">
        <is>
          <t>0.00%</t>
        </is>
      </c>
      <c r="I268" s="16" t="inlineStr">
        <is>
          <t>275,517</t>
        </is>
      </c>
      <c r="J268" s="16" t="n">
        <v>1</v>
      </c>
      <c r="K268" s="16" t="n">
        <v>0</v>
      </c>
      <c r="L268" s="16" t="inlineStr">
        <is>
          <t>20.10.2024 18:59:18</t>
        </is>
      </c>
      <c r="M268" s="18" t="inlineStr">
        <is>
          <t>0 sec</t>
        </is>
      </c>
      <c r="N268" s="16" t="inlineStr">
        <is>
          <t xml:space="preserve">         95K            95K            15K</t>
        </is>
      </c>
      <c r="O268" s="16" t="inlineStr">
        <is>
          <t>BxBWLrR2qwkTqcyMqeCAAomi5SWu1HgJoiSJtD1vpump</t>
        </is>
      </c>
      <c r="P268" s="16">
        <f>HYPERLINK("https://dexscreener.com/solana/BxBWLrR2qwkTqcyMqeCAAomi5SWu1HgJoiSJtD1vpump", "View")</f>
        <v/>
      </c>
    </row>
    <row r="269">
      <c r="A269" s="19" t="inlineStr">
        <is>
          <t>RT</t>
        </is>
      </c>
      <c r="B269" s="20" t="n">
        <v>180677</v>
      </c>
      <c r="C269" s="20" t="n">
        <v>0</v>
      </c>
      <c r="D269" s="20" t="inlineStr">
        <is>
          <t>0.000110</t>
        </is>
      </c>
      <c r="E269" s="20" t="inlineStr">
        <is>
          <t>0.149 SOL</t>
        </is>
      </c>
      <c r="F269" s="20" t="inlineStr">
        <is>
          <t>0.000 SOL</t>
        </is>
      </c>
      <c r="G269" s="17" t="inlineStr">
        <is>
          <t>-0.149 SOL</t>
        </is>
      </c>
      <c r="H269" s="17" t="inlineStr">
        <is>
          <t>0.00%</t>
        </is>
      </c>
      <c r="I269" s="20" t="inlineStr">
        <is>
          <t>180,677</t>
        </is>
      </c>
      <c r="J269" s="20" t="n">
        <v>1</v>
      </c>
      <c r="K269" s="20" t="n">
        <v>0</v>
      </c>
      <c r="L269" s="20" t="inlineStr">
        <is>
          <t>20.10.2024 17:42:31</t>
        </is>
      </c>
      <c r="M269" s="18" t="inlineStr">
        <is>
          <t>0 sec</t>
        </is>
      </c>
      <c r="N269" s="20" t="inlineStr">
        <is>
          <t xml:space="preserve">        144K           144K             5K</t>
        </is>
      </c>
      <c r="O269" s="20" t="inlineStr">
        <is>
          <t>Caiswsszs9JRDND1NLvrPC68Fr561B7MWgXee6nCpump</t>
        </is>
      </c>
      <c r="P269" s="20">
        <f>HYPERLINK("https://dexscreener.com/solana/Caiswsszs9JRDND1NLvrPC68Fr561B7MWgXee6nCpump", "View")</f>
        <v/>
      </c>
    </row>
    <row r="270">
      <c r="A270" s="15" t="inlineStr">
        <is>
          <t>布留川</t>
        </is>
      </c>
      <c r="B270" s="16" t="n">
        <v>975561</v>
      </c>
      <c r="C270" s="16" t="n">
        <v>975560</v>
      </c>
      <c r="D270" s="16" t="inlineStr">
        <is>
          <t>0.003220</t>
        </is>
      </c>
      <c r="E270" s="16" t="inlineStr">
        <is>
          <t>0.112 SOL</t>
        </is>
      </c>
      <c r="F270" s="16" t="inlineStr">
        <is>
          <t>0.028 SOL</t>
        </is>
      </c>
      <c r="G270" s="24" t="inlineStr">
        <is>
          <t>-0.087 SOL</t>
        </is>
      </c>
      <c r="H270" s="24" t="inlineStr">
        <is>
          <t>-76.06%</t>
        </is>
      </c>
      <c r="I270" s="16" t="inlineStr">
        <is>
          <t>N/A</t>
        </is>
      </c>
      <c r="J270" s="16" t="n">
        <v>1</v>
      </c>
      <c r="K270" s="16" t="n">
        <v>1</v>
      </c>
      <c r="L270" s="16" t="inlineStr">
        <is>
          <t>20.10.2024 10:46:33</t>
        </is>
      </c>
      <c r="M270" s="16" t="inlineStr">
        <is>
          <t>18 hours</t>
        </is>
      </c>
      <c r="N270" s="16" t="inlineStr">
        <is>
          <t xml:space="preserve">         19K            19K             5K</t>
        </is>
      </c>
      <c r="O270" s="16" t="inlineStr">
        <is>
          <t>D72hu9aQa4r67s7DV7JnFNoKmSRh7MTFUKwsSdmfpump</t>
        </is>
      </c>
      <c r="P270" s="16">
        <f>HYPERLINK("https://photon-sol.tinyastro.io/en/lp/D72hu9aQa4r67s7DV7JnFNoKmSRh7MTFUKwsSdmfpump?handle=676050794bc1b1657a56b", "View")</f>
        <v/>
      </c>
    </row>
    <row r="271">
      <c r="A271" s="19" t="inlineStr">
        <is>
          <t>ANTRA</t>
        </is>
      </c>
      <c r="B271" s="20" t="n">
        <v>1401669</v>
      </c>
      <c r="C271" s="20" t="n">
        <v>1401669</v>
      </c>
      <c r="D271" s="20" t="inlineStr">
        <is>
          <t>0.000780</t>
        </is>
      </c>
      <c r="E271" s="20" t="inlineStr">
        <is>
          <t>0.100 SOL</t>
        </is>
      </c>
      <c r="F271" s="20" t="inlineStr">
        <is>
          <t>0.397 SOL</t>
        </is>
      </c>
      <c r="G271" s="23" t="inlineStr">
        <is>
          <t>0.296 SOL</t>
        </is>
      </c>
      <c r="H271" s="23" t="inlineStr">
        <is>
          <t>293.94%</t>
        </is>
      </c>
      <c r="I271" s="20" t="inlineStr">
        <is>
          <t>N/A</t>
        </is>
      </c>
      <c r="J271" s="20" t="n">
        <v>1</v>
      </c>
      <c r="K271" s="20" t="n">
        <v>2</v>
      </c>
      <c r="L271" s="20" t="inlineStr">
        <is>
          <t>20.10.2024 10:45:21</t>
        </is>
      </c>
      <c r="M271" s="20" t="inlineStr">
        <is>
          <t>2 days</t>
        </is>
      </c>
      <c r="N271" s="20" t="inlineStr">
        <is>
          <t xml:space="preserve">         12K            12K             9K</t>
        </is>
      </c>
      <c r="O271" s="20" t="inlineStr">
        <is>
          <t>AjN8QqccEnuQ8WxXub8ncjP3qb9bBGhEpggDMdFUpump</t>
        </is>
      </c>
      <c r="P271" s="20">
        <f>HYPERLINK("https://dexscreener.com/solana/AjN8QqccEnuQ8WxXub8ncjP3qb9bBGhEpggDMdFUpump", "View")</f>
        <v/>
      </c>
    </row>
    <row r="272">
      <c r="A272" s="15" t="inlineStr">
        <is>
          <t>Domo</t>
        </is>
      </c>
      <c r="B272" s="16" t="n">
        <v>283305</v>
      </c>
      <c r="C272" s="16" t="n">
        <v>283305</v>
      </c>
      <c r="D272" s="16" t="inlineStr">
        <is>
          <t>0.000910</t>
        </is>
      </c>
      <c r="E272" s="16" t="inlineStr">
        <is>
          <t>0.299 SOL</t>
        </is>
      </c>
      <c r="F272" s="16" t="inlineStr">
        <is>
          <t>0.689 SOL</t>
        </is>
      </c>
      <c r="G272" s="23" t="inlineStr">
        <is>
          <t>0.389 SOL</t>
        </is>
      </c>
      <c r="H272" s="23" t="inlineStr">
        <is>
          <t>129.80%</t>
        </is>
      </c>
      <c r="I272" s="16" t="inlineStr">
        <is>
          <t>N/A</t>
        </is>
      </c>
      <c r="J272" s="16" t="n">
        <v>2</v>
      </c>
      <c r="K272" s="16" t="n">
        <v>3</v>
      </c>
      <c r="L272" s="16" t="inlineStr">
        <is>
          <t>20.10.2024 10:44:32</t>
        </is>
      </c>
      <c r="M272" s="16" t="inlineStr">
        <is>
          <t>1 days</t>
        </is>
      </c>
      <c r="N272" s="16" t="inlineStr">
        <is>
          <t xml:space="preserve">        393K           121K             5K</t>
        </is>
      </c>
      <c r="O272" s="16" t="inlineStr">
        <is>
          <t>EE88dcuJmLDfHgvzQE4RE9i5a6CxCs5htVx32h3FZmHv</t>
        </is>
      </c>
      <c r="P272" s="16">
        <f>HYPERLINK("https://dexscreener.com/solana/EE88dcuJmLDfHgvzQE4RE9i5a6CxCs5htVx32h3FZmHv", "View")</f>
        <v/>
      </c>
    </row>
    <row r="273">
      <c r="A273" s="19" t="inlineStr">
        <is>
          <t>Novus</t>
        </is>
      </c>
      <c r="B273" s="20" t="n">
        <v>445957</v>
      </c>
      <c r="C273" s="20" t="n">
        <v>0</v>
      </c>
      <c r="D273" s="20" t="inlineStr">
        <is>
          <t>0.000560</t>
        </is>
      </c>
      <c r="E273" s="20" t="inlineStr">
        <is>
          <t>0.150 SOL</t>
        </is>
      </c>
      <c r="F273" s="20" t="inlineStr">
        <is>
          <t>0.000 SOL</t>
        </is>
      </c>
      <c r="G273" s="17" t="inlineStr">
        <is>
          <t>-0.151 SOL</t>
        </is>
      </c>
      <c r="H273" s="17" t="inlineStr">
        <is>
          <t>0.00%</t>
        </is>
      </c>
      <c r="I273" s="20" t="inlineStr">
        <is>
          <t>445,957</t>
        </is>
      </c>
      <c r="J273" s="20" t="n">
        <v>1</v>
      </c>
      <c r="K273" s="20" t="n">
        <v>0</v>
      </c>
      <c r="L273" s="20" t="inlineStr">
        <is>
          <t>20.10.2024 08:50:05</t>
        </is>
      </c>
      <c r="M273" s="18" t="inlineStr">
        <is>
          <t>0 sec</t>
        </is>
      </c>
      <c r="N273" s="20" t="inlineStr">
        <is>
          <t xml:space="preserve">         60K            60K             9K</t>
        </is>
      </c>
      <c r="O273" s="20" t="inlineStr">
        <is>
          <t>vyPu3cip3jEDPqkigX92LcLdwyaFxmbg7UJmSVipump</t>
        </is>
      </c>
      <c r="P273" s="20">
        <f>HYPERLINK("https://dexscreener.com/solana/vyPu3cip3jEDPqkigX92LcLdwyaFxmbg7UJmSVipump", "View")</f>
        <v/>
      </c>
    </row>
    <row r="274">
      <c r="A274" s="15" t="inlineStr">
        <is>
          <t>karkat</t>
        </is>
      </c>
      <c r="B274" s="16" t="n">
        <v>165537</v>
      </c>
      <c r="C274" s="16" t="n">
        <v>82769</v>
      </c>
      <c r="D274" s="16" t="inlineStr">
        <is>
          <t>0.000210</t>
        </is>
      </c>
      <c r="E274" s="16" t="inlineStr">
        <is>
          <t>0.149 SOL</t>
        </is>
      </c>
      <c r="F274" s="16" t="inlineStr">
        <is>
          <t>0.306 SOL</t>
        </is>
      </c>
      <c r="G274" s="23" t="inlineStr">
        <is>
          <t>0.157 SOL</t>
        </is>
      </c>
      <c r="H274" s="23" t="inlineStr">
        <is>
          <t>105.70%</t>
        </is>
      </c>
      <c r="I274" s="16" t="inlineStr">
        <is>
          <t>N/A</t>
        </is>
      </c>
      <c r="J274" s="16" t="n">
        <v>1</v>
      </c>
      <c r="K274" s="16" t="n">
        <v>1</v>
      </c>
      <c r="L274" s="16" t="inlineStr">
        <is>
          <t>19.10.2024 18:52:59</t>
        </is>
      </c>
      <c r="M274" s="16" t="inlineStr">
        <is>
          <t>4 hours</t>
        </is>
      </c>
      <c r="N274" s="16" t="inlineStr">
        <is>
          <t xml:space="preserve">        158K           158K             8K</t>
        </is>
      </c>
      <c r="O274" s="16" t="inlineStr">
        <is>
          <t>2jMqFewHv11qiRfupKLe1JoT63yJ34ePULZkZnx2pump</t>
        </is>
      </c>
      <c r="P274" s="16">
        <f>HYPERLINK("https://dexscreener.com/solana/2jMqFewHv11qiRfupKLe1JoT63yJ34ePULZkZnx2pump", "View")</f>
        <v/>
      </c>
    </row>
    <row r="275">
      <c r="A275" s="19" t="inlineStr">
        <is>
          <t>LOOM</t>
        </is>
      </c>
      <c r="B275" s="20" t="n">
        <v>6623</v>
      </c>
      <c r="C275" s="20" t="n">
        <v>0</v>
      </c>
      <c r="D275" s="20" t="inlineStr">
        <is>
          <t>0.000110</t>
        </is>
      </c>
      <c r="E275" s="20" t="inlineStr">
        <is>
          <t>0.149 SOL</t>
        </is>
      </c>
      <c r="F275" s="20" t="inlineStr">
        <is>
          <t>0.000 SOL</t>
        </is>
      </c>
      <c r="G275" s="17" t="inlineStr">
        <is>
          <t>-0.149 SOL</t>
        </is>
      </c>
      <c r="H275" s="17" t="inlineStr">
        <is>
          <t>0.00%</t>
        </is>
      </c>
      <c r="I275" s="20" t="inlineStr">
        <is>
          <t>6,623</t>
        </is>
      </c>
      <c r="J275" s="20" t="n">
        <v>1</v>
      </c>
      <c r="K275" s="20" t="n">
        <v>0</v>
      </c>
      <c r="L275" s="20" t="inlineStr">
        <is>
          <t>19.10.2024 18:09:55</t>
        </is>
      </c>
      <c r="M275" s="18" t="inlineStr">
        <is>
          <t>0 sec</t>
        </is>
      </c>
      <c r="N275" s="20" t="inlineStr">
        <is>
          <t xml:space="preserve">          4M             4M           147K</t>
        </is>
      </c>
      <c r="O275" s="20" t="inlineStr">
        <is>
          <t>D57CP6MA7G5idNmxAuigU6W8uPeiGvDVuuwh4z2ypump</t>
        </is>
      </c>
      <c r="P275" s="20">
        <f>HYPERLINK("https://dexscreener.com/solana/D57CP6MA7G5idNmxAuigU6W8uPeiGvDVuuwh4z2ypump", "View")</f>
        <v/>
      </c>
    </row>
    <row r="276">
      <c r="A276" s="15" t="inlineStr">
        <is>
          <t>AI</t>
        </is>
      </c>
      <c r="B276" s="16" t="n">
        <v>0</v>
      </c>
      <c r="C276" s="16" t="n">
        <v>0</v>
      </c>
      <c r="D276" s="16" t="inlineStr">
        <is>
          <t>0.000110</t>
        </is>
      </c>
      <c r="E276" s="16" t="inlineStr">
        <is>
          <t>0.149 SOL</t>
        </is>
      </c>
      <c r="F276" s="16" t="inlineStr">
        <is>
          <t>0.000 SOL</t>
        </is>
      </c>
      <c r="G276" s="17" t="inlineStr">
        <is>
          <t>-0.149 SOL</t>
        </is>
      </c>
      <c r="H276" s="17" t="inlineStr">
        <is>
          <t>0.00%</t>
        </is>
      </c>
      <c r="I276" s="16" t="inlineStr">
        <is>
          <t>0</t>
        </is>
      </c>
      <c r="J276" s="16" t="n">
        <v>1</v>
      </c>
      <c r="K276" s="16" t="n">
        <v>0</v>
      </c>
      <c r="L276" s="16" t="inlineStr">
        <is>
          <t>19.10.2024 18:09:24</t>
        </is>
      </c>
      <c r="M276" s="18" t="inlineStr">
        <is>
          <t>0 sec</t>
        </is>
      </c>
      <c r="N276" s="16" t="inlineStr">
        <is>
          <t xml:space="preserve">        237K           237K            26K</t>
        </is>
      </c>
      <c r="O276" s="16" t="inlineStr">
        <is>
          <t>EHR26YDrqW4rwWVoNqfPXN7Dc3RvidvU63GYDqrm7A6P</t>
        </is>
      </c>
      <c r="P276" s="16">
        <f>HYPERLINK("https://dexscreener.com/solana/EHR26YDrqW4rwWVoNqfPXN7Dc3RvidvU63GYDqrm7A6P", "View")</f>
        <v/>
      </c>
    </row>
    <row r="277">
      <c r="A277" s="19" t="inlineStr">
        <is>
          <t>Egregore</t>
        </is>
      </c>
      <c r="B277" s="20" t="n">
        <v>414514</v>
      </c>
      <c r="C277" s="20" t="n">
        <v>0</v>
      </c>
      <c r="D277" s="20" t="inlineStr">
        <is>
          <t>0.000110</t>
        </is>
      </c>
      <c r="E277" s="20" t="inlineStr">
        <is>
          <t>0.149 SOL</t>
        </is>
      </c>
      <c r="F277" s="20" t="inlineStr">
        <is>
          <t>0.000 SOL</t>
        </is>
      </c>
      <c r="G277" s="17" t="inlineStr">
        <is>
          <t>-0.149 SOL</t>
        </is>
      </c>
      <c r="H277" s="17" t="inlineStr">
        <is>
          <t>0.00%</t>
        </is>
      </c>
      <c r="I277" s="20" t="inlineStr">
        <is>
          <t>414,514</t>
        </is>
      </c>
      <c r="J277" s="20" t="n">
        <v>1</v>
      </c>
      <c r="K277" s="20" t="n">
        <v>0</v>
      </c>
      <c r="L277" s="20" t="inlineStr">
        <is>
          <t>19.10.2024 18:04:28</t>
        </is>
      </c>
      <c r="M277" s="18" t="inlineStr">
        <is>
          <t>0 sec</t>
        </is>
      </c>
      <c r="N277" s="20" t="inlineStr">
        <is>
          <t xml:space="preserve">         63K            63K             6K</t>
        </is>
      </c>
      <c r="O277" s="20" t="inlineStr">
        <is>
          <t>7SU4Ghh1jemFJCnNgg8GoT35Vii1BAmxWbnJYvK8pump</t>
        </is>
      </c>
      <c r="P277" s="20">
        <f>HYPERLINK("https://dexscreener.com/solana/7SU4Ghh1jemFJCnNgg8GoT35Vii1BAmxWbnJYvK8pump", "View")</f>
        <v/>
      </c>
    </row>
    <row r="278">
      <c r="A278" s="15" t="inlineStr">
        <is>
          <t>pmarca</t>
        </is>
      </c>
      <c r="B278" s="16" t="n">
        <v>57326</v>
      </c>
      <c r="C278" s="16" t="n">
        <v>0</v>
      </c>
      <c r="D278" s="16" t="inlineStr">
        <is>
          <t>0.000560</t>
        </is>
      </c>
      <c r="E278" s="16" t="inlineStr">
        <is>
          <t>0.150 SOL</t>
        </is>
      </c>
      <c r="F278" s="16" t="inlineStr">
        <is>
          <t>0.000 SOL</t>
        </is>
      </c>
      <c r="G278" s="17" t="inlineStr">
        <is>
          <t>-0.151 SOL</t>
        </is>
      </c>
      <c r="H278" s="17" t="inlineStr">
        <is>
          <t>0.00%</t>
        </is>
      </c>
      <c r="I278" s="16" t="inlineStr">
        <is>
          <t>57,326</t>
        </is>
      </c>
      <c r="J278" s="16" t="n">
        <v>1</v>
      </c>
      <c r="K278" s="16" t="n">
        <v>0</v>
      </c>
      <c r="L278" s="16" t="inlineStr">
        <is>
          <t>19.10.2024 17:49:28</t>
        </is>
      </c>
      <c r="M278" s="18" t="inlineStr">
        <is>
          <t>0 sec</t>
        </is>
      </c>
      <c r="N278" s="16" t="inlineStr">
        <is>
          <t xml:space="preserve">        460K           460K            34K</t>
        </is>
      </c>
      <c r="O278" s="16" t="inlineStr">
        <is>
          <t>ASYYqwd3opdXHmmK3KSDHrtB1gCmZzB8PA8QVbaB39Qx</t>
        </is>
      </c>
      <c r="P278" s="16">
        <f>HYPERLINK("https://dexscreener.com/solana/ASYYqwd3opdXHmmK3KSDHrtB1gCmZzB8PA8QVbaB39Qx", "View")</f>
        <v/>
      </c>
    </row>
    <row r="279">
      <c r="A279" s="19" t="inlineStr">
        <is>
          <t>DOTS</t>
        </is>
      </c>
      <c r="B279" s="20" t="n">
        <v>102233</v>
      </c>
      <c r="C279" s="20" t="n">
        <v>0</v>
      </c>
      <c r="D279" s="20" t="inlineStr">
        <is>
          <t>0.000110</t>
        </is>
      </c>
      <c r="E279" s="20" t="inlineStr">
        <is>
          <t>0.149 SOL</t>
        </is>
      </c>
      <c r="F279" s="20" t="inlineStr">
        <is>
          <t>0.000 SOL</t>
        </is>
      </c>
      <c r="G279" s="17" t="inlineStr">
        <is>
          <t>-0.149 SOL</t>
        </is>
      </c>
      <c r="H279" s="17" t="inlineStr">
        <is>
          <t>0.00%</t>
        </is>
      </c>
      <c r="I279" s="20" t="inlineStr">
        <is>
          <t>102,233</t>
        </is>
      </c>
      <c r="J279" s="20" t="n">
        <v>1</v>
      </c>
      <c r="K279" s="20" t="n">
        <v>0</v>
      </c>
      <c r="L279" s="20" t="inlineStr">
        <is>
          <t>19.10.2024 17:07:55</t>
        </is>
      </c>
      <c r="M279" s="18" t="inlineStr">
        <is>
          <t>0 sec</t>
        </is>
      </c>
      <c r="N279" s="20" t="inlineStr">
        <is>
          <t xml:space="preserve">        255K           255K            25K</t>
        </is>
      </c>
      <c r="O279" s="20" t="inlineStr">
        <is>
          <t>HTYdC5YeGTZ88NA9h1WKzzamoXDcjRGxsjaeq4qjpump</t>
        </is>
      </c>
      <c r="P279" s="20">
        <f>HYPERLINK("https://dexscreener.com/solana/HTYdC5YeGTZ88NA9h1WKzzamoXDcjRGxsjaeq4qjpump", "View")</f>
        <v/>
      </c>
    </row>
    <row r="280">
      <c r="A280" s="15" t="inlineStr">
        <is>
          <t>ALICE</t>
        </is>
      </c>
      <c r="B280" s="16" t="n">
        <v>354041</v>
      </c>
      <c r="C280" s="16" t="n">
        <v>0</v>
      </c>
      <c r="D280" s="16" t="inlineStr">
        <is>
          <t>0.000110</t>
        </is>
      </c>
      <c r="E280" s="16" t="inlineStr">
        <is>
          <t>0.149 SOL</t>
        </is>
      </c>
      <c r="F280" s="16" t="inlineStr">
        <is>
          <t>0.000 SOL</t>
        </is>
      </c>
      <c r="G280" s="17" t="inlineStr">
        <is>
          <t>-0.149 SOL</t>
        </is>
      </c>
      <c r="H280" s="17" t="inlineStr">
        <is>
          <t>0.00%</t>
        </is>
      </c>
      <c r="I280" s="16" t="inlineStr">
        <is>
          <t>354,041</t>
        </is>
      </c>
      <c r="J280" s="16" t="n">
        <v>1</v>
      </c>
      <c r="K280" s="16" t="n">
        <v>0</v>
      </c>
      <c r="L280" s="16" t="inlineStr">
        <is>
          <t>19.10.2024 16:07:13</t>
        </is>
      </c>
      <c r="M280" s="18" t="inlineStr">
        <is>
          <t>0 sec</t>
        </is>
      </c>
      <c r="N280" s="16" t="inlineStr">
        <is>
          <t xml:space="preserve">         72K            72K             4K</t>
        </is>
      </c>
      <c r="O280" s="16" t="inlineStr">
        <is>
          <t>71wzELENatx68xsLc7QaBZaqumykADtdTAuKdJCtpump</t>
        </is>
      </c>
      <c r="P280" s="16">
        <f>HYPERLINK("https://dexscreener.com/solana/71wzELENatx68xsLc7QaBZaqumykADtdTAuKdJCtpump", "View")</f>
        <v/>
      </c>
    </row>
    <row r="281">
      <c r="A281" s="19" t="inlineStr">
        <is>
          <t>🐉</t>
        </is>
      </c>
      <c r="B281" s="20" t="n">
        <v>490351</v>
      </c>
      <c r="C281" s="20" t="n">
        <v>0</v>
      </c>
      <c r="D281" s="20" t="inlineStr">
        <is>
          <t>0.000110</t>
        </is>
      </c>
      <c r="E281" s="20" t="inlineStr">
        <is>
          <t>0.149 SOL</t>
        </is>
      </c>
      <c r="F281" s="20" t="inlineStr">
        <is>
          <t>0.000 SOL</t>
        </is>
      </c>
      <c r="G281" s="17" t="inlineStr">
        <is>
          <t>-0.149 SOL</t>
        </is>
      </c>
      <c r="H281" s="17" t="inlineStr">
        <is>
          <t>0.00%</t>
        </is>
      </c>
      <c r="I281" s="20" t="inlineStr">
        <is>
          <t>490,351</t>
        </is>
      </c>
      <c r="J281" s="20" t="n">
        <v>1</v>
      </c>
      <c r="K281" s="20" t="n">
        <v>0</v>
      </c>
      <c r="L281" s="20" t="inlineStr">
        <is>
          <t>19.10.2024 15:40:52</t>
        </is>
      </c>
      <c r="M281" s="18" t="inlineStr">
        <is>
          <t>0 sec</t>
        </is>
      </c>
      <c r="N281" s="20" t="inlineStr">
        <is>
          <t xml:space="preserve">         53K            53K             6K</t>
        </is>
      </c>
      <c r="O281" s="20" t="inlineStr">
        <is>
          <t>AUQmeCUyRPk2iGJewBwpXaUKUEAhvFnh6qyQSBAapump</t>
        </is>
      </c>
      <c r="P281" s="20">
        <f>HYPERLINK("https://dexscreener.com/solana/AUQmeCUyRPk2iGJewBwpXaUKUEAhvFnh6qyQSBAapump", "View")</f>
        <v/>
      </c>
    </row>
    <row r="282">
      <c r="A282" s="15" t="inlineStr">
        <is>
          <t xml:space="preserve">EXONUMIA </t>
        </is>
      </c>
      <c r="B282" s="16" t="n">
        <v>231744</v>
      </c>
      <c r="C282" s="16" t="n">
        <v>0</v>
      </c>
      <c r="D282" s="16" t="inlineStr">
        <is>
          <t>0.000110</t>
        </is>
      </c>
      <c r="E282" s="16" t="inlineStr">
        <is>
          <t>0.149 SOL</t>
        </is>
      </c>
      <c r="F282" s="16" t="inlineStr">
        <is>
          <t>0.000 SOL</t>
        </is>
      </c>
      <c r="G282" s="17" t="inlineStr">
        <is>
          <t>-0.149 SOL</t>
        </is>
      </c>
      <c r="H282" s="17" t="inlineStr">
        <is>
          <t>0.00%</t>
        </is>
      </c>
      <c r="I282" s="16" t="inlineStr">
        <is>
          <t>231,744</t>
        </is>
      </c>
      <c r="J282" s="16" t="n">
        <v>1</v>
      </c>
      <c r="K282" s="16" t="n">
        <v>0</v>
      </c>
      <c r="L282" s="16" t="inlineStr">
        <is>
          <t>19.10.2024 15:30:47</t>
        </is>
      </c>
      <c r="M282" s="18" t="inlineStr">
        <is>
          <t>0 sec</t>
        </is>
      </c>
      <c r="N282" s="16" t="inlineStr">
        <is>
          <t xml:space="preserve">        112K           112K            10K</t>
        </is>
      </c>
      <c r="O282" s="16" t="inlineStr">
        <is>
          <t>7XTBPLyRXFB4Vs1cXMVaeHFN4hQPL7JZHVV2A54Dpump</t>
        </is>
      </c>
      <c r="P282" s="16">
        <f>HYPERLINK("https://dexscreener.com/solana/7XTBPLyRXFB4Vs1cXMVaeHFN4hQPL7JZHVV2A54Dpump", "View")</f>
        <v/>
      </c>
    </row>
    <row r="283">
      <c r="A283" s="19" t="inlineStr">
        <is>
          <t>Chaco</t>
        </is>
      </c>
      <c r="B283" s="20" t="n">
        <v>179682</v>
      </c>
      <c r="C283" s="20" t="n">
        <v>0</v>
      </c>
      <c r="D283" s="20" t="inlineStr">
        <is>
          <t>0.000110</t>
        </is>
      </c>
      <c r="E283" s="20" t="inlineStr">
        <is>
          <t>0.149 SOL</t>
        </is>
      </c>
      <c r="F283" s="20" t="inlineStr">
        <is>
          <t>0.000 SOL</t>
        </is>
      </c>
      <c r="G283" s="17" t="inlineStr">
        <is>
          <t>-0.149 SOL</t>
        </is>
      </c>
      <c r="H283" s="17" t="inlineStr">
        <is>
          <t>0.00%</t>
        </is>
      </c>
      <c r="I283" s="20" t="inlineStr">
        <is>
          <t>179,682</t>
        </is>
      </c>
      <c r="J283" s="20" t="n">
        <v>1</v>
      </c>
      <c r="K283" s="20" t="n">
        <v>0</v>
      </c>
      <c r="L283" s="20" t="inlineStr">
        <is>
          <t>19.10.2024 15:14:16</t>
        </is>
      </c>
      <c r="M283" s="18" t="inlineStr">
        <is>
          <t>0 sec</t>
        </is>
      </c>
      <c r="N283" s="20" t="inlineStr">
        <is>
          <t xml:space="preserve">        146K           146K             4K</t>
        </is>
      </c>
      <c r="O283" s="20" t="inlineStr">
        <is>
          <t>6Yqn326p2BB87PmaoWcbpkDcY5bcavRSiw8u9Gmwpump</t>
        </is>
      </c>
      <c r="P283" s="20">
        <f>HYPERLINK("https://dexscreener.com/solana/6Yqn326p2BB87PmaoWcbpkDcY5bcavRSiw8u9Gmwpump", "View")</f>
        <v/>
      </c>
    </row>
    <row r="284">
      <c r="A284" s="15" t="inlineStr">
        <is>
          <t>simulation</t>
        </is>
      </c>
      <c r="B284" s="16" t="n">
        <v>164009</v>
      </c>
      <c r="C284" s="16" t="n">
        <v>0</v>
      </c>
      <c r="D284" s="16" t="inlineStr">
        <is>
          <t>0.000560</t>
        </is>
      </c>
      <c r="E284" s="16" t="inlineStr">
        <is>
          <t>0.150 SOL</t>
        </is>
      </c>
      <c r="F284" s="16" t="inlineStr">
        <is>
          <t>0.000 SOL</t>
        </is>
      </c>
      <c r="G284" s="17" t="inlineStr">
        <is>
          <t>-0.151 SOL</t>
        </is>
      </c>
      <c r="H284" s="17" t="inlineStr">
        <is>
          <t>0.00%</t>
        </is>
      </c>
      <c r="I284" s="16" t="inlineStr">
        <is>
          <t>164,009</t>
        </is>
      </c>
      <c r="J284" s="16" t="n">
        <v>1</v>
      </c>
      <c r="K284" s="16" t="n">
        <v>0</v>
      </c>
      <c r="L284" s="16" t="inlineStr">
        <is>
          <t>19.10.2024 13:49:55</t>
        </is>
      </c>
      <c r="M284" s="18" t="inlineStr">
        <is>
          <t>0 sec</t>
        </is>
      </c>
      <c r="N284" s="16" t="inlineStr">
        <is>
          <t xml:space="preserve">        149K           149K             6K</t>
        </is>
      </c>
      <c r="O284" s="16" t="inlineStr">
        <is>
          <t>63zidVrpEUyr7hz3eb1rkrzAU1kd4JP6HFLT7J7Lpump</t>
        </is>
      </c>
      <c r="P284" s="16">
        <f>HYPERLINK("https://dexscreener.com/solana/63zidVrpEUyr7hz3eb1rkrzAU1kd4JP6HFLT7J7Lpump", "View")</f>
        <v/>
      </c>
    </row>
    <row r="285">
      <c r="A285" s="19" t="inlineStr">
        <is>
          <t>Sol</t>
        </is>
      </c>
      <c r="B285" s="20" t="n">
        <v>534797</v>
      </c>
      <c r="C285" s="20" t="n">
        <v>0</v>
      </c>
      <c r="D285" s="20" t="inlineStr">
        <is>
          <t>0.000110</t>
        </is>
      </c>
      <c r="E285" s="20" t="inlineStr">
        <is>
          <t>0.149 SOL</t>
        </is>
      </c>
      <c r="F285" s="20" t="inlineStr">
        <is>
          <t>0.000 SOL</t>
        </is>
      </c>
      <c r="G285" s="17" t="inlineStr">
        <is>
          <t>-0.149 SOL</t>
        </is>
      </c>
      <c r="H285" s="17" t="inlineStr">
        <is>
          <t>0.00%</t>
        </is>
      </c>
      <c r="I285" s="20" t="inlineStr">
        <is>
          <t>534,797</t>
        </is>
      </c>
      <c r="J285" s="20" t="n">
        <v>1</v>
      </c>
      <c r="K285" s="20" t="n">
        <v>0</v>
      </c>
      <c r="L285" s="20" t="inlineStr">
        <is>
          <t>19.10.2024 12:14:07</t>
        </is>
      </c>
      <c r="M285" s="18" t="inlineStr">
        <is>
          <t>0 sec</t>
        </is>
      </c>
      <c r="N285" s="20" t="inlineStr">
        <is>
          <t xml:space="preserve">        N/A           N/A           N/A</t>
        </is>
      </c>
      <c r="O285" s="20" t="inlineStr">
        <is>
          <t>CZRjWZmZqovS3aCxezPTM1BraGwYTNo22ixf4uxnpump</t>
        </is>
      </c>
      <c r="P285" s="20">
        <f>HYPERLINK("https://dexscreener.com/solana/CZRjWZmZqovS3aCxezPTM1BraGwYTNo22ixf4uxnpump", "View")</f>
        <v/>
      </c>
    </row>
    <row r="286">
      <c r="A286" s="15" t="inlineStr">
        <is>
          <t>voice99999</t>
        </is>
      </c>
      <c r="B286" s="16" t="n">
        <v>242849</v>
      </c>
      <c r="C286" s="16" t="n">
        <v>0</v>
      </c>
      <c r="D286" s="16" t="inlineStr">
        <is>
          <t>0.000560</t>
        </is>
      </c>
      <c r="E286" s="16" t="inlineStr">
        <is>
          <t>0.150 SOL</t>
        </is>
      </c>
      <c r="F286" s="16" t="inlineStr">
        <is>
          <t>0.000 SOL</t>
        </is>
      </c>
      <c r="G286" s="17" t="inlineStr">
        <is>
          <t>-0.151 SOL</t>
        </is>
      </c>
      <c r="H286" s="17" t="inlineStr">
        <is>
          <t>0.00%</t>
        </is>
      </c>
      <c r="I286" s="16" t="inlineStr">
        <is>
          <t>242,849</t>
        </is>
      </c>
      <c r="J286" s="16" t="n">
        <v>1</v>
      </c>
      <c r="K286" s="16" t="n">
        <v>0</v>
      </c>
      <c r="L286" s="16" t="inlineStr">
        <is>
          <t>19.10.2024 11:09:09</t>
        </is>
      </c>
      <c r="M286" s="18" t="inlineStr">
        <is>
          <t>0 sec</t>
        </is>
      </c>
      <c r="N286" s="16" t="inlineStr">
        <is>
          <t xml:space="preserve">        109K           109K            17K</t>
        </is>
      </c>
      <c r="O286" s="16" t="inlineStr">
        <is>
          <t>2ymAjUoJdiNZgKy6vKfJ2WQ6AExck3cZbAX26g6Qpump</t>
        </is>
      </c>
      <c r="P286" s="16">
        <f>HYPERLINK("https://dexscreener.com/solana/2ymAjUoJdiNZgKy6vKfJ2WQ6AExck3cZbAX26g6Qpump", "View")</f>
        <v/>
      </c>
    </row>
    <row r="287">
      <c r="A287" s="19" t="inlineStr">
        <is>
          <t>thebes</t>
        </is>
      </c>
      <c r="B287" s="20" t="n">
        <v>204760</v>
      </c>
      <c r="C287" s="20" t="n">
        <v>0</v>
      </c>
      <c r="D287" s="20" t="inlineStr">
        <is>
          <t>0.000560</t>
        </is>
      </c>
      <c r="E287" s="20" t="inlineStr">
        <is>
          <t>0.150 SOL</t>
        </is>
      </c>
      <c r="F287" s="20" t="inlineStr">
        <is>
          <t>0.000 SOL</t>
        </is>
      </c>
      <c r="G287" s="17" t="inlineStr">
        <is>
          <t>-0.151 SOL</t>
        </is>
      </c>
      <c r="H287" s="17" t="inlineStr">
        <is>
          <t>0.00%</t>
        </is>
      </c>
      <c r="I287" s="20" t="inlineStr">
        <is>
          <t>204,760</t>
        </is>
      </c>
      <c r="J287" s="20" t="n">
        <v>1</v>
      </c>
      <c r="K287" s="20" t="n">
        <v>0</v>
      </c>
      <c r="L287" s="20" t="inlineStr">
        <is>
          <t>19.10.2024 11:08:29</t>
        </is>
      </c>
      <c r="M287" s="18" t="inlineStr">
        <is>
          <t>0 sec</t>
        </is>
      </c>
      <c r="N287" s="20" t="inlineStr">
        <is>
          <t xml:space="preserve">        128K           128K            23K</t>
        </is>
      </c>
      <c r="O287" s="20" t="inlineStr">
        <is>
          <t>9QD2oEzrMAnXkBkruNSKFnHzvPJ4bWkyrtVEwcyfpump</t>
        </is>
      </c>
      <c r="P287" s="20">
        <f>HYPERLINK("https://dexscreener.com/solana/9QD2oEzrMAnXkBkruNSKFnHzvPJ4bWkyrtVEwcyfpump", "View")</f>
        <v/>
      </c>
    </row>
    <row r="288">
      <c r="A288" s="15" t="inlineStr">
        <is>
          <t>Orb</t>
        </is>
      </c>
      <c r="B288" s="16" t="n">
        <v>758414</v>
      </c>
      <c r="C288" s="16" t="n">
        <v>758414</v>
      </c>
      <c r="D288" s="16" t="inlineStr">
        <is>
          <t>0.000320</t>
        </is>
      </c>
      <c r="E288" s="16" t="inlineStr">
        <is>
          <t>0.149 SOL</t>
        </is>
      </c>
      <c r="F288" s="16" t="inlineStr">
        <is>
          <t>0.719 SOL</t>
        </is>
      </c>
      <c r="G288" s="23" t="inlineStr">
        <is>
          <t>0.570 SOL</t>
        </is>
      </c>
      <c r="H288" s="23" t="inlineStr">
        <is>
          <t>382.43%</t>
        </is>
      </c>
      <c r="I288" s="16" t="inlineStr">
        <is>
          <t>N/A</t>
        </is>
      </c>
      <c r="J288" s="16" t="n">
        <v>1</v>
      </c>
      <c r="K288" s="16" t="n">
        <v>2</v>
      </c>
      <c r="L288" s="16" t="inlineStr">
        <is>
          <t>19.10.2024 10:24:33</t>
        </is>
      </c>
      <c r="M288" s="16" t="inlineStr">
        <is>
          <t>14 hours</t>
        </is>
      </c>
      <c r="N288" s="16" t="inlineStr">
        <is>
          <t xml:space="preserve">         35K           307K             6K</t>
        </is>
      </c>
      <c r="O288" s="16" t="inlineStr">
        <is>
          <t>FKFSSSk6mPQQCSt4S71m5temXzE8K2sLby7WKWsypump</t>
        </is>
      </c>
      <c r="P288" s="16">
        <f>HYPERLINK("https://dexscreener.com/solana/FKFSSSk6mPQQCSt4S71m5temXzE8K2sLby7WKWsypump", "View")</f>
        <v/>
      </c>
    </row>
    <row r="289">
      <c r="A289" s="19" t="inlineStr">
        <is>
          <t>XENO</t>
        </is>
      </c>
      <c r="B289" s="20" t="n">
        <v>250144</v>
      </c>
      <c r="C289" s="20" t="n">
        <v>250144</v>
      </c>
      <c r="D289" s="20" t="inlineStr">
        <is>
          <t>0.001270</t>
        </is>
      </c>
      <c r="E289" s="20" t="inlineStr">
        <is>
          <t>0.248 SOL</t>
        </is>
      </c>
      <c r="F289" s="20" t="inlineStr">
        <is>
          <t>0.595 SOL</t>
        </is>
      </c>
      <c r="G289" s="23" t="inlineStr">
        <is>
          <t>0.345 SOL</t>
        </is>
      </c>
      <c r="H289" s="23" t="inlineStr">
        <is>
          <t>138.64%</t>
        </is>
      </c>
      <c r="I289" s="20" t="inlineStr">
        <is>
          <t>N/A</t>
        </is>
      </c>
      <c r="J289" s="20" t="n">
        <v>2</v>
      </c>
      <c r="K289" s="20" t="n">
        <v>2</v>
      </c>
      <c r="L289" s="20" t="inlineStr">
        <is>
          <t>19.10.2024 10:23:50</t>
        </is>
      </c>
      <c r="M289" s="20" t="inlineStr">
        <is>
          <t>1 days</t>
        </is>
      </c>
      <c r="N289" s="20" t="inlineStr">
        <is>
          <t xml:space="preserve">        174K           530K            19K</t>
        </is>
      </c>
      <c r="O289" s="20" t="inlineStr">
        <is>
          <t>7VQnrD2345cCND6t85AqtZkpuos5xdjo5qbP88H4pump</t>
        </is>
      </c>
      <c r="P289" s="20">
        <f>HYPERLINK("https://dexscreener.com/solana/7VQnrD2345cCND6t85AqtZkpuos5xdjo5qbP88H4pump", "View")</f>
        <v/>
      </c>
    </row>
    <row r="290">
      <c r="A290" s="15" t="inlineStr">
        <is>
          <t>LLMtheism</t>
        </is>
      </c>
      <c r="B290" s="16" t="n">
        <v>85828</v>
      </c>
      <c r="C290" s="16" t="n">
        <v>85828</v>
      </c>
      <c r="D290" s="16" t="inlineStr">
        <is>
          <t>0.000670</t>
        </is>
      </c>
      <c r="E290" s="16" t="inlineStr">
        <is>
          <t>0.150 SOL</t>
        </is>
      </c>
      <c r="F290" s="16" t="inlineStr">
        <is>
          <t>0.396 SOL</t>
        </is>
      </c>
      <c r="G290" s="23" t="inlineStr">
        <is>
          <t>0.246 SOL</t>
        </is>
      </c>
      <c r="H290" s="23" t="inlineStr">
        <is>
          <t>163.12%</t>
        </is>
      </c>
      <c r="I290" s="16" t="inlineStr">
        <is>
          <t>N/A</t>
        </is>
      </c>
      <c r="J290" s="16" t="n">
        <v>1</v>
      </c>
      <c r="K290" s="16" t="n">
        <v>1</v>
      </c>
      <c r="L290" s="16" t="inlineStr">
        <is>
          <t>19.10.2024 10:23:01</t>
        </is>
      </c>
      <c r="M290" s="16" t="inlineStr">
        <is>
          <t>18 hours</t>
        </is>
      </c>
      <c r="N290" s="16" t="inlineStr">
        <is>
          <t xml:space="preserve">        307K           307K            67K</t>
        </is>
      </c>
      <c r="O290" s="16" t="inlineStr">
        <is>
          <t>EL8tDCUCCkcYpfMQKVghcc8yWSRHJFtnRYBtfJjgpump</t>
        </is>
      </c>
      <c r="P290" s="16">
        <f>HYPERLINK("https://dexscreener.com/solana/EL8tDCUCCkcYpfMQKVghcc8yWSRHJFtnRYBtfJjgpump", "View")</f>
        <v/>
      </c>
    </row>
    <row r="291">
      <c r="A291" s="19" t="inlineStr">
        <is>
          <t>word</t>
        </is>
      </c>
      <c r="B291" s="20" t="n">
        <v>294722</v>
      </c>
      <c r="C291" s="20" t="n">
        <v>294722</v>
      </c>
      <c r="D291" s="20" t="inlineStr">
        <is>
          <t>0.000210</t>
        </is>
      </c>
      <c r="E291" s="20" t="inlineStr">
        <is>
          <t>0.149 SOL</t>
        </is>
      </c>
      <c r="F291" s="20" t="inlineStr">
        <is>
          <t>0.302 SOL</t>
        </is>
      </c>
      <c r="G291" s="23" t="inlineStr">
        <is>
          <t>0.153 SOL</t>
        </is>
      </c>
      <c r="H291" s="23" t="inlineStr">
        <is>
          <t>102.64%</t>
        </is>
      </c>
      <c r="I291" s="20" t="inlineStr">
        <is>
          <t>N/A</t>
        </is>
      </c>
      <c r="J291" s="20" t="n">
        <v>1</v>
      </c>
      <c r="K291" s="20" t="n">
        <v>1</v>
      </c>
      <c r="L291" s="20" t="inlineStr">
        <is>
          <t>18.10.2024 18:10:34</t>
        </is>
      </c>
      <c r="M291" s="20" t="inlineStr">
        <is>
          <t>1 hours</t>
        </is>
      </c>
      <c r="N291" s="20" t="inlineStr">
        <is>
          <t xml:space="preserve">         88K            88K             7K</t>
        </is>
      </c>
      <c r="O291" s="20" t="inlineStr">
        <is>
          <t>DbLX7qixm3MtruPNuQEnVYu8QFDoxMDu3wx19GCLpump</t>
        </is>
      </c>
      <c r="P291" s="20">
        <f>HYPERLINK("https://dexscreener.com/solana/DbLX7qixm3MtruPNuQEnVYu8QFDoxMDu3wx19GCLpump", "View")</f>
        <v/>
      </c>
    </row>
    <row r="292">
      <c r="A292" s="15" t="inlineStr">
        <is>
          <t>∿</t>
        </is>
      </c>
      <c r="B292" s="16" t="n">
        <v>929481</v>
      </c>
      <c r="C292" s="16" t="n">
        <v>0</v>
      </c>
      <c r="D292" s="16" t="inlineStr">
        <is>
          <t>0.000560</t>
        </is>
      </c>
      <c r="E292" s="16" t="inlineStr">
        <is>
          <t>0.150 SOL</t>
        </is>
      </c>
      <c r="F292" s="16" t="inlineStr">
        <is>
          <t>0.000 SOL</t>
        </is>
      </c>
      <c r="G292" s="17" t="inlineStr">
        <is>
          <t>-0.151 SOL</t>
        </is>
      </c>
      <c r="H292" s="17" t="inlineStr">
        <is>
          <t>0.00%</t>
        </is>
      </c>
      <c r="I292" s="16" t="inlineStr">
        <is>
          <t>929,481</t>
        </is>
      </c>
      <c r="J292" s="16" t="n">
        <v>1</v>
      </c>
      <c r="K292" s="16" t="n">
        <v>0</v>
      </c>
      <c r="L292" s="16" t="inlineStr">
        <is>
          <t>18.10.2024 18:05:35</t>
        </is>
      </c>
      <c r="M292" s="18" t="inlineStr">
        <is>
          <t>0 sec</t>
        </is>
      </c>
      <c r="N292" s="16" t="inlineStr">
        <is>
          <t xml:space="preserve">         27K            27K             5K</t>
        </is>
      </c>
      <c r="O292" s="16" t="inlineStr">
        <is>
          <t>Z19ibmkwxW2tWPX7F3EBA8HhuwCkRzSWfNXrN5Ppump</t>
        </is>
      </c>
      <c r="P292" s="16">
        <f>HYPERLINK("https://dexscreener.com/solana/Z19ibmkwxW2tWPX7F3EBA8HhuwCkRzSWfNXrN5Ppump", "View")</f>
        <v/>
      </c>
    </row>
    <row r="293">
      <c r="A293" s="19" t="inlineStr">
        <is>
          <t>🫡</t>
        </is>
      </c>
      <c r="B293" s="20" t="n">
        <v>86101</v>
      </c>
      <c r="C293" s="20" t="n">
        <v>0</v>
      </c>
      <c r="D293" s="20" t="inlineStr">
        <is>
          <t>0.000110</t>
        </is>
      </c>
      <c r="E293" s="20" t="inlineStr">
        <is>
          <t>0.149 SOL</t>
        </is>
      </c>
      <c r="F293" s="20" t="inlineStr">
        <is>
          <t>0.000 SOL</t>
        </is>
      </c>
      <c r="G293" s="17" t="inlineStr">
        <is>
          <t>-0.149 SOL</t>
        </is>
      </c>
      <c r="H293" s="17" t="inlineStr">
        <is>
          <t>0.00%</t>
        </is>
      </c>
      <c r="I293" s="20" t="inlineStr">
        <is>
          <t>86,101</t>
        </is>
      </c>
      <c r="J293" s="20" t="n">
        <v>1</v>
      </c>
      <c r="K293" s="20" t="n">
        <v>0</v>
      </c>
      <c r="L293" s="20" t="inlineStr">
        <is>
          <t>18.10.2024 17:29:17</t>
        </is>
      </c>
      <c r="M293" s="18" t="inlineStr">
        <is>
          <t>0 sec</t>
        </is>
      </c>
      <c r="N293" s="20" t="inlineStr">
        <is>
          <t xml:space="preserve">        304K           304K            11K</t>
        </is>
      </c>
      <c r="O293" s="20" t="inlineStr">
        <is>
          <t>HsSi2w3rqgbohqYsLNa7JGau9bHpPCj7CWwWQsZc1s1v</t>
        </is>
      </c>
      <c r="P293" s="20">
        <f>HYPERLINK("https://dexscreener.com/solana/HsSi2w3rqgbohqYsLNa7JGau9bHpPCj7CWwWQsZc1s1v", "View")</f>
        <v/>
      </c>
    </row>
    <row r="294">
      <c r="A294" s="15" t="inlineStr">
        <is>
          <t xml:space="preserve">Rog </t>
        </is>
      </c>
      <c r="B294" s="16" t="n">
        <v>129803</v>
      </c>
      <c r="C294" s="16" t="n">
        <v>0</v>
      </c>
      <c r="D294" s="16" t="inlineStr">
        <is>
          <t>0.000110</t>
        </is>
      </c>
      <c r="E294" s="16" t="inlineStr">
        <is>
          <t>0.149 SOL</t>
        </is>
      </c>
      <c r="F294" s="16" t="inlineStr">
        <is>
          <t>0.000 SOL</t>
        </is>
      </c>
      <c r="G294" s="17" t="inlineStr">
        <is>
          <t>-0.149 SOL</t>
        </is>
      </c>
      <c r="H294" s="17" t="inlineStr">
        <is>
          <t>0.00%</t>
        </is>
      </c>
      <c r="I294" s="16" t="inlineStr">
        <is>
          <t>129,803</t>
        </is>
      </c>
      <c r="J294" s="16" t="n">
        <v>1</v>
      </c>
      <c r="K294" s="16" t="n">
        <v>0</v>
      </c>
      <c r="L294" s="16" t="inlineStr">
        <is>
          <t>18.10.2024 17:28:51</t>
        </is>
      </c>
      <c r="M294" s="18" t="inlineStr">
        <is>
          <t>0 sec</t>
        </is>
      </c>
      <c r="N294" s="16" t="inlineStr">
        <is>
          <t xml:space="preserve">        198K           198K             7K</t>
        </is>
      </c>
      <c r="O294" s="16" t="inlineStr">
        <is>
          <t>ADcBomijtxfBJBwvyYLmLGLVZEFt74e2E3uoXiTSpump</t>
        </is>
      </c>
      <c r="P294" s="16">
        <f>HYPERLINK("https://dexscreener.com/solana/ADcBomijtxfBJBwvyYLmLGLVZEFt74e2E3uoXiTSpump", "View")</f>
        <v/>
      </c>
    </row>
    <row r="295">
      <c r="A295" s="19" t="inlineStr">
        <is>
          <t>KARIN</t>
        </is>
      </c>
      <c r="B295" s="20" t="n">
        <v>577536</v>
      </c>
      <c r="C295" s="20" t="n">
        <v>0</v>
      </c>
      <c r="D295" s="20" t="inlineStr">
        <is>
          <t>0.000110</t>
        </is>
      </c>
      <c r="E295" s="20" t="inlineStr">
        <is>
          <t>0.149 SOL</t>
        </is>
      </c>
      <c r="F295" s="20" t="inlineStr">
        <is>
          <t>0.000 SOL</t>
        </is>
      </c>
      <c r="G295" s="17" t="inlineStr">
        <is>
          <t>-0.149 SOL</t>
        </is>
      </c>
      <c r="H295" s="17" t="inlineStr">
        <is>
          <t>0.00%</t>
        </is>
      </c>
      <c r="I295" s="20" t="inlineStr">
        <is>
          <t>577,536</t>
        </is>
      </c>
      <c r="J295" s="20" t="n">
        <v>1</v>
      </c>
      <c r="K295" s="20" t="n">
        <v>0</v>
      </c>
      <c r="L295" s="20" t="inlineStr">
        <is>
          <t>18.10.2024 16:41:47</t>
        </is>
      </c>
      <c r="M295" s="18" t="inlineStr">
        <is>
          <t>0 sec</t>
        </is>
      </c>
      <c r="N295" s="20" t="inlineStr">
        <is>
          <t xml:space="preserve">         46K            46K             3K</t>
        </is>
      </c>
      <c r="O295" s="20" t="inlineStr">
        <is>
          <t>DJ4yktcjgkJ9nz7GgA8NoGQmZm9HQtbYNtHLgj4npump</t>
        </is>
      </c>
      <c r="P295" s="20">
        <f>HYPERLINK("https://dexscreener.com/solana/DJ4yktcjgkJ9nz7GgA8NoGQmZm9HQtbYNtHLgj4npump", "View")</f>
        <v/>
      </c>
    </row>
    <row r="296">
      <c r="A296" s="15" t="inlineStr">
        <is>
          <t>Joi</t>
        </is>
      </c>
      <c r="B296" s="16" t="n">
        <v>115795</v>
      </c>
      <c r="C296" s="16" t="n">
        <v>115795</v>
      </c>
      <c r="D296" s="16" t="inlineStr">
        <is>
          <t>0.000670</t>
        </is>
      </c>
      <c r="E296" s="16" t="inlineStr">
        <is>
          <t>0.150 SOL</t>
        </is>
      </c>
      <c r="F296" s="16" t="inlineStr">
        <is>
          <t>0.285 SOL</t>
        </is>
      </c>
      <c r="G296" s="23" t="inlineStr">
        <is>
          <t>0.135 SOL</t>
        </is>
      </c>
      <c r="H296" s="23" t="inlineStr">
        <is>
          <t>89.48%</t>
        </is>
      </c>
      <c r="I296" s="16" t="inlineStr">
        <is>
          <t>N/A</t>
        </is>
      </c>
      <c r="J296" s="16" t="n">
        <v>1</v>
      </c>
      <c r="K296" s="16" t="n">
        <v>1</v>
      </c>
      <c r="L296" s="16" t="inlineStr">
        <is>
          <t>18.10.2024 16:22:38</t>
        </is>
      </c>
      <c r="M296" s="16" t="inlineStr">
        <is>
          <t>13 min</t>
        </is>
      </c>
      <c r="N296" s="16" t="inlineStr">
        <is>
          <t xml:space="preserve">        228K           434K             7K</t>
        </is>
      </c>
      <c r="O296" s="16" t="inlineStr">
        <is>
          <t>4Tx58YQDTePfuf26MQwxrE61ovAXZm2DkQNwoGjxpump</t>
        </is>
      </c>
      <c r="P296" s="16">
        <f>HYPERLINK("https://dexscreener.com/solana/4Tx58YQDTePfuf26MQwxrE61ovAXZm2DkQNwoGjxpump", "View")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HYPERLINK("https://gmgn.ai/sol/address/FCo3MNdrWrY8Hvk5rzhgQ6tQjoheSipGUJnvBG99bWz1", "GMGN")</f>
        <v/>
      </c>
    </row>
    <row r="2">
      <c r="A2" s="3" t="inlineStr">
        <is>
          <t>FCo3MNdrWrY8Hvk5rzhgQ6tQjoheSipGUJnvBG99bWz1</t>
        </is>
      </c>
      <c r="B2" s="3" t="inlineStr">
        <is>
          <t>1.02 SOL</t>
        </is>
      </c>
      <c r="C2" s="3" t="inlineStr">
        <is>
          <t>44%</t>
        </is>
      </c>
      <c r="D2" s="3" t="inlineStr">
        <is>
          <t>166%</t>
        </is>
      </c>
      <c r="E2" s="3" t="inlineStr">
        <is>
          <t>3.77 SOL</t>
        </is>
      </c>
      <c r="F2" s="3" t="inlineStr">
        <is>
          <t>2 (22%)</t>
        </is>
      </c>
      <c r="G2" s="3" t="inlineStr">
        <is>
          <t>1 (11%)</t>
        </is>
      </c>
      <c r="H2" s="3" t="n">
        <v>9</v>
      </c>
      <c r="I2" s="3" t="n">
        <v>0</v>
      </c>
      <c r="J2" s="3" t="inlineStr">
        <is>
          <t>43 days</t>
        </is>
      </c>
      <c r="K2" s="3" t="inlineStr">
        <is>
          <t>3 min</t>
        </is>
      </c>
      <c r="L2" s="3" t="n">
        <v>4</v>
      </c>
      <c r="M2" s="3" t="n">
        <v>30</v>
      </c>
      <c r="N2" s="3">
        <f>HYPERLINK("https://solscan.io/account/FCo3MNdrWrY8Hvk5rzhgQ6tQjoheSipGUJnvBG99bWz1", "Solscan")</f>
        <v/>
      </c>
    </row>
    <row r="3">
      <c r="A3" s="6" t="inlineStr">
        <is>
          <t>Median ROI</t>
        </is>
      </c>
      <c r="B3" s="5" t="inlineStr">
        <is>
          <t>-11.63%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HYPERLINK("https://birdeye.so/profile/FCo3MNdrWrY8Hvk5rzhgQ6tQjoheSipGUJnvBG99bWz1", "Birdeye")</f>
        <v/>
      </c>
    </row>
    <row r="4">
      <c r="A4" s="6" t="inlineStr">
        <is>
          <t>Rockets percent</t>
        </is>
      </c>
      <c r="B4" s="3" t="inlineStr">
        <is>
          <t>22%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46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1.2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1</v>
      </c>
      <c r="D10" s="6" t="n">
        <v>0</v>
      </c>
      <c r="E10" s="6" t="n">
        <v>2</v>
      </c>
      <c r="F10" s="6" t="n">
        <v>2</v>
      </c>
      <c r="G10" s="6" t="n">
        <v>3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11.1%</t>
        </is>
      </c>
      <c r="C11" s="6" t="inlineStr">
        <is>
          <t>11.1%</t>
        </is>
      </c>
      <c r="D11" s="6" t="inlineStr">
        <is>
          <t>0.0%</t>
        </is>
      </c>
      <c r="E11" s="6" t="inlineStr">
        <is>
          <t>22.2%</t>
        </is>
      </c>
      <c r="F11" s="6" t="inlineStr">
        <is>
          <t>22.2%</t>
        </is>
      </c>
      <c r="G11" s="6" t="inlineStr">
        <is>
          <t>33.3%</t>
        </is>
      </c>
      <c r="H11" s="3" t="n"/>
      <c r="I11" s="3" t="inlineStr">
        <is>
          <t>5k-30k</t>
        </is>
      </c>
      <c r="J11" s="3" t="inlineStr">
        <is>
          <t>3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0.7 SOL</t>
        </is>
      </c>
      <c r="C12" s="6" t="inlineStr">
        <is>
          <t>3.3 SOL</t>
        </is>
      </c>
      <c r="D12" s="6" t="inlineStr">
        <is>
          <t>0.0 SOL</t>
        </is>
      </c>
      <c r="E12" s="6" t="inlineStr">
        <is>
          <t>0.1 SOL</t>
        </is>
      </c>
      <c r="F12" s="6" t="inlineStr">
        <is>
          <t>-0.1 SOL</t>
        </is>
      </c>
      <c r="G12" s="6" t="inlineStr">
        <is>
          <t>-0.3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2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2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76.0K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@ghosti</t>
        </is>
      </c>
      <c r="B20" s="16" t="n">
        <v>231533</v>
      </c>
      <c r="C20" s="16" t="n">
        <v>231533</v>
      </c>
      <c r="D20" s="16" t="inlineStr">
        <is>
          <t>0.001040</t>
        </is>
      </c>
      <c r="E20" s="16" t="inlineStr">
        <is>
          <t>0.100 SOL</t>
        </is>
      </c>
      <c r="F20" s="16" t="inlineStr">
        <is>
          <t>0.103 SOL</t>
        </is>
      </c>
      <c r="G20" s="22" t="inlineStr">
        <is>
          <t>0.002 SOL</t>
        </is>
      </c>
      <c r="H20" s="22" t="inlineStr">
        <is>
          <t>2.15%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16:00:09</t>
        </is>
      </c>
      <c r="M20" s="16" t="inlineStr">
        <is>
          <t>1 hours</t>
        </is>
      </c>
      <c r="N20" s="16" t="inlineStr">
        <is>
          <t xml:space="preserve">         76K            79K            37K</t>
        </is>
      </c>
      <c r="O20" s="16" t="inlineStr">
        <is>
          <t>2qAx8nkVedYNNff19N4CZZJT66etYgSyWcYvNasGpump</t>
        </is>
      </c>
      <c r="P20" s="16">
        <f>HYPERLINK("https://dexscreener.com/solana/2qAx8nkVedYNNff19N4CZZJT66etYgSyWcYvNasGpump", "View")</f>
        <v/>
      </c>
    </row>
    <row r="21">
      <c r="A21" s="19" t="inlineStr">
        <is>
          <t>ISAAC</t>
        </is>
      </c>
      <c r="B21" s="20" t="n">
        <v>496869</v>
      </c>
      <c r="C21" s="20" t="n">
        <v>496869</v>
      </c>
      <c r="D21" s="20" t="inlineStr">
        <is>
          <t>0.000920</t>
        </is>
      </c>
      <c r="E21" s="20" t="inlineStr">
        <is>
          <t>0.115 SOL</t>
        </is>
      </c>
      <c r="F21" s="20" t="inlineStr">
        <is>
          <t>0.055 SOL</t>
        </is>
      </c>
      <c r="G21" s="24" t="inlineStr">
        <is>
          <t>-0.062 SOL</t>
        </is>
      </c>
      <c r="H21" s="24" t="inlineStr">
        <is>
          <t>-53.14%</t>
        </is>
      </c>
      <c r="I21" s="20" t="inlineStr">
        <is>
          <t>N/A</t>
        </is>
      </c>
      <c r="J21" s="20" t="n">
        <v>1</v>
      </c>
      <c r="K21" s="20" t="n">
        <v>2</v>
      </c>
      <c r="L21" s="20" t="inlineStr">
        <is>
          <t>30.10.2024 15:59:49</t>
        </is>
      </c>
      <c r="M21" s="20" t="inlineStr">
        <is>
          <t>3 min</t>
        </is>
      </c>
      <c r="N21" s="20" t="inlineStr">
        <is>
          <t xml:space="preserve">         40K            16K             3K</t>
        </is>
      </c>
      <c r="O21" s="20" t="inlineStr">
        <is>
          <t>GZSbHMuJrT2mLYnvkbD8mW3Tx6ycMCafMseNgq6yY8zw</t>
        </is>
      </c>
      <c r="P21" s="20">
        <f>HYPERLINK("https://photon-sol.tinyastro.io/en/lp/GZSbHMuJrT2mLYnvkbD8mW3Tx6ycMCafMseNgq6yY8zw?handle=676050794bc1b1657a56b", "View")</f>
        <v/>
      </c>
    </row>
    <row r="22">
      <c r="A22" s="15" t="inlineStr">
        <is>
          <t>HOVER</t>
        </is>
      </c>
      <c r="B22" s="16" t="n">
        <v>1125901</v>
      </c>
      <c r="C22" s="16" t="n">
        <v>1125901</v>
      </c>
      <c r="D22" s="16" t="inlineStr">
        <is>
          <t>0.012230</t>
        </is>
      </c>
      <c r="E22" s="16" t="inlineStr">
        <is>
          <t>0.110 SOL</t>
        </is>
      </c>
      <c r="F22" s="16" t="inlineStr">
        <is>
          <t>0.829 SOL</t>
        </is>
      </c>
      <c r="G22" s="23" t="inlineStr">
        <is>
          <t>0.707 SOL</t>
        </is>
      </c>
      <c r="H22" s="23" t="inlineStr">
        <is>
          <t>579.46%</t>
        </is>
      </c>
      <c r="I22" s="16" t="inlineStr">
        <is>
          <t>N/A</t>
        </is>
      </c>
      <c r="J22" s="16" t="n">
        <v>1</v>
      </c>
      <c r="K22" s="16" t="n">
        <v>5</v>
      </c>
      <c r="L22" s="16" t="inlineStr">
        <is>
          <t>30.10.2024 15:52:08</t>
        </is>
      </c>
      <c r="M22" s="16" t="inlineStr">
        <is>
          <t>3 min</t>
        </is>
      </c>
      <c r="N22" s="16" t="inlineStr">
        <is>
          <t xml:space="preserve">         18K           151K             4K</t>
        </is>
      </c>
      <c r="O22" s="16" t="inlineStr">
        <is>
          <t>3pi7mwZnboNjqhptBk8qKgcohGfNaAqdQVpoeaJApump</t>
        </is>
      </c>
      <c r="P22" s="16">
        <f>HYPERLINK("https://photon-sol.tinyastro.io/en/lp/3pi7mwZnboNjqhptBk8qKgcohGfNaAqdQVpoeaJApump?handle=676050794bc1b1657a56b", "View")</f>
        <v/>
      </c>
    </row>
    <row r="23">
      <c r="A23" s="19" t="inlineStr">
        <is>
          <t>BEAST</t>
        </is>
      </c>
      <c r="B23" s="20" t="n">
        <v>1276515</v>
      </c>
      <c r="C23" s="20" t="n">
        <v>1276515</v>
      </c>
      <c r="D23" s="20" t="inlineStr">
        <is>
          <t>0.000610</t>
        </is>
      </c>
      <c r="E23" s="20" t="inlineStr">
        <is>
          <t>0.116 SOL</t>
        </is>
      </c>
      <c r="F23" s="20" t="inlineStr">
        <is>
          <t>0.085 SOL</t>
        </is>
      </c>
      <c r="G23" s="21" t="inlineStr">
        <is>
          <t>-0.032 SOL</t>
        </is>
      </c>
      <c r="H23" s="21" t="inlineStr">
        <is>
          <t>-27.40%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15:45:32</t>
        </is>
      </c>
      <c r="M23" s="18" t="inlineStr">
        <is>
          <t>37 sec</t>
        </is>
      </c>
      <c r="N23" s="20" t="inlineStr">
        <is>
          <t xml:space="preserve">         16K            12K             5K</t>
        </is>
      </c>
      <c r="O23" s="20" t="inlineStr">
        <is>
          <t>2syL7UPxBtgQGFRXgp9vHUTdov639J5bVuMmk1Yhpump</t>
        </is>
      </c>
      <c r="P23" s="20">
        <f>HYPERLINK("https://photon-sol.tinyastro.io/en/lp/2syL7UPxBtgQGFRXgp9vHUTdov639J5bVuMmk1Yhpump?handle=676050794bc1b1657a56b", "View")</f>
        <v/>
      </c>
    </row>
    <row r="24">
      <c r="A24" s="15" t="inlineStr">
        <is>
          <t>WOOFAI</t>
        </is>
      </c>
      <c r="B24" s="16" t="n">
        <v>109932</v>
      </c>
      <c r="C24" s="16" t="n">
        <v>109932</v>
      </c>
      <c r="D24" s="16" t="inlineStr">
        <is>
          <t>0.011010</t>
        </is>
      </c>
      <c r="E24" s="16" t="inlineStr">
        <is>
          <t>0.150 SOL</t>
        </is>
      </c>
      <c r="F24" s="16" t="inlineStr">
        <is>
          <t>0.011 SOL</t>
        </is>
      </c>
      <c r="G24" s="24" t="inlineStr">
        <is>
          <t>-0.150 SOL</t>
        </is>
      </c>
      <c r="H24" s="24" t="inlineStr">
        <is>
          <t>-93.13%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23.10.2024 12:50:54</t>
        </is>
      </c>
      <c r="M24" s="16" t="inlineStr">
        <is>
          <t>9 hours</t>
        </is>
      </c>
      <c r="N24" s="16" t="inlineStr">
        <is>
          <t xml:space="preserve">        239K           239K             7K</t>
        </is>
      </c>
      <c r="O24" s="16" t="inlineStr">
        <is>
          <t>8uVXNsuqQpZwPV2aKdTmSpWwyQ9UesmwAPJ2xGJxpump</t>
        </is>
      </c>
      <c r="P24" s="16">
        <f>HYPERLINK("https://dexscreener.com/solana/8uVXNsuqQpZwPV2aKdTmSpWwyQ9UesmwAPJ2xGJxpump", "View")</f>
        <v/>
      </c>
    </row>
    <row r="25">
      <c r="A25" s="19" t="inlineStr">
        <is>
          <t>Rogue</t>
        </is>
      </c>
      <c r="B25" s="20" t="n">
        <v>102081</v>
      </c>
      <c r="C25" s="20" t="n">
        <v>102081</v>
      </c>
      <c r="D25" s="20" t="inlineStr">
        <is>
          <t>0.020010</t>
        </is>
      </c>
      <c r="E25" s="20" t="inlineStr">
        <is>
          <t>0.150 SOL</t>
        </is>
      </c>
      <c r="F25" s="20" t="inlineStr">
        <is>
          <t>0.074 SOL</t>
        </is>
      </c>
      <c r="G25" s="24" t="inlineStr">
        <is>
          <t>-0.096 SOL</t>
        </is>
      </c>
      <c r="H25" s="24" t="inlineStr">
        <is>
          <t>-56.49%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23.10.2024 00:16:17</t>
        </is>
      </c>
      <c r="M25" s="18" t="inlineStr">
        <is>
          <t>22 sec</t>
        </is>
      </c>
      <c r="N25" s="20" t="inlineStr">
        <is>
          <t xml:space="preserve">        258K           126K             8K</t>
        </is>
      </c>
      <c r="O25" s="20" t="inlineStr">
        <is>
          <t>EyVpWuxegaFCpHBXbXLwK6rTL7cT6VyrfteJrnSspump</t>
        </is>
      </c>
      <c r="P25" s="20">
        <f>HYPERLINK("https://dexscreener.com/solana/EyVpWuxegaFCpHBXbXLwK6rTL7cT6VyrfteJrnSspump", "View")</f>
        <v/>
      </c>
    </row>
    <row r="26">
      <c r="A26" s="15" t="inlineStr">
        <is>
          <t>$LYNX</t>
        </is>
      </c>
      <c r="B26" s="16" t="n">
        <v>18908</v>
      </c>
      <c r="C26" s="16" t="n">
        <v>18908</v>
      </c>
      <c r="D26" s="16" t="inlineStr">
        <is>
          <t>0.020010</t>
        </is>
      </c>
      <c r="E26" s="16" t="inlineStr">
        <is>
          <t>0.150 SOL</t>
        </is>
      </c>
      <c r="F26" s="16" t="inlineStr">
        <is>
          <t>0.150 SOL</t>
        </is>
      </c>
      <c r="G26" s="21" t="inlineStr">
        <is>
          <t>-0.020 SOL</t>
        </is>
      </c>
      <c r="H26" s="21" t="inlineStr">
        <is>
          <t>-11.63%</t>
        </is>
      </c>
      <c r="I26" s="16" t="inlineStr">
        <is>
          <t>N/A</t>
        </is>
      </c>
      <c r="J26" s="16" t="n">
        <v>1</v>
      </c>
      <c r="K26" s="16" t="n">
        <v>1</v>
      </c>
      <c r="L26" s="16" t="inlineStr">
        <is>
          <t>22.10.2024 23:21:34</t>
        </is>
      </c>
      <c r="M26" s="16" t="inlineStr">
        <is>
          <t>2 min</t>
        </is>
      </c>
      <c r="N26" s="16" t="inlineStr">
        <is>
          <t xml:space="preserve">          1M             1M            21K</t>
        </is>
      </c>
      <c r="O26" s="16" t="inlineStr">
        <is>
          <t>HYTWunEns5k3CBBrr8gTJjNqA93avuEPB3RB1Kud3MWg</t>
        </is>
      </c>
      <c r="P26" s="16">
        <f>HYPERLINK("https://dexscreener.com/solana/HYTWunEns5k3CBBrr8gTJjNqA93avuEPB3RB1Kud3MWg", "View")</f>
        <v/>
      </c>
    </row>
    <row r="27">
      <c r="A27" s="19" t="inlineStr">
        <is>
          <t>koto</t>
        </is>
      </c>
      <c r="B27" s="20" t="n">
        <v>28216</v>
      </c>
      <c r="C27" s="20" t="n">
        <v>28216</v>
      </c>
      <c r="D27" s="20" t="inlineStr">
        <is>
          <t>0.251130</t>
        </is>
      </c>
      <c r="E27" s="20" t="inlineStr">
        <is>
          <t>0.050 SOL</t>
        </is>
      </c>
      <c r="F27" s="20" t="inlineStr">
        <is>
          <t>0.440 SOL</t>
        </is>
      </c>
      <c r="G27" s="22" t="inlineStr">
        <is>
          <t>0.139 SOL</t>
        </is>
      </c>
      <c r="H27" s="22" t="inlineStr">
        <is>
          <t>46.05%</t>
        </is>
      </c>
      <c r="I27" s="20" t="inlineStr">
        <is>
          <t>N/A</t>
        </is>
      </c>
      <c r="J27" s="20" t="n">
        <v>1</v>
      </c>
      <c r="K27" s="20" t="n">
        <v>25</v>
      </c>
      <c r="L27" s="20" t="inlineStr">
        <is>
          <t>22.10.2024 16:53:30</t>
        </is>
      </c>
      <c r="M27" s="20" t="inlineStr">
        <is>
          <t>1 hours</t>
        </is>
      </c>
      <c r="N27" s="20" t="inlineStr">
        <is>
          <t xml:space="preserve">        303K             4M             2M</t>
        </is>
      </c>
      <c r="O27" s="20" t="inlineStr">
        <is>
          <t>BfdVHnbt9LSNAFCZU9kvTjbrH3jX78sv2siLKGQ7pump</t>
        </is>
      </c>
      <c r="P27" s="20">
        <f>HYPERLINK("https://dexscreener.com/solana/BfdVHnbt9LSNAFCZU9kvTjbrH3jX78sv2siLKGQ7pump", "View")</f>
        <v/>
      </c>
    </row>
    <row r="28">
      <c r="A28" s="15" t="inlineStr">
        <is>
          <t>$FRED</t>
        </is>
      </c>
      <c r="B28" s="16" t="n">
        <v>5974194</v>
      </c>
      <c r="C28" s="16" t="n">
        <v>9689037</v>
      </c>
      <c r="D28" s="16" t="inlineStr">
        <is>
          <t>0.000080</t>
        </is>
      </c>
      <c r="E28" s="16" t="inlineStr">
        <is>
          <t>1.011 SOL</t>
        </is>
      </c>
      <c r="F28" s="16" t="inlineStr">
        <is>
          <t>4.295 SOL</t>
        </is>
      </c>
      <c r="G28" s="23" t="inlineStr">
        <is>
          <t>3.284 SOL</t>
        </is>
      </c>
      <c r="H28" s="23" t="inlineStr">
        <is>
          <t>324.97%</t>
        </is>
      </c>
      <c r="I28" s="16" t="inlineStr">
        <is>
          <t>N/A</t>
        </is>
      </c>
      <c r="J28" s="16" t="n">
        <v>3</v>
      </c>
      <c r="K28" s="16" t="n">
        <v>5</v>
      </c>
      <c r="L28" s="16" t="inlineStr">
        <is>
          <t>23.09.2024 19:01:11</t>
        </is>
      </c>
      <c r="M28" s="16" t="inlineStr">
        <is>
          <t>6 days</t>
        </is>
      </c>
      <c r="N28" s="16" t="inlineStr">
        <is>
          <t xml:space="preserve">         23K           509K            94K</t>
        </is>
      </c>
      <c r="O28" s="16" t="inlineStr">
        <is>
          <t>HFVnDJocPMsFHUWEBiciAwWkdWanBexdxpMUHE9npump</t>
        </is>
      </c>
      <c r="P28" s="16">
        <f>HYPERLINK("https://photon-sol.tinyastro.io/en/lp/HFVnDJocPMsFHUWEBiciAwWkdWanBexdxpMUHE9npump?handle=676050794bc1b1657a56b", "View")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HYPERLINK("https://gmgn.ai/sol/address/67XYw3WnAQbmpJuLoKh7YZwzVUd2q9z2FCNz4Ycjj5dC", "GMGN")</f>
        <v/>
      </c>
    </row>
    <row r="2">
      <c r="A2" s="3" t="inlineStr">
        <is>
          <t>67XYw3WnAQbmpJuLoKh7YZwzVUd2q9z2FCNz4Ycjj5dC</t>
        </is>
      </c>
      <c r="B2" s="3" t="inlineStr">
        <is>
          <t>7.44 SOL</t>
        </is>
      </c>
      <c r="C2" s="3" t="inlineStr">
        <is>
          <t>50%</t>
        </is>
      </c>
      <c r="D2" s="3" t="inlineStr">
        <is>
          <t>111%</t>
        </is>
      </c>
      <c r="E2" s="3" t="inlineStr">
        <is>
          <t>7.07 SOL</t>
        </is>
      </c>
      <c r="F2" s="3" t="inlineStr">
        <is>
          <t>0 (0%)</t>
        </is>
      </c>
      <c r="G2" s="3" t="inlineStr">
        <is>
          <t>0 (0%)</t>
        </is>
      </c>
      <c r="H2" s="3" t="n">
        <v>8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8</v>
      </c>
      <c r="M2" s="3" t="n">
        <v>0</v>
      </c>
      <c r="N2" s="3">
        <f>HYPERLINK("https://solscan.io/account/67XYw3WnAQbmpJuLoKh7YZwzVUd2q9z2FCNz4Ycjj5dC", "Solscan")</f>
        <v/>
      </c>
    </row>
    <row r="3">
      <c r="A3" s="6" t="inlineStr">
        <is>
          <t>Median ROI</t>
        </is>
      </c>
      <c r="B3" s="5" t="inlineStr">
        <is>
          <t>-3.43%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HYPERLINK("https://birdeye.so/profile/67XYw3WnAQbmpJuLoKh7YZwzVUd2q9z2FCNz4Ycjj5dC", "Birdeye")</f>
        <v/>
      </c>
    </row>
    <row r="4">
      <c r="A4" s="6" t="inlineStr">
        <is>
          <t>Rockets percent</t>
        </is>
      </c>
      <c r="B4" s="3" t="inlineStr">
        <is>
          <t>12%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0</v>
      </c>
      <c r="D10" s="6" t="n">
        <v>2</v>
      </c>
      <c r="E10" s="6" t="n">
        <v>1</v>
      </c>
      <c r="F10" s="6" t="n">
        <v>3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12.5%</t>
        </is>
      </c>
      <c r="C11" s="6" t="inlineStr">
        <is>
          <t>0.0%</t>
        </is>
      </c>
      <c r="D11" s="6" t="inlineStr">
        <is>
          <t>25.0%</t>
        </is>
      </c>
      <c r="E11" s="6" t="inlineStr">
        <is>
          <t>12.5%</t>
        </is>
      </c>
      <c r="F11" s="6" t="inlineStr">
        <is>
          <t>37.5%</t>
        </is>
      </c>
      <c r="G11" s="6" t="inlineStr">
        <is>
          <t>12.5%</t>
        </is>
      </c>
      <c r="H11" s="3" t="n"/>
      <c r="I11" s="3" t="inlineStr">
        <is>
          <t>5k-30k</t>
        </is>
      </c>
      <c r="J11" s="3" t="inlineStr">
        <is>
          <t>6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6.6 SOL</t>
        </is>
      </c>
      <c r="C12" s="6" t="inlineStr">
        <is>
          <t>0.0 SOL</t>
        </is>
      </c>
      <c r="D12" s="6" t="inlineStr">
        <is>
          <t>1.3 SOL</t>
        </is>
      </c>
      <c r="E12" s="6" t="inlineStr">
        <is>
          <t>0.1 SOL</t>
        </is>
      </c>
      <c r="F12" s="6" t="inlineStr">
        <is>
          <t>-0.8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14.0K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Glory</t>
        </is>
      </c>
      <c r="B20" s="16" t="n">
        <v>8984506</v>
      </c>
      <c r="C20" s="16" t="n">
        <v>8984506</v>
      </c>
      <c r="D20" s="16" t="inlineStr">
        <is>
          <t>0.020010</t>
        </is>
      </c>
      <c r="E20" s="16" t="inlineStr">
        <is>
          <t>0.560 SOL</t>
        </is>
      </c>
      <c r="F20" s="16" t="inlineStr">
        <is>
          <t>0.469 SOL</t>
        </is>
      </c>
      <c r="G20" s="21" t="inlineStr">
        <is>
          <t>-0.111 SOL</t>
        </is>
      </c>
      <c r="H20" s="21" t="inlineStr">
        <is>
          <t>-19.14%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17:34:58</t>
        </is>
      </c>
      <c r="M20" s="16" t="inlineStr">
        <is>
          <t>3 min</t>
        </is>
      </c>
      <c r="N20" s="16" t="inlineStr">
        <is>
          <t xml:space="preserve">         11K            11K             6K</t>
        </is>
      </c>
      <c r="O20" s="16" t="inlineStr">
        <is>
          <t>DZqXyNkK52FpPHGN73EmvvLoSZNXskpNvtL1GMjLpump</t>
        </is>
      </c>
      <c r="P20" s="16">
        <f>HYPERLINK("https://photon-sol.tinyastro.io/en/lp/DZqXyNkK52FpPHGN73EmvvLoSZNXskpNvtL1GMjLpump?handle=676050794bc1b1657a56b", "View")</f>
        <v/>
      </c>
    </row>
    <row r="21">
      <c r="A21" s="19" t="inlineStr">
        <is>
          <t>Liberty</t>
        </is>
      </c>
      <c r="B21" s="20" t="n">
        <v>8959841</v>
      </c>
      <c r="C21" s="20" t="n">
        <v>8959841</v>
      </c>
      <c r="D21" s="20" t="inlineStr">
        <is>
          <t>0.220110</t>
        </is>
      </c>
      <c r="E21" s="20" t="inlineStr">
        <is>
          <t>0.783 SOL</t>
        </is>
      </c>
      <c r="F21" s="20" t="inlineStr">
        <is>
          <t>1.557 SOL</t>
        </is>
      </c>
      <c r="G21" s="23" t="inlineStr">
        <is>
          <t>0.554 SOL</t>
        </is>
      </c>
      <c r="H21" s="23" t="inlineStr">
        <is>
          <t>55.28%</t>
        </is>
      </c>
      <c r="I21" s="20" t="inlineStr">
        <is>
          <t>N/A</t>
        </is>
      </c>
      <c r="J21" s="20" t="n">
        <v>1</v>
      </c>
      <c r="K21" s="20" t="n">
        <v>21</v>
      </c>
      <c r="L21" s="20" t="inlineStr">
        <is>
          <t>30.10.2024 13:20:51</t>
        </is>
      </c>
      <c r="M21" s="20" t="inlineStr">
        <is>
          <t>4 min</t>
        </is>
      </c>
      <c r="N21" s="20" t="inlineStr">
        <is>
          <t xml:space="preserve">         16K            16K             5K</t>
        </is>
      </c>
      <c r="O21" s="20" t="inlineStr">
        <is>
          <t>CqBmg5ZUoaPg5Yx5uAKYzpyRcXme2UpVmZ8U5iotpump</t>
        </is>
      </c>
      <c r="P21" s="20">
        <f>HYPERLINK("https://photon-sol.tinyastro.io/en/lp/CqBmg5ZUoaPg5Yx5uAKYzpyRcXme2UpVmZ8U5iotpump?handle=676050794bc1b1657a56b", "View")</f>
        <v/>
      </c>
    </row>
    <row r="22">
      <c r="A22" s="15" t="inlineStr">
        <is>
          <t>Torin</t>
        </is>
      </c>
      <c r="B22" s="16" t="n">
        <v>8831328</v>
      </c>
      <c r="C22" s="16" t="n">
        <v>8831328</v>
      </c>
      <c r="D22" s="16" t="inlineStr">
        <is>
          <t>0.620310</t>
        </is>
      </c>
      <c r="E22" s="16" t="inlineStr">
        <is>
          <t>0.550 SOL</t>
        </is>
      </c>
      <c r="F22" s="16" t="inlineStr">
        <is>
          <t>7.752 SOL</t>
        </is>
      </c>
      <c r="G22" s="23" t="inlineStr">
        <is>
          <t>6.582 SOL</t>
        </is>
      </c>
      <c r="H22" s="23" t="inlineStr">
        <is>
          <t>562.59%</t>
        </is>
      </c>
      <c r="I22" s="16" t="inlineStr">
        <is>
          <t>N/A</t>
        </is>
      </c>
      <c r="J22" s="16" t="n">
        <v>1</v>
      </c>
      <c r="K22" s="16" t="n">
        <v>61</v>
      </c>
      <c r="L22" s="16" t="inlineStr">
        <is>
          <t>30.10.2024 06:17:46</t>
        </is>
      </c>
      <c r="M22" s="16" t="inlineStr">
        <is>
          <t>7 min</t>
        </is>
      </c>
      <c r="N22" s="16" t="inlineStr">
        <is>
          <t xml:space="preserve">         11K           102K             7K</t>
        </is>
      </c>
      <c r="O22" s="16" t="inlineStr">
        <is>
          <t>ALKTKLRTyF3P83KMCAvGEtY4CsoMzvh1k38uixCgpump</t>
        </is>
      </c>
      <c r="P22" s="16">
        <f>HYPERLINK("https://photon-sol.tinyastro.io/en/lp/ALKTKLRTyF3P83KMCAvGEtY4CsoMzvh1k38uixCgpump?handle=676050794bc1b1657a56b", "View")</f>
        <v/>
      </c>
    </row>
    <row r="23">
      <c r="A23" s="19" t="inlineStr">
        <is>
          <t>Butters</t>
        </is>
      </c>
      <c r="B23" s="20" t="n">
        <v>7929767</v>
      </c>
      <c r="C23" s="20" t="n">
        <v>7929767</v>
      </c>
      <c r="D23" s="20" t="inlineStr">
        <is>
          <t>0.020010</t>
        </is>
      </c>
      <c r="E23" s="20" t="inlineStr">
        <is>
          <t>0.544 SOL</t>
        </is>
      </c>
      <c r="F23" s="20" t="inlineStr">
        <is>
          <t>0.633 SOL</t>
        </is>
      </c>
      <c r="G23" s="22" t="inlineStr">
        <is>
          <t>0.069 SOL</t>
        </is>
      </c>
      <c r="H23" s="22" t="inlineStr">
        <is>
          <t>12.28%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29.10.2024 18:25:21</t>
        </is>
      </c>
      <c r="M23" s="20" t="inlineStr">
        <is>
          <t>8 min</t>
        </is>
      </c>
      <c r="N23" s="20" t="inlineStr">
        <is>
          <t xml:space="preserve">         12K            14K             4K</t>
        </is>
      </c>
      <c r="O23" s="20" t="inlineStr">
        <is>
          <t>BFc3G2JaqZA3eCJzWiSMhGZp7aXwonXETtr2Nudppump</t>
        </is>
      </c>
      <c r="P23" s="20">
        <f>HYPERLINK("https://photon-sol.tinyastro.io/en/lp/BFc3G2JaqZA3eCJzWiSMhGZp7aXwonXETtr2Nudppump?handle=676050794bc1b1657a56b", "View")</f>
        <v/>
      </c>
    </row>
    <row r="24">
      <c r="A24" s="15" t="inlineStr">
        <is>
          <t>Nina</t>
        </is>
      </c>
      <c r="B24" s="16" t="n">
        <v>11778199</v>
      </c>
      <c r="C24" s="16" t="n">
        <v>11778199</v>
      </c>
      <c r="D24" s="16" t="inlineStr">
        <is>
          <t>0.020010</t>
        </is>
      </c>
      <c r="E24" s="16" t="inlineStr">
        <is>
          <t>1.157 SOL</t>
        </is>
      </c>
      <c r="F24" s="16" t="inlineStr">
        <is>
          <t>0.844 SOL</t>
        </is>
      </c>
      <c r="G24" s="21" t="inlineStr">
        <is>
          <t>-0.333 SOL</t>
        </is>
      </c>
      <c r="H24" s="21" t="inlineStr">
        <is>
          <t>-28.31%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15:46:54</t>
        </is>
      </c>
      <c r="M24" s="16" t="inlineStr">
        <is>
          <t>4 min</t>
        </is>
      </c>
      <c r="N24" s="16" t="inlineStr">
        <is>
          <t xml:space="preserve">         18K            12K             5K</t>
        </is>
      </c>
      <c r="O24" s="16" t="inlineStr">
        <is>
          <t>CDkwBE7pPovZLJC2KxM7jvWXkyygR1Y1u2R7f6hmpump</t>
        </is>
      </c>
      <c r="P24" s="16">
        <f>HYPERLINK("https://photon-sol.tinyastro.io/en/lp/CDkwBE7pPovZLJC2KxM7jvWXkyygR1Y1u2R7f6hmpump?handle=676050794bc1b1657a56b", "View")</f>
        <v/>
      </c>
    </row>
    <row r="25">
      <c r="A25" s="19" t="inlineStr">
        <is>
          <t>MOLANG</t>
        </is>
      </c>
      <c r="B25" s="20" t="n">
        <v>1793028</v>
      </c>
      <c r="C25" s="20" t="n">
        <v>1793028</v>
      </c>
      <c r="D25" s="20" t="inlineStr">
        <is>
          <t>0.220020</t>
        </is>
      </c>
      <c r="E25" s="20" t="inlineStr">
        <is>
          <t>0.542 SOL</t>
        </is>
      </c>
      <c r="F25" s="20" t="inlineStr">
        <is>
          <t>0.416 SOL</t>
        </is>
      </c>
      <c r="G25" s="21" t="inlineStr">
        <is>
          <t>-0.345 SOL</t>
        </is>
      </c>
      <c r="H25" s="21" t="inlineStr">
        <is>
          <t>-45.34%</t>
        </is>
      </c>
      <c r="I25" s="20" t="inlineStr">
        <is>
          <t>N/A</t>
        </is>
      </c>
      <c r="J25" s="20" t="n">
        <v>2</v>
      </c>
      <c r="K25" s="20" t="n">
        <v>2</v>
      </c>
      <c r="L25" s="20" t="inlineStr">
        <is>
          <t>29.10.2024 14:48:14</t>
        </is>
      </c>
      <c r="M25" s="20" t="inlineStr">
        <is>
          <t>10 min</t>
        </is>
      </c>
      <c r="N25" s="20" t="inlineStr">
        <is>
          <t xml:space="preserve">         56K            30K             4K</t>
        </is>
      </c>
      <c r="O25" s="20" t="inlineStr">
        <is>
          <t>BPFXTGBjoARa89gbSvbp7Dy6cQwgGc7efW1jE8nTpump</t>
        </is>
      </c>
      <c r="P25" s="20">
        <f>HYPERLINK("https://photon-sol.tinyastro.io/en/lp/BPFXTGBjoARa89gbSvbp7Dy6cQwgGc7efW1jE8nTpump?handle=676050794bc1b1657a56b", "View")</f>
        <v/>
      </c>
    </row>
    <row r="26">
      <c r="A26" s="15" t="inlineStr">
        <is>
          <t>Trina</t>
        </is>
      </c>
      <c r="B26" s="16" t="n">
        <v>11384893</v>
      </c>
      <c r="C26" s="16" t="n">
        <v>11384893</v>
      </c>
      <c r="D26" s="16" t="inlineStr">
        <is>
          <t>0.410160</t>
        </is>
      </c>
      <c r="E26" s="16" t="inlineStr">
        <is>
          <t>0.478 SOL</t>
        </is>
      </c>
      <c r="F26" s="16" t="inlineStr">
        <is>
          <t>1.666 SOL</t>
        </is>
      </c>
      <c r="G26" s="23" t="inlineStr">
        <is>
          <t>0.777 SOL</t>
        </is>
      </c>
      <c r="H26" s="23" t="inlineStr">
        <is>
          <t>87.43%</t>
        </is>
      </c>
      <c r="I26" s="16" t="inlineStr">
        <is>
          <t>N/A</t>
        </is>
      </c>
      <c r="J26" s="16" t="n">
        <v>1</v>
      </c>
      <c r="K26" s="16" t="n">
        <v>31</v>
      </c>
      <c r="L26" s="16" t="inlineStr">
        <is>
          <t>29.10.2024 13:33:41</t>
        </is>
      </c>
      <c r="M26" s="16" t="inlineStr">
        <is>
          <t>10 min</t>
        </is>
      </c>
      <c r="N26" s="16" t="inlineStr">
        <is>
          <t xml:space="preserve">          7K            11K             4K</t>
        </is>
      </c>
      <c r="O26" s="16" t="inlineStr">
        <is>
          <t>DirQ7FDi1C5SZCy8ai1GTSvnm9o8MDf9s4C4cExzpump</t>
        </is>
      </c>
      <c r="P26" s="16">
        <f>HYPERLINK("https://photon-sol.tinyastro.io/en/lp/DirQ7FDi1C5SZCy8ai1GTSvnm9o8MDf9s4C4cExzpump?handle=676050794bc1b1657a56b", "View")</f>
        <v/>
      </c>
    </row>
    <row r="27">
      <c r="A27" s="19" t="inlineStr">
        <is>
          <t>Trina</t>
        </is>
      </c>
      <c r="B27" s="20" t="n">
        <v>585788</v>
      </c>
      <c r="C27" s="20" t="n">
        <v>585788</v>
      </c>
      <c r="D27" s="20" t="inlineStr">
        <is>
          <t>0.110010</t>
        </is>
      </c>
      <c r="E27" s="20" t="inlineStr">
        <is>
          <t>0.131 SOL</t>
        </is>
      </c>
      <c r="F27" s="20" t="inlineStr">
        <is>
          <t>0.115 SOL</t>
        </is>
      </c>
      <c r="G27" s="24" t="inlineStr">
        <is>
          <t>-0.127 SOL</t>
        </is>
      </c>
      <c r="H27" s="24" t="inlineStr">
        <is>
          <t>-52.49%</t>
        </is>
      </c>
      <c r="I27" s="20" t="inlineStr">
        <is>
          <t>N/A</t>
        </is>
      </c>
      <c r="J27" s="20" t="n">
        <v>1</v>
      </c>
      <c r="K27" s="20" t="n">
        <v>1</v>
      </c>
      <c r="L27" s="20" t="inlineStr">
        <is>
          <t>29.10.2024 13:22:14</t>
        </is>
      </c>
      <c r="M27" s="20" t="inlineStr">
        <is>
          <t>8 min</t>
        </is>
      </c>
      <c r="N27" s="20" t="inlineStr">
        <is>
          <t xml:space="preserve">         39K            35K             5K</t>
        </is>
      </c>
      <c r="O27" s="20" t="inlineStr">
        <is>
          <t>CsT44i2W2MWp23WQ2EqjorxZVVzuN4niw1cj1Qr5pump</t>
        </is>
      </c>
      <c r="P27" s="20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HYPERLINK("https://gmgn.ai/sol/address/GBUvKJp5BTx65h5yWA4s8q6Ast1T86viRKRVxZtahbsD", "GMGN")</f>
        <v/>
      </c>
    </row>
    <row r="2">
      <c r="A2" s="3" t="inlineStr">
        <is>
          <t>GBUvKJp5BTx65h5yWA4s8q6Ast1T86viRKRVxZtahbsD</t>
        </is>
      </c>
      <c r="B2" s="3" t="inlineStr">
        <is>
          <t>10.15 SOL</t>
        </is>
      </c>
      <c r="C2" s="3" t="inlineStr">
        <is>
          <t>78%</t>
        </is>
      </c>
      <c r="D2" s="3" t="inlineStr">
        <is>
          <t>166%</t>
        </is>
      </c>
      <c r="E2" s="3" t="inlineStr">
        <is>
          <t>10.05 SOL</t>
        </is>
      </c>
      <c r="F2" s="3" t="inlineStr">
        <is>
          <t>0 (0%)</t>
        </is>
      </c>
      <c r="G2" s="3" t="inlineStr">
        <is>
          <t>0 (0%)</t>
        </is>
      </c>
      <c r="H2" s="3" t="n">
        <v>9</v>
      </c>
      <c r="I2" s="3" t="n">
        <v>0</v>
      </c>
      <c r="J2" s="3" t="inlineStr">
        <is>
          <t>1 days</t>
        </is>
      </c>
      <c r="K2" s="3" t="inlineStr">
        <is>
          <t>7 min</t>
        </is>
      </c>
      <c r="L2" s="3" t="n">
        <v>9</v>
      </c>
      <c r="M2" s="3" t="n">
        <v>3</v>
      </c>
      <c r="N2" s="3">
        <f>HYPERLINK("https://solscan.io/account/GBUvKJp5BTx65h5yWA4s8q6Ast1T86viRKRVxZtahbsD", "Solscan")</f>
        <v/>
      </c>
    </row>
    <row r="3">
      <c r="A3" s="6" t="inlineStr">
        <is>
          <t>Median ROI</t>
        </is>
      </c>
      <c r="B3" s="4" t="inlineStr">
        <is>
          <t>39.89%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HYPERLINK("https://birdeye.so/profile/GBUvKJp5BTx65h5yWA4s8q6Ast1T86viRKRVxZtahbsD", "Birdeye")</f>
        <v/>
      </c>
    </row>
    <row r="4">
      <c r="A4" s="6" t="inlineStr">
        <is>
          <t>Rockets percent</t>
        </is>
      </c>
      <c r="B4" s="4" t="inlineStr">
        <is>
          <t>44%</t>
        </is>
      </c>
      <c r="C4" s="3" t="inlineStr"/>
      <c r="D4" s="3" t="inlineStr">
        <is>
          <t>0%</t>
        </is>
      </c>
      <c r="E4" s="3" t="inlineStr">
        <is>
          <t>0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1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1</v>
      </c>
      <c r="C10" s="6" t="n">
        <v>3</v>
      </c>
      <c r="D10" s="6" t="n">
        <v>0</v>
      </c>
      <c r="E10" s="6" t="n">
        <v>3</v>
      </c>
      <c r="F10" s="6" t="n">
        <v>1</v>
      </c>
      <c r="G10" s="6" t="n">
        <v>1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11.1%</t>
        </is>
      </c>
      <c r="C11" s="6" t="inlineStr">
        <is>
          <t>33.3%</t>
        </is>
      </c>
      <c r="D11" s="6" t="inlineStr">
        <is>
          <t>0.0%</t>
        </is>
      </c>
      <c r="E11" s="6" t="inlineStr">
        <is>
          <t>33.3%</t>
        </is>
      </c>
      <c r="F11" s="6" t="inlineStr">
        <is>
          <t>11.1%</t>
        </is>
      </c>
      <c r="G11" s="6" t="inlineStr">
        <is>
          <t>11.1%</t>
        </is>
      </c>
      <c r="H11" s="3" t="n"/>
      <c r="I11" s="3" t="inlineStr">
        <is>
          <t>5k-30k</t>
        </is>
      </c>
      <c r="J11" s="3" t="inlineStr">
        <is>
          <t>7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6.9 SOL</t>
        </is>
      </c>
      <c r="C12" s="6" t="inlineStr">
        <is>
          <t>3.3 SOL</t>
        </is>
      </c>
      <c r="D12" s="6" t="inlineStr">
        <is>
          <t>0.0 SOL</t>
        </is>
      </c>
      <c r="E12" s="6" t="inlineStr">
        <is>
          <t>0.3 SOL</t>
        </is>
      </c>
      <c r="F12" s="6" t="inlineStr">
        <is>
          <t>-0.3 SOL</t>
        </is>
      </c>
      <c r="G12" s="6" t="inlineStr">
        <is>
          <t>-0.1 SOL</t>
        </is>
      </c>
      <c r="H12" s="3" t="n"/>
      <c r="I12" s="3" t="inlineStr">
        <is>
          <t>30k-100k</t>
        </is>
      </c>
      <c r="J12" s="3" t="inlineStr">
        <is>
          <t>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0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0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11.0K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Glory</t>
        </is>
      </c>
      <c r="B20" s="16" t="n">
        <v>8984506</v>
      </c>
      <c r="C20" s="16" t="n">
        <v>8984506</v>
      </c>
      <c r="D20" s="16" t="inlineStr">
        <is>
          <t>0.020010</t>
        </is>
      </c>
      <c r="E20" s="16" t="inlineStr">
        <is>
          <t>0.477 SOL</t>
        </is>
      </c>
      <c r="F20" s="16" t="inlineStr">
        <is>
          <t>0.696 SOL</t>
        </is>
      </c>
      <c r="G20" s="22" t="inlineStr">
        <is>
          <t>0.198 SOL</t>
        </is>
      </c>
      <c r="H20" s="22" t="inlineStr">
        <is>
          <t>39.89%</t>
        </is>
      </c>
      <c r="I20" s="16" t="inlineStr">
        <is>
          <t>N/A</t>
        </is>
      </c>
      <c r="J20" s="16" t="n">
        <v>1</v>
      </c>
      <c r="K20" s="16" t="n">
        <v>1</v>
      </c>
      <c r="L20" s="16" t="inlineStr">
        <is>
          <t>30.10.2024 17:34:53</t>
        </is>
      </c>
      <c r="M20" s="16" t="inlineStr">
        <is>
          <t>3 min</t>
        </is>
      </c>
      <c r="N20" s="16" t="inlineStr">
        <is>
          <t xml:space="preserve">          9K             9K             6K</t>
        </is>
      </c>
      <c r="O20" s="16" t="inlineStr">
        <is>
          <t>DZqXyNkK52FpPHGN73EmvvLoSZNXskpNvtL1GMjLpump</t>
        </is>
      </c>
      <c r="P20" s="16">
        <f>HYPERLINK("https://photon-sol.tinyastro.io/en/lp/DZqXyNkK52FpPHGN73EmvvLoSZNXskpNvtL1GMjLpump?handle=676050794bc1b1657a56b", "View")</f>
        <v/>
      </c>
    </row>
    <row r="21">
      <c r="A21" s="19" t="inlineStr">
        <is>
          <t>Liberty</t>
        </is>
      </c>
      <c r="B21" s="20" t="n">
        <v>8959841</v>
      </c>
      <c r="C21" s="20" t="n">
        <v>8959841</v>
      </c>
      <c r="D21" s="20" t="inlineStr">
        <is>
          <t>0.220110</t>
        </is>
      </c>
      <c r="E21" s="20" t="inlineStr">
        <is>
          <t>0.498 SOL</t>
        </is>
      </c>
      <c r="F21" s="20" t="inlineStr">
        <is>
          <t>1.533 SOL</t>
        </is>
      </c>
      <c r="G21" s="23" t="inlineStr">
        <is>
          <t>0.814 SOL</t>
        </is>
      </c>
      <c r="H21" s="23" t="inlineStr">
        <is>
          <t>113.34%</t>
        </is>
      </c>
      <c r="I21" s="20" t="inlineStr">
        <is>
          <t>N/A</t>
        </is>
      </c>
      <c r="J21" s="20" t="n">
        <v>1</v>
      </c>
      <c r="K21" s="20" t="n">
        <v>21</v>
      </c>
      <c r="L21" s="20" t="inlineStr">
        <is>
          <t>30.10.2024 13:20:51</t>
        </is>
      </c>
      <c r="M21" s="20" t="inlineStr">
        <is>
          <t>4 min</t>
        </is>
      </c>
      <c r="N21" s="20" t="inlineStr">
        <is>
          <t xml:space="preserve">         11K            11K             5K</t>
        </is>
      </c>
      <c r="O21" s="20" t="inlineStr">
        <is>
          <t>CqBmg5ZUoaPg5Yx5uAKYzpyRcXme2UpVmZ8U5iotpump</t>
        </is>
      </c>
      <c r="P21" s="20">
        <f>HYPERLINK("https://photon-sol.tinyastro.io/en/lp/CqBmg5ZUoaPg5Yx5uAKYzpyRcXme2UpVmZ8U5iotpump?handle=676050794bc1b1657a56b", "View")</f>
        <v/>
      </c>
    </row>
    <row r="22">
      <c r="A22" s="15" t="inlineStr">
        <is>
          <t>Torin</t>
        </is>
      </c>
      <c r="B22" s="16" t="n">
        <v>10163367</v>
      </c>
      <c r="C22" s="16" t="n">
        <v>10163367</v>
      </c>
      <c r="D22" s="16" t="inlineStr">
        <is>
          <t>0.140070</t>
        </is>
      </c>
      <c r="E22" s="16" t="inlineStr">
        <is>
          <t>0.463 SOL</t>
        </is>
      </c>
      <c r="F22" s="16" t="inlineStr">
        <is>
          <t>1.826 SOL</t>
        </is>
      </c>
      <c r="G22" s="23" t="inlineStr">
        <is>
          <t>1.223 SOL</t>
        </is>
      </c>
      <c r="H22" s="23" t="inlineStr">
        <is>
          <t>202.90%</t>
        </is>
      </c>
      <c r="I22" s="16" t="inlineStr">
        <is>
          <t>N/A</t>
        </is>
      </c>
      <c r="J22" s="16" t="n">
        <v>1</v>
      </c>
      <c r="K22" s="16" t="n">
        <v>13</v>
      </c>
      <c r="L22" s="16" t="inlineStr">
        <is>
          <t>30.10.2024 06:27:45</t>
        </is>
      </c>
      <c r="M22" s="16" t="inlineStr">
        <is>
          <t>7 min</t>
        </is>
      </c>
      <c r="N22" s="16" t="inlineStr">
        <is>
          <t xml:space="preserve">          9K            14K             3K</t>
        </is>
      </c>
      <c r="O22" s="16" t="inlineStr">
        <is>
          <t>HxdzGHd2jLF12UHjgFKCb6zMzgfqGnwRvwKweXmXpump</t>
        </is>
      </c>
      <c r="P22" s="16">
        <f>HYPERLINK("https://photon-sol.tinyastro.io/en/lp/HxdzGHd2jLF12UHjgFKCb6zMzgfqGnwRvwKweXmXpump?handle=676050794bc1b1657a56b", "View")</f>
        <v/>
      </c>
    </row>
    <row r="23">
      <c r="A23" s="19" t="inlineStr">
        <is>
          <t>Torin</t>
        </is>
      </c>
      <c r="B23" s="20" t="n">
        <v>8831328</v>
      </c>
      <c r="C23" s="20" t="n">
        <v>8831328</v>
      </c>
      <c r="D23" s="20" t="inlineStr">
        <is>
          <t>0.620310</t>
        </is>
      </c>
      <c r="E23" s="20" t="inlineStr">
        <is>
          <t>0.353 SOL</t>
        </is>
      </c>
      <c r="F23" s="20" t="inlineStr">
        <is>
          <t>7.852 SOL</t>
        </is>
      </c>
      <c r="G23" s="23" t="inlineStr">
        <is>
          <t>6.879 SOL</t>
        </is>
      </c>
      <c r="H23" s="23" t="inlineStr">
        <is>
          <t>706.44%</t>
        </is>
      </c>
      <c r="I23" s="20" t="inlineStr">
        <is>
          <t>N/A</t>
        </is>
      </c>
      <c r="J23" s="20" t="n">
        <v>1</v>
      </c>
      <c r="K23" s="20" t="n">
        <v>61</v>
      </c>
      <c r="L23" s="20" t="inlineStr">
        <is>
          <t>30.10.2024 06:17:46</t>
        </is>
      </c>
      <c r="M23" s="20" t="inlineStr">
        <is>
          <t>7 min</t>
        </is>
      </c>
      <c r="N23" s="20" t="inlineStr">
        <is>
          <t xml:space="preserve">          7K           100K             7K</t>
        </is>
      </c>
      <c r="O23" s="20" t="inlineStr">
        <is>
          <t>ALKTKLRTyF3P83KMCAvGEtY4CsoMzvh1k38uixCgpump</t>
        </is>
      </c>
      <c r="P23" s="20">
        <f>HYPERLINK("https://photon-sol.tinyastro.io/en/lp/ALKTKLRTyF3P83KMCAvGEtY4CsoMzvh1k38uixCgpump?handle=676050794bc1b1657a56b", "View")</f>
        <v/>
      </c>
    </row>
    <row r="24">
      <c r="A24" s="15" t="inlineStr">
        <is>
          <t>Butters</t>
        </is>
      </c>
      <c r="B24" s="16" t="n">
        <v>7929767</v>
      </c>
      <c r="C24" s="16" t="n">
        <v>7929767</v>
      </c>
      <c r="D24" s="16" t="inlineStr">
        <is>
          <t>0.020010</t>
        </is>
      </c>
      <c r="E24" s="16" t="inlineStr">
        <is>
          <t>0.510 SOL</t>
        </is>
      </c>
      <c r="F24" s="16" t="inlineStr">
        <is>
          <t>0.592 SOL</t>
        </is>
      </c>
      <c r="G24" s="22" t="inlineStr">
        <is>
          <t>0.061 SOL</t>
        </is>
      </c>
      <c r="H24" s="22" t="inlineStr">
        <is>
          <t>11.58%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29.10.2024 18:25:21</t>
        </is>
      </c>
      <c r="M24" s="16" t="inlineStr">
        <is>
          <t>8 min</t>
        </is>
      </c>
      <c r="N24" s="16" t="inlineStr">
        <is>
          <t xml:space="preserve">         11K            12K             4K</t>
        </is>
      </c>
      <c r="O24" s="16" t="inlineStr">
        <is>
          <t>BFc3G2JaqZA3eCJzWiSMhGZp7aXwonXETtr2Nudppump</t>
        </is>
      </c>
      <c r="P24" s="16">
        <f>HYPERLINK("https://photon-sol.tinyastro.io/en/lp/BFc3G2JaqZA3eCJzWiSMhGZp7aXwonXETtr2Nudppump?handle=676050794bc1b1657a56b", "View")</f>
        <v/>
      </c>
    </row>
    <row r="25">
      <c r="A25" s="19" t="inlineStr">
        <is>
          <t>Nina</t>
        </is>
      </c>
      <c r="B25" s="20" t="n">
        <v>11778199</v>
      </c>
      <c r="C25" s="20" t="n">
        <v>11778199</v>
      </c>
      <c r="D25" s="20" t="inlineStr">
        <is>
          <t>0.020010</t>
        </is>
      </c>
      <c r="E25" s="20" t="inlineStr">
        <is>
          <t>0.710 SOL</t>
        </is>
      </c>
      <c r="F25" s="20" t="inlineStr">
        <is>
          <t>0.752 SOL</t>
        </is>
      </c>
      <c r="G25" s="22" t="inlineStr">
        <is>
          <t>0.022 SOL</t>
        </is>
      </c>
      <c r="H25" s="22" t="inlineStr">
        <is>
          <t>3.01%</t>
        </is>
      </c>
      <c r="I25" s="20" t="inlineStr">
        <is>
          <t>N/A</t>
        </is>
      </c>
      <c r="J25" s="20" t="n">
        <v>1</v>
      </c>
      <c r="K25" s="20" t="n">
        <v>1</v>
      </c>
      <c r="L25" s="20" t="inlineStr">
        <is>
          <t>29.10.2024 15:47:07</t>
        </is>
      </c>
      <c r="M25" s="20" t="inlineStr">
        <is>
          <t>4 min</t>
        </is>
      </c>
      <c r="N25" s="20" t="inlineStr">
        <is>
          <t xml:space="preserve">         11K            11K             5K</t>
        </is>
      </c>
      <c r="O25" s="20" t="inlineStr">
        <is>
          <t>CDkwBE7pPovZLJC2KxM7jvWXkyygR1Y1u2R7f6hmpump</t>
        </is>
      </c>
      <c r="P25" s="20">
        <f>HYPERLINK("https://photon-sol.tinyastro.io/en/lp/CDkwBE7pPovZLJC2KxM7jvWXkyygR1Y1u2R7f6hmpump?handle=676050794bc1b1657a56b", "View")</f>
        <v/>
      </c>
    </row>
    <row r="26">
      <c r="A26" s="15" t="inlineStr">
        <is>
          <t>MOLANG</t>
        </is>
      </c>
      <c r="B26" s="16" t="n">
        <v>1793028</v>
      </c>
      <c r="C26" s="16" t="n">
        <v>1793028</v>
      </c>
      <c r="D26" s="16" t="inlineStr">
        <is>
          <t>0.220020</t>
        </is>
      </c>
      <c r="E26" s="16" t="inlineStr">
        <is>
          <t>0.535 SOL</t>
        </is>
      </c>
      <c r="F26" s="16" t="inlineStr">
        <is>
          <t>0.432 SOL</t>
        </is>
      </c>
      <c r="G26" s="21" t="inlineStr">
        <is>
          <t>-0.323 SOL</t>
        </is>
      </c>
      <c r="H26" s="21" t="inlineStr">
        <is>
          <t>-42.72%</t>
        </is>
      </c>
      <c r="I26" s="16" t="inlineStr">
        <is>
          <t>N/A</t>
        </is>
      </c>
      <c r="J26" s="16" t="n">
        <v>2</v>
      </c>
      <c r="K26" s="16" t="n">
        <v>2</v>
      </c>
      <c r="L26" s="16" t="inlineStr">
        <is>
          <t>29.10.2024 14:48:15</t>
        </is>
      </c>
      <c r="M26" s="16" t="inlineStr">
        <is>
          <t>10 min</t>
        </is>
      </c>
      <c r="N26" s="16" t="inlineStr">
        <is>
          <t xml:space="preserve">         54K            33K             4K</t>
        </is>
      </c>
      <c r="O26" s="16" t="inlineStr">
        <is>
          <t>BPFXTGBjoARa89gbSvbp7Dy6cQwgGc7efW1jE8nTpump</t>
        </is>
      </c>
      <c r="P26" s="16">
        <f>HYPERLINK("https://photon-sol.tinyastro.io/en/lp/BPFXTGBjoARa89gbSvbp7Dy6cQwgGc7efW1jE8nTpump?handle=676050794bc1b1657a56b", "View")</f>
        <v/>
      </c>
    </row>
    <row r="27">
      <c r="A27" s="19" t="inlineStr">
        <is>
          <t>Trina</t>
        </is>
      </c>
      <c r="B27" s="20" t="n">
        <v>11384893</v>
      </c>
      <c r="C27" s="20" t="n">
        <v>11384893</v>
      </c>
      <c r="D27" s="20" t="inlineStr">
        <is>
          <t>0.470190</t>
        </is>
      </c>
      <c r="E27" s="20" t="inlineStr">
        <is>
          <t>0.535 SOL</t>
        </is>
      </c>
      <c r="F27" s="20" t="inlineStr">
        <is>
          <t>2.305 SOL</t>
        </is>
      </c>
      <c r="G27" s="23" t="inlineStr">
        <is>
          <t>1.300 SOL</t>
        </is>
      </c>
      <c r="H27" s="23" t="inlineStr">
        <is>
          <t>129.27%</t>
        </is>
      </c>
      <c r="I27" s="20" t="inlineStr">
        <is>
          <t>N/A</t>
        </is>
      </c>
      <c r="J27" s="20" t="n">
        <v>1</v>
      </c>
      <c r="K27" s="20" t="n">
        <v>37</v>
      </c>
      <c r="L27" s="20" t="inlineStr">
        <is>
          <t>29.10.2024 13:33:37</t>
        </is>
      </c>
      <c r="M27" s="20" t="inlineStr">
        <is>
          <t>9 min</t>
        </is>
      </c>
      <c r="N27" s="20" t="inlineStr">
        <is>
          <t xml:space="preserve">          9K            12K             4K</t>
        </is>
      </c>
      <c r="O27" s="20" t="inlineStr">
        <is>
          <t>DirQ7FDi1C5SZCy8ai1GTSvnm9o8MDf9s4C4cExzpump</t>
        </is>
      </c>
      <c r="P27" s="20">
        <f>HYPERLINK("https://photon-sol.tinyastro.io/en/lp/DirQ7FDi1C5SZCy8ai1GTSvnm9o8MDf9s4C4cExzpump?handle=676050794bc1b1657a56b", "View")</f>
        <v/>
      </c>
    </row>
    <row r="28">
      <c r="A28" s="15" t="inlineStr">
        <is>
          <t>Trina</t>
        </is>
      </c>
      <c r="B28" s="16" t="n">
        <v>585788</v>
      </c>
      <c r="C28" s="16" t="n">
        <v>585788</v>
      </c>
      <c r="D28" s="16" t="inlineStr">
        <is>
          <t>0.110010</t>
        </is>
      </c>
      <c r="E28" s="16" t="inlineStr">
        <is>
          <t>0.131 SOL</t>
        </is>
      </c>
      <c r="F28" s="16" t="inlineStr">
        <is>
          <t>0.116 SOL</t>
        </is>
      </c>
      <c r="G28" s="24" t="inlineStr">
        <is>
          <t>-0.125 SOL</t>
        </is>
      </c>
      <c r="H28" s="24" t="inlineStr">
        <is>
          <t>-51.90%</t>
        </is>
      </c>
      <c r="I28" s="16" t="inlineStr">
        <is>
          <t>N/A</t>
        </is>
      </c>
      <c r="J28" s="16" t="n">
        <v>1</v>
      </c>
      <c r="K28" s="16" t="n">
        <v>1</v>
      </c>
      <c r="L28" s="16" t="inlineStr">
        <is>
          <t>29.10.2024 13:22:13</t>
        </is>
      </c>
      <c r="M28" s="16" t="inlineStr">
        <is>
          <t>8 min</t>
        </is>
      </c>
      <c r="N28" s="16" t="inlineStr">
        <is>
          <t xml:space="preserve">         39K            35K             5K</t>
        </is>
      </c>
      <c r="O28" s="16" t="inlineStr">
        <is>
          <t>CsT44i2W2MWp23WQ2EqjorxZVVzuN4niw1cj1Qr5pump</t>
        </is>
      </c>
      <c r="P28" s="16">
        <f>HYPERLINK("https://photon-sol.tinyastro.io/en/lp/CsT44i2W2MWp23WQ2EqjorxZVVzuN4niw1cj1Qr5pump?handle=676050794bc1b1657a56b", "View")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318"/>
  <sheetViews>
    <sheetView workbookViewId="0">
      <selection activeCell="A1" sqref="A1"/>
    </sheetView>
  </sheetViews>
  <sheetFormatPr baseColWidth="8" defaultRowHeight="15"/>
  <cols>
    <col width="46" customWidth="1" min="1" max="1"/>
    <col width="12" customWidth="1" min="2" max="2"/>
    <col width="13" customWidth="1" min="3" max="3"/>
    <col width="16" customWidth="1" min="4" max="4"/>
    <col width="16" customWidth="1" min="5" max="5"/>
    <col width="13" customWidth="1" min="6" max="6"/>
    <col width="23" customWidth="1" min="7" max="7"/>
    <col width="14" customWidth="1" min="8" max="8"/>
    <col width="21" customWidth="1" min="9" max="9"/>
    <col width="15" customWidth="1" min="10" max="10"/>
    <col width="14" customWidth="1" min="11" max="11"/>
    <col width="21" customWidth="1" min="12" max="12"/>
    <col width="13" customWidth="1" min="13" max="13"/>
    <col width="28.57142857142857" customWidth="1" min="14" max="14"/>
    <col width="52.85714285714285" customWidth="1" min="15" max="15"/>
    <col width="10" customWidth="1" min="16" max="16"/>
  </cols>
  <sheetData>
    <row r="1">
      <c r="A1" s="6" t="inlineStr">
        <is>
          <t>Wallet</t>
        </is>
      </c>
      <c r="B1" s="6" t="inlineStr">
        <is>
          <t>Balance</t>
        </is>
      </c>
      <c r="C1" s="6" t="inlineStr">
        <is>
          <t>WinRate</t>
        </is>
      </c>
      <c r="D1" s="6" t="inlineStr">
        <is>
          <t>ROI</t>
        </is>
      </c>
      <c r="E1" s="6" t="inlineStr">
        <is>
          <t>PnL</t>
        </is>
      </c>
      <c r="F1" s="6" t="inlineStr">
        <is>
          <t>Fast Trades</t>
        </is>
      </c>
      <c r="G1" s="6" t="inlineStr">
        <is>
          <t>Sold More Than Bought</t>
        </is>
      </c>
      <c r="H1" s="6" t="inlineStr">
        <is>
          <t>Tokens Total</t>
        </is>
      </c>
      <c r="I1" s="6" t="inlineStr">
        <is>
          <t>Scam Tokens</t>
        </is>
      </c>
      <c r="J1" s="6" t="inlineStr">
        <is>
          <t>Trades Period</t>
        </is>
      </c>
      <c r="K1" s="6" t="inlineStr">
        <is>
          <t>Duration Avg</t>
        </is>
      </c>
      <c r="L1" s="6" t="inlineStr">
        <is>
          <t>PumpFun Tokens</t>
        </is>
      </c>
      <c r="M1" s="6" t="inlineStr">
        <is>
          <t>Not Swap Tx</t>
        </is>
      </c>
      <c r="N1" s="6">
        <f>HYPERLINK("https://gmgn.ai/sol/address/8vys1QHhKnz9uXKgJ7KTzunBxchMyBUVUC34SqYyt2xk", "GMGN")</f>
        <v/>
      </c>
    </row>
    <row r="2">
      <c r="A2" s="3" t="inlineStr">
        <is>
          <t>8vys1QHhKnz9uXKgJ7KTzunBxchMyBUVUC34SqYyt2xk</t>
        </is>
      </c>
      <c r="B2" s="3" t="inlineStr">
        <is>
          <t>12.02 SOL</t>
        </is>
      </c>
      <c r="C2" s="3" t="inlineStr">
        <is>
          <t>27%</t>
        </is>
      </c>
      <c r="D2" s="3" t="inlineStr">
        <is>
          <t>34%</t>
        </is>
      </c>
      <c r="E2" s="3" t="inlineStr">
        <is>
          <t>12.69 SOL</t>
        </is>
      </c>
      <c r="F2" s="3" t="inlineStr">
        <is>
          <t>6 (2%)</t>
        </is>
      </c>
      <c r="G2" s="3" t="inlineStr">
        <is>
          <t>0 (0%)</t>
        </is>
      </c>
      <c r="H2" s="3" t="n">
        <v>299</v>
      </c>
      <c r="I2" s="3" t="n">
        <v>76</v>
      </c>
      <c r="J2" s="3" t="inlineStr">
        <is>
          <t>32 days</t>
        </is>
      </c>
      <c r="K2" s="3" t="inlineStr">
        <is>
          <t>39 min</t>
        </is>
      </c>
      <c r="L2" s="3" t="n">
        <v>57</v>
      </c>
      <c r="M2" s="3" t="n">
        <v>53</v>
      </c>
      <c r="N2" s="3">
        <f>HYPERLINK("https://solscan.io/account/8vys1QHhKnz9uXKgJ7KTzunBxchMyBUVUC34SqYyt2xk", "Solscan")</f>
        <v/>
      </c>
    </row>
    <row r="3">
      <c r="A3" s="6" t="inlineStr">
        <is>
          <t>Median ROI</t>
        </is>
      </c>
      <c r="B3" s="5" t="inlineStr">
        <is>
          <t>-67.64%</t>
        </is>
      </c>
      <c r="C3" s="3" t="inlineStr"/>
      <c r="D3" s="6" t="inlineStr">
        <is>
          <t>Unrealized ROI</t>
        </is>
      </c>
      <c r="E3" s="6" t="inlineStr">
        <is>
          <t>Unrealized PNL</t>
        </is>
      </c>
      <c r="F3" s="3" t="inlineStr"/>
      <c r="G3" s="3" t="inlineStr"/>
      <c r="H3" s="3" t="inlineStr"/>
      <c r="I3" s="3" t="inlineStr"/>
      <c r="J3" s="3" t="inlineStr"/>
      <c r="K3" s="3" t="inlineStr"/>
      <c r="L3" s="3" t="inlineStr"/>
      <c r="M3" s="3" t="inlineStr"/>
      <c r="N3" s="3">
        <f>HYPERLINK("https://birdeye.so/profile/8vys1QHhKnz9uXKgJ7KTzunBxchMyBUVUC34SqYyt2xk", "Birdeye")</f>
        <v/>
      </c>
    </row>
    <row r="4">
      <c r="A4" s="6" t="inlineStr">
        <is>
          <t>Rockets percent</t>
        </is>
      </c>
      <c r="B4" s="3" t="inlineStr">
        <is>
          <t>10%</t>
        </is>
      </c>
      <c r="C4" s="3" t="inlineStr"/>
      <c r="D4" s="3" t="inlineStr">
        <is>
          <t>9%</t>
        </is>
      </c>
      <c r="E4" s="3" t="inlineStr">
        <is>
          <t>3.22 SOL</t>
        </is>
      </c>
      <c r="F4" s="3" t="inlineStr"/>
      <c r="G4" s="3" t="inlineStr"/>
      <c r="H4" s="3" t="inlineStr"/>
      <c r="I4" s="6" t="inlineStr"/>
      <c r="J4" s="3" t="inlineStr"/>
      <c r="K4" s="3" t="inlineStr"/>
      <c r="L4" s="3" t="inlineStr"/>
      <c r="M4" s="3" t="inlineStr"/>
      <c r="N4" s="7">
        <f>HYPERLINK("#Summary!A1", "Back")</f>
        <v/>
      </c>
    </row>
    <row r="5">
      <c r="A5" s="6" t="inlineStr">
        <is>
          <t>Wallet days creation:</t>
        </is>
      </c>
      <c r="B5" s="3" t="inlineStr">
        <is>
          <t>33</t>
        </is>
      </c>
      <c r="C5" s="3" t="n"/>
      <c r="D5" s="3" t="n"/>
      <c r="E5" s="3" t="n"/>
      <c r="F5" s="3" t="n"/>
      <c r="G5" s="3" t="n"/>
      <c r="H5" s="3" t="n"/>
      <c r="I5" s="6" t="n"/>
      <c r="J5" s="3" t="n"/>
      <c r="K5" s="3" t="n"/>
      <c r="L5" s="3" t="n"/>
      <c r="M5" s="3" t="n"/>
      <c r="N5" s="3" t="n"/>
    </row>
    <row r="6">
      <c r="A6" s="6" t="inlineStr">
        <is>
          <t>AVG buy:</t>
        </is>
      </c>
      <c r="B6" s="3" t="inlineStr">
        <is>
          <t>1.1 SOL</t>
        </is>
      </c>
      <c r="C6" s="3" t="n"/>
      <c r="D6" s="3" t="n"/>
      <c r="E6" s="3" t="n"/>
      <c r="F6" s="3" t="n"/>
      <c r="G6" s="3" t="n"/>
      <c r="H6" s="3" t="n"/>
      <c r="I6" s="6" t="n"/>
      <c r="J6" s="3" t="n"/>
      <c r="K6" s="3" t="n"/>
      <c r="L6" s="3" t="n"/>
      <c r="M6" s="3" t="n"/>
      <c r="N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6" t="n"/>
      <c r="J7" s="3" t="n"/>
      <c r="K7" s="3" t="n"/>
      <c r="L7" s="3" t="n"/>
      <c r="M7" s="3" t="n"/>
      <c r="N7" s="3" t="n"/>
    </row>
    <row r="8">
      <c r="A8" s="6" t="n"/>
      <c r="B8" s="3" t="n"/>
      <c r="C8" s="3" t="n"/>
      <c r="D8" s="3" t="n"/>
      <c r="E8" s="3" t="n"/>
      <c r="F8" s="3" t="n"/>
      <c r="G8" s="3" t="n"/>
      <c r="H8" s="3" t="n"/>
      <c r="I8" s="6" t="n"/>
      <c r="J8" s="3" t="n"/>
      <c r="K8" s="3" t="n"/>
      <c r="L8" s="3" t="n"/>
      <c r="M8" s="3" t="n"/>
      <c r="N8" s="3" t="n"/>
    </row>
    <row r="9">
      <c r="A9" s="6" t="inlineStr">
        <is>
          <t>Profit / Distribution</t>
        </is>
      </c>
      <c r="B9" s="8" t="inlineStr">
        <is>
          <t>500%&gt;</t>
        </is>
      </c>
      <c r="C9" s="9" t="inlineStr">
        <is>
          <t>500%-100%</t>
        </is>
      </c>
      <c r="D9" s="10" t="inlineStr">
        <is>
          <t>100%-50%</t>
        </is>
      </c>
      <c r="E9" s="11" t="inlineStr">
        <is>
          <t>50%-0%</t>
        </is>
      </c>
      <c r="F9" s="12" t="inlineStr">
        <is>
          <t>0%--50%</t>
        </is>
      </c>
      <c r="G9" s="13" t="inlineStr">
        <is>
          <t>-50%--100%</t>
        </is>
      </c>
      <c r="H9" s="3" t="n"/>
      <c r="I9" s="6" t="inlineStr">
        <is>
          <t>🧢 MCAP Distribution</t>
        </is>
      </c>
      <c r="J9" s="3" t="n"/>
      <c r="K9" s="3" t="n"/>
      <c r="L9" s="3" t="n"/>
      <c r="M9" s="3" t="n"/>
      <c r="N9" s="3" t="n"/>
    </row>
    <row r="10">
      <c r="A10" s="6" t="inlineStr">
        <is>
          <t>Count</t>
        </is>
      </c>
      <c r="B10" s="6" t="n">
        <v>5</v>
      </c>
      <c r="C10" s="6" t="n">
        <v>26</v>
      </c>
      <c r="D10" s="6" t="n">
        <v>15</v>
      </c>
      <c r="E10" s="6" t="n">
        <v>34</v>
      </c>
      <c r="F10" s="6" t="n">
        <v>53</v>
      </c>
      <c r="G10" s="6" t="n">
        <v>166</v>
      </c>
      <c r="H10" s="3" t="n"/>
      <c r="I10" s="3" t="inlineStr">
        <is>
          <t>&lt;5k</t>
        </is>
      </c>
      <c r="J10" s="3" t="inlineStr">
        <is>
          <t>0</t>
        </is>
      </c>
      <c r="K10" s="3" t="n"/>
      <c r="L10" s="3" t="n"/>
      <c r="M10" s="3" t="n"/>
      <c r="N10" s="3" t="n"/>
    </row>
    <row r="11">
      <c r="A11" s="6" t="inlineStr">
        <is>
          <t>Percent %</t>
        </is>
      </c>
      <c r="B11" s="6" t="inlineStr">
        <is>
          <t>1.7%</t>
        </is>
      </c>
      <c r="C11" s="6" t="inlineStr">
        <is>
          <t>8.7%</t>
        </is>
      </c>
      <c r="D11" s="6" t="inlineStr">
        <is>
          <t>5.0%</t>
        </is>
      </c>
      <c r="E11" s="6" t="inlineStr">
        <is>
          <t>11.4%</t>
        </is>
      </c>
      <c r="F11" s="6" t="inlineStr">
        <is>
          <t>17.7%</t>
        </is>
      </c>
      <c r="G11" s="6" t="inlineStr">
        <is>
          <t>55.5%</t>
        </is>
      </c>
      <c r="H11" s="3" t="n"/>
      <c r="I11" s="3" t="inlineStr">
        <is>
          <t>5k-30k</t>
        </is>
      </c>
      <c r="J11" s="3" t="inlineStr">
        <is>
          <t>38</t>
        </is>
      </c>
      <c r="K11" s="3" t="n"/>
      <c r="L11" s="3" t="n"/>
      <c r="M11" s="3" t="n"/>
      <c r="N11" s="3" t="n"/>
    </row>
    <row r="12">
      <c r="A12" s="6" t="inlineStr">
        <is>
          <t>PnL (SOL)</t>
        </is>
      </c>
      <c r="B12" s="6" t="inlineStr">
        <is>
          <t>21.9 SOL</t>
        </is>
      </c>
      <c r="C12" s="6" t="inlineStr">
        <is>
          <t>7.4 SOL</t>
        </is>
      </c>
      <c r="D12" s="6" t="inlineStr">
        <is>
          <t>1.3 SOL</t>
        </is>
      </c>
      <c r="E12" s="6" t="inlineStr">
        <is>
          <t>0.8 SOL</t>
        </is>
      </c>
      <c r="F12" s="6" t="inlineStr">
        <is>
          <t>-1.1 SOL</t>
        </is>
      </c>
      <c r="G12" s="6" t="inlineStr">
        <is>
          <t>-17.7 SOL</t>
        </is>
      </c>
      <c r="H12" s="3" t="n"/>
      <c r="I12" s="3" t="inlineStr">
        <is>
          <t>30k-100k</t>
        </is>
      </c>
      <c r="J12" s="3" t="inlineStr">
        <is>
          <t>142</t>
        </is>
      </c>
      <c r="K12" s="3" t="n"/>
      <c r="L12" s="3" t="n"/>
      <c r="M12" s="3" t="n"/>
      <c r="N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inlineStr">
        <is>
          <t>100k-300k</t>
        </is>
      </c>
      <c r="J13" s="3" t="inlineStr">
        <is>
          <t>76</t>
        </is>
      </c>
      <c r="K13" s="3" t="n"/>
      <c r="L13" s="3" t="n"/>
      <c r="M13" s="3" t="n"/>
      <c r="N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inlineStr">
        <is>
          <t>300k+</t>
        </is>
      </c>
      <c r="J14" s="3" t="inlineStr">
        <is>
          <t>19</t>
        </is>
      </c>
      <c r="K14" s="3" t="n"/>
      <c r="L14" s="3" t="n"/>
      <c r="M14" s="3" t="n"/>
      <c r="N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6" t="inlineStr">
        <is>
          <t>AVG Entry MCAP:</t>
        </is>
      </c>
      <c r="J15" s="3" t="inlineStr">
        <is>
          <t>84.0K</t>
        </is>
      </c>
      <c r="K15" s="3" t="n"/>
      <c r="L15" s="3" t="n"/>
      <c r="M15" s="3" t="n"/>
      <c r="N15" s="3" t="n"/>
    </row>
    <row r="16"/>
    <row r="17"/>
    <row r="18"/>
    <row r="19">
      <c r="A19" s="14" t="inlineStr">
        <is>
          <t>Token</t>
        </is>
      </c>
      <c r="B19" s="14" t="inlineStr">
        <is>
          <t>SPL Income</t>
        </is>
      </c>
      <c r="C19" s="14" t="inlineStr">
        <is>
          <t>SPL Outcome</t>
        </is>
      </c>
      <c r="D19" s="14" t="inlineStr">
        <is>
          <t>Fee</t>
        </is>
      </c>
      <c r="E19" s="14" t="inlineStr">
        <is>
          <t>Spent Sol</t>
        </is>
      </c>
      <c r="F19" s="14" t="inlineStr">
        <is>
          <t>Earned Sol</t>
        </is>
      </c>
      <c r="G19" s="14" t="inlineStr">
        <is>
          <t>Delta Sol</t>
        </is>
      </c>
      <c r="H19" s="14" t="inlineStr">
        <is>
          <t>Delta %</t>
        </is>
      </c>
      <c r="I19" s="14" t="inlineStr">
        <is>
          <t>Left Position</t>
        </is>
      </c>
      <c r="J19" s="14" t="inlineStr">
        <is>
          <t>Buys</t>
        </is>
      </c>
      <c r="K19" s="14" t="inlineStr">
        <is>
          <t>Sells</t>
        </is>
      </c>
      <c r="L19" s="14" t="inlineStr">
        <is>
          <t>Last Trade</t>
        </is>
      </c>
      <c r="M19" s="14" t="inlineStr">
        <is>
          <t>Duration</t>
        </is>
      </c>
      <c r="N19" s="14" t="inlineStr">
        <is>
          <t>MCAP 1st Buy / Last Tx / Now</t>
        </is>
      </c>
      <c r="O19" s="14" t="inlineStr">
        <is>
          <t>Contract</t>
        </is>
      </c>
    </row>
    <row r="20">
      <c r="A20" s="15" t="inlineStr">
        <is>
          <t>isekai</t>
        </is>
      </c>
      <c r="B20" s="16" t="n">
        <v>296842</v>
      </c>
      <c r="C20" s="16" t="n">
        <v>0</v>
      </c>
      <c r="D20" s="16" t="inlineStr">
        <is>
          <t>0.000060</t>
        </is>
      </c>
      <c r="E20" s="16" t="inlineStr">
        <is>
          <t>0.100 SOL</t>
        </is>
      </c>
      <c r="F20" s="16" t="inlineStr">
        <is>
          <t>0.000 SOL</t>
        </is>
      </c>
      <c r="G20" s="17" t="inlineStr">
        <is>
          <t>-0.100 SOL</t>
        </is>
      </c>
      <c r="H20" s="17" t="inlineStr">
        <is>
          <t>0.00%</t>
        </is>
      </c>
      <c r="I20" s="16" t="inlineStr">
        <is>
          <t>296,842</t>
        </is>
      </c>
      <c r="J20" s="16" t="n">
        <v>1</v>
      </c>
      <c r="K20" s="16" t="n">
        <v>0</v>
      </c>
      <c r="L20" s="16" t="inlineStr">
        <is>
          <t>30.10.2024 16:01:47</t>
        </is>
      </c>
      <c r="M20" s="18" t="inlineStr">
        <is>
          <t>0 sec</t>
        </is>
      </c>
      <c r="N20" s="16" t="inlineStr">
        <is>
          <t xml:space="preserve">         54K            54K             5K</t>
        </is>
      </c>
      <c r="O20" s="16" t="inlineStr">
        <is>
          <t>9vMVrZxpyzZGdDxvTiwjPuTco8VuXQFoZPzrUoPSpump</t>
        </is>
      </c>
      <c r="P20" s="16">
        <f>HYPERLINK("https://dexscreener.com/solana/9vMVrZxpyzZGdDxvTiwjPuTco8VuXQFoZPzrUoPSpump", "View")</f>
        <v/>
      </c>
    </row>
    <row r="21">
      <c r="A21" s="19" t="inlineStr">
        <is>
          <t>ISAAC</t>
        </is>
      </c>
      <c r="B21" s="20" t="n">
        <v>956390</v>
      </c>
      <c r="C21" s="20" t="n">
        <v>0</v>
      </c>
      <c r="D21" s="20" t="inlineStr">
        <is>
          <t>0.000060</t>
        </is>
      </c>
      <c r="E21" s="20" t="inlineStr">
        <is>
          <t>0.100 SOL</t>
        </is>
      </c>
      <c r="F21" s="20" t="inlineStr">
        <is>
          <t>0.000 SOL</t>
        </is>
      </c>
      <c r="G21" s="17" t="inlineStr">
        <is>
          <t>-0.100 SOL</t>
        </is>
      </c>
      <c r="H21" s="17" t="inlineStr">
        <is>
          <t>0.00%</t>
        </is>
      </c>
      <c r="I21" s="20" t="inlineStr">
        <is>
          <t>956,390</t>
        </is>
      </c>
      <c r="J21" s="20" t="n">
        <v>1</v>
      </c>
      <c r="K21" s="20" t="n">
        <v>0</v>
      </c>
      <c r="L21" s="20" t="inlineStr">
        <is>
          <t>30.10.2024 16:00:07</t>
        </is>
      </c>
      <c r="M21" s="18" t="inlineStr">
        <is>
          <t>0 sec</t>
        </is>
      </c>
      <c r="N21" s="20" t="inlineStr">
        <is>
          <t xml:space="preserve">         18K            18K             3K</t>
        </is>
      </c>
      <c r="O21" s="20" t="inlineStr">
        <is>
          <t>GZSbHMuJrT2mLYnvkbD8mW3Tx6ycMCafMseNgq6yY8zw</t>
        </is>
      </c>
      <c r="P21" s="20">
        <f>HYPERLINK("https://dexscreener.com/solana/GZSbHMuJrT2mLYnvkbD8mW3Tx6ycMCafMseNgq6yY8zw", "View")</f>
        <v/>
      </c>
    </row>
    <row r="22">
      <c r="A22" s="15" t="inlineStr">
        <is>
          <t>ELEPHANT</t>
        </is>
      </c>
      <c r="B22" s="16" t="n">
        <v>161795</v>
      </c>
      <c r="C22" s="16" t="n">
        <v>0</v>
      </c>
      <c r="D22" s="16" t="inlineStr">
        <is>
          <t>0.000060</t>
        </is>
      </c>
      <c r="E22" s="16" t="inlineStr">
        <is>
          <t>0.100 SOL</t>
        </is>
      </c>
      <c r="F22" s="16" t="inlineStr">
        <is>
          <t>0.000 SOL</t>
        </is>
      </c>
      <c r="G22" s="17" t="inlineStr">
        <is>
          <t>-0.100 SOL</t>
        </is>
      </c>
      <c r="H22" s="17" t="inlineStr">
        <is>
          <t>0.00%</t>
        </is>
      </c>
      <c r="I22" s="16" t="inlineStr">
        <is>
          <t>161,795</t>
        </is>
      </c>
      <c r="J22" s="16" t="n">
        <v>1</v>
      </c>
      <c r="K22" s="16" t="n">
        <v>0</v>
      </c>
      <c r="L22" s="16" t="inlineStr">
        <is>
          <t>30.10.2024 15:49:37</t>
        </is>
      </c>
      <c r="M22" s="18" t="inlineStr">
        <is>
          <t>0 sec</t>
        </is>
      </c>
      <c r="N22" s="16" t="inlineStr">
        <is>
          <t xml:space="preserve">        109K           109K             4K</t>
        </is>
      </c>
      <c r="O22" s="16" t="inlineStr">
        <is>
          <t>GFxYpGDua6boNBmUh7WiWkvckmyZEkaHW5J4hE1Xpump</t>
        </is>
      </c>
      <c r="P22" s="16">
        <f>HYPERLINK("https://dexscreener.com/solana/GFxYpGDua6boNBmUh7WiWkvckmyZEkaHW5J4hE1Xpump", "View")</f>
        <v/>
      </c>
    </row>
    <row r="23">
      <c r="A23" s="19" t="inlineStr">
        <is>
          <t>USA</t>
        </is>
      </c>
      <c r="B23" s="20" t="n">
        <v>623915</v>
      </c>
      <c r="C23" s="20" t="n">
        <v>311958</v>
      </c>
      <c r="D23" s="20" t="inlineStr">
        <is>
          <t>0.000110</t>
        </is>
      </c>
      <c r="E23" s="20" t="inlineStr">
        <is>
          <t>0.206 SOL</t>
        </is>
      </c>
      <c r="F23" s="20" t="inlineStr">
        <is>
          <t>0.100 SOL</t>
        </is>
      </c>
      <c r="G23" s="24" t="inlineStr">
        <is>
          <t>-0.106 SOL</t>
        </is>
      </c>
      <c r="H23" s="24" t="inlineStr">
        <is>
          <t>-51.51%</t>
        </is>
      </c>
      <c r="I23" s="20" t="inlineStr">
        <is>
          <t>N/A</t>
        </is>
      </c>
      <c r="J23" s="20" t="n">
        <v>1</v>
      </c>
      <c r="K23" s="20" t="n">
        <v>1</v>
      </c>
      <c r="L23" s="20" t="inlineStr">
        <is>
          <t>30.10.2024 15:48:47</t>
        </is>
      </c>
      <c r="M23" s="20" t="inlineStr">
        <is>
          <t>2 min</t>
        </is>
      </c>
      <c r="N23" s="20" t="inlineStr">
        <is>
          <t xml:space="preserve">         58K            56K             4K</t>
        </is>
      </c>
      <c r="O23" s="20" t="inlineStr">
        <is>
          <t>Aws17M8eUvZxc5LZ23YQfuFj9u3iN5PMgJtPFxfxpump</t>
        </is>
      </c>
      <c r="P23" s="20">
        <f>HYPERLINK("https://photon-sol.tinyastro.io/en/lp/Aws17M8eUvZxc5LZ23YQfuFj9u3iN5PMgJtPFxfxpump?handle=676050794bc1b1657a56b", "View")</f>
        <v/>
      </c>
    </row>
    <row r="24">
      <c r="A24" s="15" t="inlineStr">
        <is>
          <t>Bucky</t>
        </is>
      </c>
      <c r="B24" s="16" t="n">
        <v>107825</v>
      </c>
      <c r="C24" s="16" t="n">
        <v>53912</v>
      </c>
      <c r="D24" s="16" t="inlineStr">
        <is>
          <t>0.000110</t>
        </is>
      </c>
      <c r="E24" s="16" t="inlineStr">
        <is>
          <t>0.100 SOL</t>
        </is>
      </c>
      <c r="F24" s="16" t="inlineStr">
        <is>
          <t>0.083 SOL</t>
        </is>
      </c>
      <c r="G24" s="21" t="inlineStr">
        <is>
          <t>-0.017 SOL</t>
        </is>
      </c>
      <c r="H24" s="21" t="inlineStr">
        <is>
          <t>-17.02%</t>
        </is>
      </c>
      <c r="I24" s="16" t="inlineStr">
        <is>
          <t>N/A</t>
        </is>
      </c>
      <c r="J24" s="16" t="n">
        <v>1</v>
      </c>
      <c r="K24" s="16" t="n">
        <v>1</v>
      </c>
      <c r="L24" s="16" t="inlineStr">
        <is>
          <t>30.10.2024 15:38:38</t>
        </is>
      </c>
      <c r="M24" s="16" t="inlineStr">
        <is>
          <t>4 min</t>
        </is>
      </c>
      <c r="N24" s="16" t="inlineStr">
        <is>
          <t xml:space="preserve">        163K           163K             9K</t>
        </is>
      </c>
      <c r="O24" s="16" t="inlineStr">
        <is>
          <t>C8w46V4sR4yph3JajsdV75wwpsAoxncrPUfkiJCtTUjM</t>
        </is>
      </c>
      <c r="P24" s="16">
        <f>HYPERLINK("https://dexscreener.com/solana/C8w46V4sR4yph3JajsdV75wwpsAoxncrPUfkiJCtTUjM", "View")</f>
        <v/>
      </c>
    </row>
    <row r="25">
      <c r="A25" s="19" t="inlineStr">
        <is>
          <t>THECAT</t>
        </is>
      </c>
      <c r="B25" s="20" t="n">
        <v>3015615</v>
      </c>
      <c r="C25" s="20" t="n">
        <v>0</v>
      </c>
      <c r="D25" s="20" t="inlineStr">
        <is>
          <t>0.000060</t>
        </is>
      </c>
      <c r="E25" s="20" t="inlineStr">
        <is>
          <t>0.100 SOL</t>
        </is>
      </c>
      <c r="F25" s="20" t="inlineStr">
        <is>
          <t>0.000 SOL</t>
        </is>
      </c>
      <c r="G25" s="17" t="inlineStr">
        <is>
          <t>-0.100 SOL</t>
        </is>
      </c>
      <c r="H25" s="17" t="inlineStr">
        <is>
          <t>0.00%</t>
        </is>
      </c>
      <c r="I25" s="20" t="inlineStr">
        <is>
          <t>3,015,615</t>
        </is>
      </c>
      <c r="J25" s="20" t="n">
        <v>1</v>
      </c>
      <c r="K25" s="20" t="n">
        <v>0</v>
      </c>
      <c r="L25" s="20" t="inlineStr">
        <is>
          <t>30.10.2024 15:32:30</t>
        </is>
      </c>
      <c r="M25" s="18" t="inlineStr">
        <is>
          <t>0 sec</t>
        </is>
      </c>
      <c r="N25" s="20" t="inlineStr">
        <is>
          <t xml:space="preserve">          5K             5K             3K</t>
        </is>
      </c>
      <c r="O25" s="20" t="inlineStr">
        <is>
          <t>7FksGFdBunWuRpAJBrDkfEM2hGbHUPGtP1x4Gt4vpump</t>
        </is>
      </c>
      <c r="P25" s="20">
        <f>HYPERLINK("https://dexscreener.com/solana/7FksGFdBunWuRpAJBrDkfEM2hGbHUPGtP1x4Gt4vpump", "View")</f>
        <v/>
      </c>
    </row>
    <row r="26">
      <c r="A26" s="15" t="inlineStr">
        <is>
          <t>OMNI</t>
        </is>
      </c>
      <c r="B26" s="16" t="n">
        <v>1111166</v>
      </c>
      <c r="C26" s="16" t="n">
        <v>0</v>
      </c>
      <c r="D26" s="16" t="inlineStr">
        <is>
          <t>0.000060</t>
        </is>
      </c>
      <c r="E26" s="16" t="inlineStr">
        <is>
          <t>0.100 SOL</t>
        </is>
      </c>
      <c r="F26" s="16" t="inlineStr">
        <is>
          <t>0.000 SOL</t>
        </is>
      </c>
      <c r="G26" s="17" t="inlineStr">
        <is>
          <t>-0.100 SOL</t>
        </is>
      </c>
      <c r="H26" s="17" t="inlineStr">
        <is>
          <t>0.00%</t>
        </is>
      </c>
      <c r="I26" s="16" t="inlineStr">
        <is>
          <t>1,111,166</t>
        </is>
      </c>
      <c r="J26" s="16" t="n">
        <v>1</v>
      </c>
      <c r="K26" s="16" t="n">
        <v>0</v>
      </c>
      <c r="L26" s="16" t="inlineStr">
        <is>
          <t>30.10.2024 12:04:22</t>
        </is>
      </c>
      <c r="M26" s="18" t="inlineStr">
        <is>
          <t>0 sec</t>
        </is>
      </c>
      <c r="N26" s="16" t="inlineStr">
        <is>
          <t xml:space="preserve">         16K            16K             3K</t>
        </is>
      </c>
      <c r="O26" s="16" t="inlineStr">
        <is>
          <t>3a23hdFRaMhqy9Q5P684U69r2GNzWDoxAYJpHjmmpump</t>
        </is>
      </c>
      <c r="P26" s="16">
        <f>HYPERLINK("https://dexscreener.com/solana/3a23hdFRaMhqy9Q5P684U69r2GNzWDoxAYJpHjmmpump", "View")</f>
        <v/>
      </c>
    </row>
    <row r="27">
      <c r="A27" s="19" t="inlineStr">
        <is>
          <t>AURA</t>
        </is>
      </c>
      <c r="B27" s="20" t="n">
        <v>149356</v>
      </c>
      <c r="C27" s="20" t="n">
        <v>0</v>
      </c>
      <c r="D27" s="20" t="inlineStr">
        <is>
          <t>0.000060</t>
        </is>
      </c>
      <c r="E27" s="20" t="inlineStr">
        <is>
          <t>0.100 SOL</t>
        </is>
      </c>
      <c r="F27" s="20" t="inlineStr">
        <is>
          <t>0.000 SOL</t>
        </is>
      </c>
      <c r="G27" s="17" t="inlineStr">
        <is>
          <t>-0.100 SOL</t>
        </is>
      </c>
      <c r="H27" s="17" t="inlineStr">
        <is>
          <t>0.00%</t>
        </is>
      </c>
      <c r="I27" s="20" t="inlineStr">
        <is>
          <t>149,356</t>
        </is>
      </c>
      <c r="J27" s="20" t="n">
        <v>1</v>
      </c>
      <c r="K27" s="20" t="n">
        <v>0</v>
      </c>
      <c r="L27" s="20" t="inlineStr">
        <is>
          <t>30.10.2024 11:12:40</t>
        </is>
      </c>
      <c r="M27" s="18" t="inlineStr">
        <is>
          <t>0 sec</t>
        </is>
      </c>
      <c r="N27" s="20" t="inlineStr">
        <is>
          <t xml:space="preserve">        118K           118K             5K</t>
        </is>
      </c>
      <c r="O27" s="20" t="inlineStr">
        <is>
          <t>8sdB4SieY1dMCPofU8Zh6QaYbk4ZBQiYXbtVQkaApump</t>
        </is>
      </c>
      <c r="P27" s="20">
        <f>HYPERLINK("https://dexscreener.com/solana/8sdB4SieY1dMCPofU8Zh6QaYbk4ZBQiYXbtVQkaApump", "View")</f>
        <v/>
      </c>
    </row>
    <row r="28">
      <c r="A28" s="15" t="inlineStr">
        <is>
          <t>America</t>
        </is>
      </c>
      <c r="B28" s="16" t="n">
        <v>201356</v>
      </c>
      <c r="C28" s="16" t="n">
        <v>201356</v>
      </c>
      <c r="D28" s="16" t="inlineStr">
        <is>
          <t>0.000160</t>
        </is>
      </c>
      <c r="E28" s="16" t="inlineStr">
        <is>
          <t>0.100 SOL</t>
        </is>
      </c>
      <c r="F28" s="16" t="inlineStr">
        <is>
          <t>0.795 SOL</t>
        </is>
      </c>
      <c r="G28" s="23" t="inlineStr">
        <is>
          <t>0.695 SOL</t>
        </is>
      </c>
      <c r="H28" s="23" t="inlineStr">
        <is>
          <t>694.08%</t>
        </is>
      </c>
      <c r="I28" s="16" t="inlineStr">
        <is>
          <t>N/A</t>
        </is>
      </c>
      <c r="J28" s="16" t="n">
        <v>1</v>
      </c>
      <c r="K28" s="16" t="n">
        <v>2</v>
      </c>
      <c r="L28" s="16" t="inlineStr">
        <is>
          <t>30.10.2024 08:10:30</t>
        </is>
      </c>
      <c r="M28" s="16" t="inlineStr">
        <is>
          <t>16 hours</t>
        </is>
      </c>
      <c r="N28" s="16" t="inlineStr">
        <is>
          <t xml:space="preserve">         88K            88K           170K</t>
        </is>
      </c>
      <c r="O28" s="16" t="inlineStr">
        <is>
          <t>6LJaNpynfDj5dX1dJ2sdGDqmUzkqsVGCza5WLr5Npump</t>
        </is>
      </c>
      <c r="P28" s="16">
        <f>HYPERLINK("https://dexscreener.com/solana/6LJaNpynfDj5dX1dJ2sdGDqmUzkqsVGCza5WLr5Npump", "View")</f>
        <v/>
      </c>
    </row>
    <row r="29">
      <c r="A29" s="19" t="inlineStr">
        <is>
          <t>WYR</t>
        </is>
      </c>
      <c r="B29" s="20" t="n">
        <v>275027</v>
      </c>
      <c r="C29" s="20" t="n">
        <v>0</v>
      </c>
      <c r="D29" s="20" t="inlineStr">
        <is>
          <t>0.000060</t>
        </is>
      </c>
      <c r="E29" s="20" t="inlineStr">
        <is>
          <t>0.100 SOL</t>
        </is>
      </c>
      <c r="F29" s="20" t="inlineStr">
        <is>
          <t>0.000 SOL</t>
        </is>
      </c>
      <c r="G29" s="17" t="inlineStr">
        <is>
          <t>-0.100 SOL</t>
        </is>
      </c>
      <c r="H29" s="17" t="inlineStr">
        <is>
          <t>0.00%</t>
        </is>
      </c>
      <c r="I29" s="20" t="inlineStr">
        <is>
          <t>275,027</t>
        </is>
      </c>
      <c r="J29" s="20" t="n">
        <v>1</v>
      </c>
      <c r="K29" s="20" t="n">
        <v>0</v>
      </c>
      <c r="L29" s="20" t="inlineStr">
        <is>
          <t>30.10.2024 07:44:37</t>
        </is>
      </c>
      <c r="M29" s="18" t="inlineStr">
        <is>
          <t>0 sec</t>
        </is>
      </c>
      <c r="N29" s="20" t="inlineStr">
        <is>
          <t xml:space="preserve">         63K            63K             5K</t>
        </is>
      </c>
      <c r="O29" s="20" t="inlineStr">
        <is>
          <t>2CtwtX2A3jXgxG8WFJThQiNZpHzvqiCVwNU4za9fWH23</t>
        </is>
      </c>
      <c r="P29" s="20">
        <f>HYPERLINK("https://dexscreener.com/solana/2CtwtX2A3jXgxG8WFJThQiNZpHzvqiCVwNU4za9fWH23", "View")</f>
        <v/>
      </c>
    </row>
    <row r="30">
      <c r="A30" s="15" t="inlineStr">
        <is>
          <t>TIZZY</t>
        </is>
      </c>
      <c r="B30" s="16" t="n">
        <v>158801</v>
      </c>
      <c r="C30" s="16" t="n">
        <v>0</v>
      </c>
      <c r="D30" s="16" t="inlineStr">
        <is>
          <t>0.000060</t>
        </is>
      </c>
      <c r="E30" s="16" t="inlineStr">
        <is>
          <t>0.100 SOL</t>
        </is>
      </c>
      <c r="F30" s="16" t="inlineStr">
        <is>
          <t>0.000 SOL</t>
        </is>
      </c>
      <c r="G30" s="17" t="inlineStr">
        <is>
          <t>-0.100 SOL</t>
        </is>
      </c>
      <c r="H30" s="17" t="inlineStr">
        <is>
          <t>0.00%</t>
        </is>
      </c>
      <c r="I30" s="16" t="inlineStr">
        <is>
          <t>158,801</t>
        </is>
      </c>
      <c r="J30" s="16" t="n">
        <v>1</v>
      </c>
      <c r="K30" s="16" t="n">
        <v>0</v>
      </c>
      <c r="L30" s="16" t="inlineStr">
        <is>
          <t>30.10.2024 06:53:50</t>
        </is>
      </c>
      <c r="M30" s="18" t="inlineStr">
        <is>
          <t>0 sec</t>
        </is>
      </c>
      <c r="N30" s="16" t="inlineStr">
        <is>
          <t xml:space="preserve">        111K           111K             4K</t>
        </is>
      </c>
      <c r="O30" s="16" t="inlineStr">
        <is>
          <t>g6NSpJRmMvchtfcG6SxyCwRz9DQFMMKUBAEv5v7pump</t>
        </is>
      </c>
      <c r="P30" s="16">
        <f>HYPERLINK("https://dexscreener.com/solana/g6NSpJRmMvchtfcG6SxyCwRz9DQFMMKUBAEv5v7pump", "View")</f>
        <v/>
      </c>
    </row>
    <row r="31">
      <c r="A31" s="19" t="inlineStr">
        <is>
          <t>Himeno AI</t>
        </is>
      </c>
      <c r="B31" s="20" t="n">
        <v>192492</v>
      </c>
      <c r="C31" s="20" t="n">
        <v>96246</v>
      </c>
      <c r="D31" s="20" t="inlineStr">
        <is>
          <t>0.000110</t>
        </is>
      </c>
      <c r="E31" s="20" t="inlineStr">
        <is>
          <t>0.100 SOL</t>
        </is>
      </c>
      <c r="F31" s="20" t="inlineStr">
        <is>
          <t>0.095 SOL</t>
        </is>
      </c>
      <c r="G31" s="21" t="inlineStr">
        <is>
          <t>-0.006 SOL</t>
        </is>
      </c>
      <c r="H31" s="21" t="inlineStr">
        <is>
          <t>-5.59%</t>
        </is>
      </c>
      <c r="I31" s="20" t="inlineStr">
        <is>
          <t>N/A</t>
        </is>
      </c>
      <c r="J31" s="20" t="n">
        <v>1</v>
      </c>
      <c r="K31" s="20" t="n">
        <v>1</v>
      </c>
      <c r="L31" s="20" t="inlineStr">
        <is>
          <t>30.10.2024 06:43:25</t>
        </is>
      </c>
      <c r="M31" s="20" t="inlineStr">
        <is>
          <t>5 min</t>
        </is>
      </c>
      <c r="N31" s="20" t="inlineStr">
        <is>
          <t xml:space="preserve">         91K           172K            12K</t>
        </is>
      </c>
      <c r="O31" s="20" t="inlineStr">
        <is>
          <t>HcisYtXpJ9r4uUjPadfaJQiKCyT21wuQ1hNg2NAypump</t>
        </is>
      </c>
      <c r="P31" s="20">
        <f>HYPERLINK("https://dexscreener.com/solana/HcisYtXpJ9r4uUjPadfaJQiKCyT21wuQ1hNg2NAypump", "View")</f>
        <v/>
      </c>
    </row>
    <row r="32">
      <c r="A32" s="15" t="inlineStr">
        <is>
          <t>Joi</t>
        </is>
      </c>
      <c r="B32" s="16" t="n">
        <v>518624</v>
      </c>
      <c r="C32" s="16" t="n">
        <v>518624</v>
      </c>
      <c r="D32" s="16" t="inlineStr">
        <is>
          <t>0.000220</t>
        </is>
      </c>
      <c r="E32" s="16" t="inlineStr">
        <is>
          <t>0.200 SOL</t>
        </is>
      </c>
      <c r="F32" s="16" t="inlineStr">
        <is>
          <t>0.225 SOL</t>
        </is>
      </c>
      <c r="G32" s="22" t="inlineStr">
        <is>
          <t>0.024 SOL</t>
        </is>
      </c>
      <c r="H32" s="22" t="inlineStr">
        <is>
          <t>12.23%</t>
        </is>
      </c>
      <c r="I32" s="16" t="inlineStr">
        <is>
          <t>N/A</t>
        </is>
      </c>
      <c r="J32" s="16" t="n">
        <v>2</v>
      </c>
      <c r="K32" s="16" t="n">
        <v>2</v>
      </c>
      <c r="L32" s="16" t="inlineStr">
        <is>
          <t>30.10.2024 06:37:08</t>
        </is>
      </c>
      <c r="M32" s="16" t="inlineStr">
        <is>
          <t>1 days</t>
        </is>
      </c>
      <c r="N32" s="16" t="inlineStr">
        <is>
          <t xml:space="preserve">         67K            69K           107K</t>
        </is>
      </c>
      <c r="O32" s="16" t="inlineStr">
        <is>
          <t>2GU2KM9mx4aXuMcD596KN5LPQpyTLsmswutjis7upump</t>
        </is>
      </c>
      <c r="P32" s="16">
        <f>HYPERLINK("https://dexscreener.com/solana/2GU2KM9mx4aXuMcD596KN5LPQpyTLsmswutjis7upump", "View")</f>
        <v/>
      </c>
    </row>
    <row r="33">
      <c r="A33" s="19" t="inlineStr">
        <is>
          <t>AINSEM</t>
        </is>
      </c>
      <c r="B33" s="20" t="n">
        <v>217930</v>
      </c>
      <c r="C33" s="20" t="n">
        <v>108965</v>
      </c>
      <c r="D33" s="20" t="inlineStr">
        <is>
          <t>0.000110</t>
        </is>
      </c>
      <c r="E33" s="20" t="inlineStr">
        <is>
          <t>0.100 SOL</t>
        </is>
      </c>
      <c r="F33" s="20" t="inlineStr">
        <is>
          <t>0.100 SOL</t>
        </is>
      </c>
      <c r="G33" s="22" t="inlineStr">
        <is>
          <t>0.000 SOL</t>
        </is>
      </c>
      <c r="H33" s="22" t="inlineStr">
        <is>
          <t>0.22%</t>
        </is>
      </c>
      <c r="I33" s="20" t="inlineStr">
        <is>
          <t>N/A</t>
        </is>
      </c>
      <c r="J33" s="20" t="n">
        <v>1</v>
      </c>
      <c r="K33" s="20" t="n">
        <v>1</v>
      </c>
      <c r="L33" s="20" t="inlineStr">
        <is>
          <t>30.10.2024 04:45:38</t>
        </is>
      </c>
      <c r="M33" s="20" t="inlineStr">
        <is>
          <t>7 min</t>
        </is>
      </c>
      <c r="N33" s="20" t="inlineStr">
        <is>
          <t xml:space="preserve">         81K            81K             6K</t>
        </is>
      </c>
      <c r="O33" s="20" t="inlineStr">
        <is>
          <t>6wBkbf9697vSZ8rS8vTFJVKvxPLaW35zSRqg3iXpump</t>
        </is>
      </c>
      <c r="P33" s="20">
        <f>HYPERLINK("https://dexscreener.com/solana/6wBkbf9697vSZ8rS8vTFJVKvxPLaW35zSRqg3iXpump", "View")</f>
        <v/>
      </c>
    </row>
    <row r="34">
      <c r="A34" s="15" t="inlineStr">
        <is>
          <t>Banana</t>
        </is>
      </c>
      <c r="B34" s="16" t="n">
        <v>131525</v>
      </c>
      <c r="C34" s="16" t="n">
        <v>65762</v>
      </c>
      <c r="D34" s="16" t="inlineStr">
        <is>
          <t>0.000110</t>
        </is>
      </c>
      <c r="E34" s="16" t="inlineStr">
        <is>
          <t>0.100 SOL</t>
        </is>
      </c>
      <c r="F34" s="16" t="inlineStr">
        <is>
          <t>0.101 SOL</t>
        </is>
      </c>
      <c r="G34" s="22" t="inlineStr">
        <is>
          <t>0.001 SOL</t>
        </is>
      </c>
      <c r="H34" s="22" t="inlineStr">
        <is>
          <t>0.91%</t>
        </is>
      </c>
      <c r="I34" s="16" t="inlineStr">
        <is>
          <t>N/A</t>
        </is>
      </c>
      <c r="J34" s="16" t="n">
        <v>1</v>
      </c>
      <c r="K34" s="16" t="n">
        <v>1</v>
      </c>
      <c r="L34" s="16" t="inlineStr">
        <is>
          <t>30.10.2024 03:56:37</t>
        </is>
      </c>
      <c r="M34" s="16" t="inlineStr">
        <is>
          <t>4 min</t>
        </is>
      </c>
      <c r="N34" s="16" t="inlineStr">
        <is>
          <t xml:space="preserve">        133K           270K            19K</t>
        </is>
      </c>
      <c r="O34" s="16" t="inlineStr">
        <is>
          <t>DZNk7E8KdF9vRpP2Hk5gR9CtkkjTteA2FDFw3wUvpump</t>
        </is>
      </c>
      <c r="P34" s="16">
        <f>HYPERLINK("https://dexscreener.com/solana/DZNk7E8KdF9vRpP2Hk5gR9CtkkjTteA2FDFw3wUvpump", "View")</f>
        <v/>
      </c>
    </row>
    <row r="35">
      <c r="A35" s="19" t="inlineStr">
        <is>
          <t>DOGGY</t>
        </is>
      </c>
      <c r="B35" s="20" t="n">
        <v>208800</v>
      </c>
      <c r="C35" s="20" t="n">
        <v>0</v>
      </c>
      <c r="D35" s="20" t="inlineStr">
        <is>
          <t>0.000060</t>
        </is>
      </c>
      <c r="E35" s="20" t="inlineStr">
        <is>
          <t>0.100 SOL</t>
        </is>
      </c>
      <c r="F35" s="20" t="inlineStr">
        <is>
          <t>0.000 SOL</t>
        </is>
      </c>
      <c r="G35" s="17" t="inlineStr">
        <is>
          <t>-0.100 SOL</t>
        </is>
      </c>
      <c r="H35" s="17" t="inlineStr">
        <is>
          <t>0.00%</t>
        </is>
      </c>
      <c r="I35" s="20" t="inlineStr">
        <is>
          <t>208,800</t>
        </is>
      </c>
      <c r="J35" s="20" t="n">
        <v>1</v>
      </c>
      <c r="K35" s="20" t="n">
        <v>0</v>
      </c>
      <c r="L35" s="20" t="inlineStr">
        <is>
          <t>30.10.2024 03:33:37</t>
        </is>
      </c>
      <c r="M35" s="18" t="inlineStr">
        <is>
          <t>0 sec</t>
        </is>
      </c>
      <c r="N35" s="20" t="inlineStr">
        <is>
          <t xml:space="preserve">         84K            84K             3K</t>
        </is>
      </c>
      <c r="O35" s="20" t="inlineStr">
        <is>
          <t>FGjDi7mTBsniSdcB1TcBZjuDCAvhRoqmE7EhrXr6pump</t>
        </is>
      </c>
      <c r="P35" s="20">
        <f>HYPERLINK("https://dexscreener.com/solana/FGjDi7mTBsniSdcB1TcBZjuDCAvhRoqmE7EhrXr6pump", "View")</f>
        <v/>
      </c>
    </row>
    <row r="36">
      <c r="A36" s="15" t="inlineStr">
        <is>
          <t>TEE</t>
        </is>
      </c>
      <c r="B36" s="16" t="n">
        <v>67572</v>
      </c>
      <c r="C36" s="16" t="n">
        <v>0</v>
      </c>
      <c r="D36" s="16" t="inlineStr">
        <is>
          <t>0.000060</t>
        </is>
      </c>
      <c r="E36" s="16" t="inlineStr">
        <is>
          <t>0.100 SOL</t>
        </is>
      </c>
      <c r="F36" s="16" t="inlineStr">
        <is>
          <t>0.000 SOL</t>
        </is>
      </c>
      <c r="G36" s="17" t="inlineStr">
        <is>
          <t>-0.100 SOL</t>
        </is>
      </c>
      <c r="H36" s="17" t="inlineStr">
        <is>
          <t>0.00%</t>
        </is>
      </c>
      <c r="I36" s="16" t="inlineStr">
        <is>
          <t>67,572</t>
        </is>
      </c>
      <c r="J36" s="16" t="n">
        <v>1</v>
      </c>
      <c r="K36" s="16" t="n">
        <v>0</v>
      </c>
      <c r="L36" s="16" t="inlineStr">
        <is>
          <t>30.10.2024 03:06:18</t>
        </is>
      </c>
      <c r="M36" s="18" t="inlineStr">
        <is>
          <t>0 sec</t>
        </is>
      </c>
      <c r="N36" s="16" t="inlineStr">
        <is>
          <t xml:space="preserve">        260K           260K             7K</t>
        </is>
      </c>
      <c r="O36" s="16" t="inlineStr">
        <is>
          <t>EfgUrxH8LSk4gJBfULwW7GEAFekUULkK6DWjJdQLpump</t>
        </is>
      </c>
      <c r="P36" s="16">
        <f>HYPERLINK("https://dexscreener.com/solana/EfgUrxH8LSk4gJBfULwW7GEAFekUULkK6DWjJdQLpump", "View")</f>
        <v/>
      </c>
    </row>
    <row r="37">
      <c r="A37" s="19" t="inlineStr">
        <is>
          <t>Ainime</t>
        </is>
      </c>
      <c r="B37" s="20" t="n">
        <v>268195</v>
      </c>
      <c r="C37" s="20" t="n">
        <v>0</v>
      </c>
      <c r="D37" s="20" t="inlineStr">
        <is>
          <t>0.000060</t>
        </is>
      </c>
      <c r="E37" s="20" t="inlineStr">
        <is>
          <t>0.100 SOL</t>
        </is>
      </c>
      <c r="F37" s="20" t="inlineStr">
        <is>
          <t>0.000 SOL</t>
        </is>
      </c>
      <c r="G37" s="17" t="inlineStr">
        <is>
          <t>-0.100 SOL</t>
        </is>
      </c>
      <c r="H37" s="17" t="inlineStr">
        <is>
          <t>0.00%</t>
        </is>
      </c>
      <c r="I37" s="20" t="inlineStr">
        <is>
          <t>268,195</t>
        </is>
      </c>
      <c r="J37" s="20" t="n">
        <v>1</v>
      </c>
      <c r="K37" s="20" t="n">
        <v>0</v>
      </c>
      <c r="L37" s="20" t="inlineStr">
        <is>
          <t>30.10.2024 03:05:10</t>
        </is>
      </c>
      <c r="M37" s="18" t="inlineStr">
        <is>
          <t>0 sec</t>
        </is>
      </c>
      <c r="N37" s="20" t="inlineStr">
        <is>
          <t xml:space="preserve">         65K            65K             3K</t>
        </is>
      </c>
      <c r="O37" s="20" t="inlineStr">
        <is>
          <t>GbsDEf8p82zziXK6Lf5B1qYcQ4kBeJii1yQ2bSbpump</t>
        </is>
      </c>
      <c r="P37" s="20">
        <f>HYPERLINK("https://dexscreener.com/solana/GbsDEf8p82zziXK6Lf5B1qYcQ4kBeJii1yQ2bSbpump", "View")</f>
        <v/>
      </c>
    </row>
    <row r="38">
      <c r="A38" s="15" t="inlineStr">
        <is>
          <t>GUESS</t>
        </is>
      </c>
      <c r="B38" s="16" t="n">
        <v>238377</v>
      </c>
      <c r="C38" s="16" t="n">
        <v>119189</v>
      </c>
      <c r="D38" s="16" t="inlineStr">
        <is>
          <t>0.000110</t>
        </is>
      </c>
      <c r="E38" s="16" t="inlineStr">
        <is>
          <t>0.100 SOL</t>
        </is>
      </c>
      <c r="F38" s="16" t="inlineStr">
        <is>
          <t>0.112 SOL</t>
        </is>
      </c>
      <c r="G38" s="22" t="inlineStr">
        <is>
          <t>0.012 SOL</t>
        </is>
      </c>
      <c r="H38" s="22" t="inlineStr">
        <is>
          <t>11.77%</t>
        </is>
      </c>
      <c r="I38" s="16" t="inlineStr">
        <is>
          <t>N/A</t>
        </is>
      </c>
      <c r="J38" s="16" t="n">
        <v>1</v>
      </c>
      <c r="K38" s="16" t="n">
        <v>1</v>
      </c>
      <c r="L38" s="16" t="inlineStr">
        <is>
          <t>30.10.2024 02:36:36</t>
        </is>
      </c>
      <c r="M38" s="16" t="inlineStr">
        <is>
          <t>7 min</t>
        </is>
      </c>
      <c r="N38" s="16" t="inlineStr">
        <is>
          <t xml:space="preserve">         74K           165K             4K</t>
        </is>
      </c>
      <c r="O38" s="16" t="inlineStr">
        <is>
          <t>4KRD6qE4wYm76ET284aqt6VCkfi4EjuCLMKt4UBipump</t>
        </is>
      </c>
      <c r="P38" s="16">
        <f>HYPERLINK("https://dexscreener.com/solana/4KRD6qE4wYm76ET284aqt6VCkfi4EjuCLMKt4UBipump", "View")</f>
        <v/>
      </c>
    </row>
    <row r="39">
      <c r="A39" s="19" t="inlineStr">
        <is>
          <t>Cop</t>
        </is>
      </c>
      <c r="B39" s="20" t="n">
        <v>298265</v>
      </c>
      <c r="C39" s="20" t="n">
        <v>0</v>
      </c>
      <c r="D39" s="20" t="inlineStr">
        <is>
          <t>0.000060</t>
        </is>
      </c>
      <c r="E39" s="20" t="inlineStr">
        <is>
          <t>0.100 SOL</t>
        </is>
      </c>
      <c r="F39" s="20" t="inlineStr">
        <is>
          <t>0.000 SOL</t>
        </is>
      </c>
      <c r="G39" s="17" t="inlineStr">
        <is>
          <t>-0.100 SOL</t>
        </is>
      </c>
      <c r="H39" s="17" t="inlineStr">
        <is>
          <t>0.00%</t>
        </is>
      </c>
      <c r="I39" s="20" t="inlineStr">
        <is>
          <t>298,265</t>
        </is>
      </c>
      <c r="J39" s="20" t="n">
        <v>1</v>
      </c>
      <c r="K39" s="20" t="n">
        <v>0</v>
      </c>
      <c r="L39" s="20" t="inlineStr">
        <is>
          <t>30.10.2024 01:32:04</t>
        </is>
      </c>
      <c r="M39" s="18" t="inlineStr">
        <is>
          <t>0 sec</t>
        </is>
      </c>
      <c r="N39" s="20" t="inlineStr">
        <is>
          <t xml:space="preserve">         60K            60K             3K</t>
        </is>
      </c>
      <c r="O39" s="20" t="inlineStr">
        <is>
          <t>DjNffyojgwGTHk3PLFxLwJYPgRZL8B3L7M5hLUD5pump</t>
        </is>
      </c>
      <c r="P39" s="20">
        <f>HYPERLINK("https://dexscreener.com/solana/DjNffyojgwGTHk3PLFxLwJYPgRZL8B3L7M5hLUD5pump", "View")</f>
        <v/>
      </c>
    </row>
    <row r="40">
      <c r="A40" s="15" t="inlineStr">
        <is>
          <t>Moofia</t>
        </is>
      </c>
      <c r="B40" s="16" t="n">
        <v>47244</v>
      </c>
      <c r="C40" s="16" t="n">
        <v>0</v>
      </c>
      <c r="D40" s="16" t="inlineStr">
        <is>
          <t>0.000060</t>
        </is>
      </c>
      <c r="E40" s="16" t="inlineStr">
        <is>
          <t>0.100 SOL</t>
        </is>
      </c>
      <c r="F40" s="16" t="inlineStr">
        <is>
          <t>0.000 SOL</t>
        </is>
      </c>
      <c r="G40" s="17" t="inlineStr">
        <is>
          <t>-0.100 SOL</t>
        </is>
      </c>
      <c r="H40" s="17" t="inlineStr">
        <is>
          <t>0.00%</t>
        </is>
      </c>
      <c r="I40" s="16" t="inlineStr">
        <is>
          <t>47,244</t>
        </is>
      </c>
      <c r="J40" s="16" t="n">
        <v>1</v>
      </c>
      <c r="K40" s="16" t="n">
        <v>0</v>
      </c>
      <c r="L40" s="16" t="inlineStr">
        <is>
          <t>30.10.2024 01:18:55</t>
        </is>
      </c>
      <c r="M40" s="18" t="inlineStr">
        <is>
          <t>0 sec</t>
        </is>
      </c>
      <c r="N40" s="16" t="inlineStr">
        <is>
          <t xml:space="preserve">        372K           372K             5K</t>
        </is>
      </c>
      <c r="O40" s="16" t="inlineStr">
        <is>
          <t>3TuNSRkKjvh8iu67xgUSrqJCiXCX5eW6F3GDTy9Fpump</t>
        </is>
      </c>
      <c r="P40" s="16">
        <f>HYPERLINK("https://dexscreener.com/solana/3TuNSRkKjvh8iu67xgUSrqJCiXCX5eW6F3GDTy9Fpump", "View")</f>
        <v/>
      </c>
    </row>
    <row r="41">
      <c r="A41" s="19" t="inlineStr">
        <is>
          <t>DONKEY</t>
        </is>
      </c>
      <c r="B41" s="20" t="n">
        <v>111873</v>
      </c>
      <c r="C41" s="20" t="n">
        <v>0</v>
      </c>
      <c r="D41" s="20" t="inlineStr">
        <is>
          <t>0.000060</t>
        </is>
      </c>
      <c r="E41" s="20" t="inlineStr">
        <is>
          <t>0.100 SOL</t>
        </is>
      </c>
      <c r="F41" s="20" t="inlineStr">
        <is>
          <t>0.000 SOL</t>
        </is>
      </c>
      <c r="G41" s="17" t="inlineStr">
        <is>
          <t>-0.100 SOL</t>
        </is>
      </c>
      <c r="H41" s="17" t="inlineStr">
        <is>
          <t>0.00%</t>
        </is>
      </c>
      <c r="I41" s="20" t="inlineStr">
        <is>
          <t>111,873</t>
        </is>
      </c>
      <c r="J41" s="20" t="n">
        <v>1</v>
      </c>
      <c r="K41" s="20" t="n">
        <v>0</v>
      </c>
      <c r="L41" s="20" t="inlineStr">
        <is>
          <t>30.10.2024 01:18:40</t>
        </is>
      </c>
      <c r="M41" s="18" t="inlineStr">
        <is>
          <t>0 sec</t>
        </is>
      </c>
      <c r="N41" s="20" t="inlineStr">
        <is>
          <t xml:space="preserve">        156K           156K             3K</t>
        </is>
      </c>
      <c r="O41" s="20" t="inlineStr">
        <is>
          <t>H43yVAmXnZRs4MUDKzcJFueVW23kMSDvP2xHY3e3pump</t>
        </is>
      </c>
      <c r="P41" s="20">
        <f>HYPERLINK("https://dexscreener.com/solana/H43yVAmXnZRs4MUDKzcJFueVW23kMSDvP2xHY3e3pump", "View")</f>
        <v/>
      </c>
    </row>
    <row r="42">
      <c r="A42" s="15" t="inlineStr">
        <is>
          <t>PINKO</t>
        </is>
      </c>
      <c r="B42" s="16" t="n">
        <v>117703</v>
      </c>
      <c r="C42" s="16" t="n">
        <v>0</v>
      </c>
      <c r="D42" s="16" t="inlineStr">
        <is>
          <t>0.000060</t>
        </is>
      </c>
      <c r="E42" s="16" t="inlineStr">
        <is>
          <t>0.100 SOL</t>
        </is>
      </c>
      <c r="F42" s="16" t="inlineStr">
        <is>
          <t>0.000 SOL</t>
        </is>
      </c>
      <c r="G42" s="17" t="inlineStr">
        <is>
          <t>-0.100 SOL</t>
        </is>
      </c>
      <c r="H42" s="17" t="inlineStr">
        <is>
          <t>0.00%</t>
        </is>
      </c>
      <c r="I42" s="16" t="inlineStr">
        <is>
          <t>117,703</t>
        </is>
      </c>
      <c r="J42" s="16" t="n">
        <v>1</v>
      </c>
      <c r="K42" s="16" t="n">
        <v>0</v>
      </c>
      <c r="L42" s="16" t="inlineStr">
        <is>
          <t>30.10.2024 01:12:38</t>
        </is>
      </c>
      <c r="M42" s="18" t="inlineStr">
        <is>
          <t>0 sec</t>
        </is>
      </c>
      <c r="N42" s="16" t="inlineStr">
        <is>
          <t xml:space="preserve">        149K           149K             4K</t>
        </is>
      </c>
      <c r="O42" s="16" t="inlineStr">
        <is>
          <t>2W5pZVbUQcFdhhezzNbuwEvYK5ZYpc3yebGLkkm8pump</t>
        </is>
      </c>
      <c r="P42" s="16">
        <f>HYPERLINK("https://dexscreener.com/solana/2W5pZVbUQcFdhhezzNbuwEvYK5ZYpc3yebGLkkm8pump", "View")</f>
        <v/>
      </c>
    </row>
    <row r="43">
      <c r="A43" s="19" t="inlineStr">
        <is>
          <t>GORF</t>
        </is>
      </c>
      <c r="B43" s="20" t="n">
        <v>253288</v>
      </c>
      <c r="C43" s="20" t="n">
        <v>0</v>
      </c>
      <c r="D43" s="20" t="inlineStr">
        <is>
          <t>0.000060</t>
        </is>
      </c>
      <c r="E43" s="20" t="inlineStr">
        <is>
          <t>0.100 SOL</t>
        </is>
      </c>
      <c r="F43" s="20" t="inlineStr">
        <is>
          <t>0.000 SOL</t>
        </is>
      </c>
      <c r="G43" s="17" t="inlineStr">
        <is>
          <t>-0.100 SOL</t>
        </is>
      </c>
      <c r="H43" s="17" t="inlineStr">
        <is>
          <t>0.00%</t>
        </is>
      </c>
      <c r="I43" s="20" t="inlineStr">
        <is>
          <t>253,288</t>
        </is>
      </c>
      <c r="J43" s="20" t="n">
        <v>1</v>
      </c>
      <c r="K43" s="20" t="n">
        <v>0</v>
      </c>
      <c r="L43" s="20" t="inlineStr">
        <is>
          <t>29.10.2024 15:21:50</t>
        </is>
      </c>
      <c r="M43" s="18" t="inlineStr">
        <is>
          <t>0 sec</t>
        </is>
      </c>
      <c r="N43" s="20" t="inlineStr">
        <is>
          <t xml:space="preserve">         68K            68K             4K</t>
        </is>
      </c>
      <c r="O43" s="20" t="inlineStr">
        <is>
          <t>5JyTUrL9ZBvyA1dwUSw9XLZwkDLFjFHfm1ghVd9Vpump</t>
        </is>
      </c>
      <c r="P43" s="20">
        <f>HYPERLINK("https://dexscreener.com/solana/5JyTUrL9ZBvyA1dwUSw9XLZwkDLFjFHfm1ghVd9Vpump", "View")</f>
        <v/>
      </c>
    </row>
    <row r="44">
      <c r="A44" s="15" t="inlineStr">
        <is>
          <t>MOLANG</t>
        </is>
      </c>
      <c r="B44" s="16" t="n">
        <v>287544</v>
      </c>
      <c r="C44" s="16" t="n">
        <v>143772</v>
      </c>
      <c r="D44" s="16" t="inlineStr">
        <is>
          <t>0.000110</t>
        </is>
      </c>
      <c r="E44" s="16" t="inlineStr">
        <is>
          <t>0.100 SOL</t>
        </is>
      </c>
      <c r="F44" s="16" t="inlineStr">
        <is>
          <t>0.157 SOL</t>
        </is>
      </c>
      <c r="G44" s="23" t="inlineStr">
        <is>
          <t>0.057 SOL</t>
        </is>
      </c>
      <c r="H44" s="23" t="inlineStr">
        <is>
          <t>56.44%</t>
        </is>
      </c>
      <c r="I44" s="16" t="inlineStr">
        <is>
          <t>N/A</t>
        </is>
      </c>
      <c r="J44" s="16" t="n">
        <v>1</v>
      </c>
      <c r="K44" s="16" t="n">
        <v>1</v>
      </c>
      <c r="L44" s="16" t="inlineStr">
        <is>
          <t>29.10.2024 14:35:18</t>
        </is>
      </c>
      <c r="M44" s="16" t="inlineStr">
        <is>
          <t>10 min</t>
        </is>
      </c>
      <c r="N44" s="16" t="inlineStr">
        <is>
          <t xml:space="preserve">         55K            55K             4K</t>
        </is>
      </c>
      <c r="O44" s="16" t="inlineStr">
        <is>
          <t>FAS87Vmmejcf5RBtpfGZ8vPAjR2VuUZJ6Sojf8Jgpump</t>
        </is>
      </c>
      <c r="P44" s="16">
        <f>HYPERLINK("https://dexscreener.com/solana/FAS87Vmmejcf5RBtpfGZ8vPAjR2VuUZJ6Sojf8Jgpump", "View")</f>
        <v/>
      </c>
    </row>
    <row r="45">
      <c r="A45" s="19" t="inlineStr">
        <is>
          <t>PRIYA</t>
        </is>
      </c>
      <c r="B45" s="20" t="n">
        <v>390881</v>
      </c>
      <c r="C45" s="20" t="n">
        <v>195440</v>
      </c>
      <c r="D45" s="20" t="inlineStr">
        <is>
          <t>0.000110</t>
        </is>
      </c>
      <c r="E45" s="20" t="inlineStr">
        <is>
          <t>0.100 SOL</t>
        </is>
      </c>
      <c r="F45" s="20" t="inlineStr">
        <is>
          <t>0.147 SOL</t>
        </is>
      </c>
      <c r="G45" s="22" t="inlineStr">
        <is>
          <t>0.047 SOL</t>
        </is>
      </c>
      <c r="H45" s="22" t="inlineStr">
        <is>
          <t>46.72%</t>
        </is>
      </c>
      <c r="I45" s="20" t="inlineStr">
        <is>
          <t>N/A</t>
        </is>
      </c>
      <c r="J45" s="20" t="n">
        <v>1</v>
      </c>
      <c r="K45" s="20" t="n">
        <v>1</v>
      </c>
      <c r="L45" s="20" t="inlineStr">
        <is>
          <t>29.10.2024 14:12:21</t>
        </is>
      </c>
      <c r="M45" s="20" t="inlineStr">
        <is>
          <t>3 min</t>
        </is>
      </c>
      <c r="N45" s="20" t="inlineStr">
        <is>
          <t xml:space="preserve">         46K            46K             4K</t>
        </is>
      </c>
      <c r="O45" s="20" t="inlineStr">
        <is>
          <t>9ej363VCux3fGh9P3nZon5v6FVBWHP5BJUweBraxpump</t>
        </is>
      </c>
      <c r="P45" s="20">
        <f>HYPERLINK("https://dexscreener.com/solana/9ej363VCux3fGh9P3nZon5v6FVBWHP5BJUweBraxpump", "View")</f>
        <v/>
      </c>
    </row>
    <row r="46">
      <c r="A46" s="15" t="inlineStr">
        <is>
          <t>pixy</t>
        </is>
      </c>
      <c r="B46" s="16" t="n">
        <v>256473</v>
      </c>
      <c r="C46" s="16" t="n">
        <v>128236</v>
      </c>
      <c r="D46" s="16" t="inlineStr">
        <is>
          <t>0.000110</t>
        </is>
      </c>
      <c r="E46" s="16" t="inlineStr">
        <is>
          <t>0.100 SOL</t>
        </is>
      </c>
      <c r="F46" s="16" t="inlineStr">
        <is>
          <t>0.089 SOL</t>
        </is>
      </c>
      <c r="G46" s="21" t="inlineStr">
        <is>
          <t>-0.012 SOL</t>
        </is>
      </c>
      <c r="H46" s="21" t="inlineStr">
        <is>
          <t>-11.50%</t>
        </is>
      </c>
      <c r="I46" s="16" t="inlineStr">
        <is>
          <t>N/A</t>
        </is>
      </c>
      <c r="J46" s="16" t="n">
        <v>1</v>
      </c>
      <c r="K46" s="16" t="n">
        <v>1</v>
      </c>
      <c r="L46" s="16" t="inlineStr">
        <is>
          <t>29.10.2024 12:52:27</t>
        </is>
      </c>
      <c r="M46" s="16" t="inlineStr">
        <is>
          <t>4 min</t>
        </is>
      </c>
      <c r="N46" s="16" t="inlineStr">
        <is>
          <t xml:space="preserve">         68K            68K             7K</t>
        </is>
      </c>
      <c r="O46" s="16" t="inlineStr">
        <is>
          <t>EegQmCFNWdhZsh75XUdW2TaM8S13LAGf6JzNgHpxpump</t>
        </is>
      </c>
      <c r="P46" s="16">
        <f>HYPERLINK("https://dexscreener.com/solana/EegQmCFNWdhZsh75XUdW2TaM8S13LAGf6JzNgHpxpump", "View")</f>
        <v/>
      </c>
    </row>
    <row r="47">
      <c r="A47" s="19" t="inlineStr">
        <is>
          <t>Tsuma</t>
        </is>
      </c>
      <c r="B47" s="20" t="n">
        <v>63958</v>
      </c>
      <c r="C47" s="20" t="n">
        <v>0</v>
      </c>
      <c r="D47" s="20" t="inlineStr">
        <is>
          <t>0.000060</t>
        </is>
      </c>
      <c r="E47" s="20" t="inlineStr">
        <is>
          <t>0.100 SOL</t>
        </is>
      </c>
      <c r="F47" s="20" t="inlineStr">
        <is>
          <t>0.000 SOL</t>
        </is>
      </c>
      <c r="G47" s="17" t="inlineStr">
        <is>
          <t>-0.100 SOL</t>
        </is>
      </c>
      <c r="H47" s="17" t="inlineStr">
        <is>
          <t>0.00%</t>
        </is>
      </c>
      <c r="I47" s="20" t="inlineStr">
        <is>
          <t>63,958</t>
        </is>
      </c>
      <c r="J47" s="20" t="n">
        <v>1</v>
      </c>
      <c r="K47" s="20" t="n">
        <v>0</v>
      </c>
      <c r="L47" s="20" t="inlineStr">
        <is>
          <t>29.10.2024 12:50:04</t>
        </is>
      </c>
      <c r="M47" s="18" t="inlineStr">
        <is>
          <t>0 sec</t>
        </is>
      </c>
      <c r="N47" s="20" t="inlineStr">
        <is>
          <t xml:space="preserve">        274K           274K             8K</t>
        </is>
      </c>
      <c r="O47" s="20" t="inlineStr">
        <is>
          <t>7JmFkkvxffC1RjnYoAJQyMWemMREfuq64SDk1Urdpump</t>
        </is>
      </c>
      <c r="P47" s="20">
        <f>HYPERLINK("https://dexscreener.com/solana/7JmFkkvxffC1RjnYoAJQyMWemMREfuq64SDk1Urdpump", "View")</f>
        <v/>
      </c>
    </row>
    <row r="48">
      <c r="A48" s="15" t="inlineStr">
        <is>
          <t>SOLLUMINAT</t>
        </is>
      </c>
      <c r="B48" s="16" t="n">
        <v>270269</v>
      </c>
      <c r="C48" s="16" t="n">
        <v>0</v>
      </c>
      <c r="D48" s="16" t="inlineStr">
        <is>
          <t>0.000060</t>
        </is>
      </c>
      <c r="E48" s="16" t="inlineStr">
        <is>
          <t>0.100 SOL</t>
        </is>
      </c>
      <c r="F48" s="16" t="inlineStr">
        <is>
          <t>0.000 SOL</t>
        </is>
      </c>
      <c r="G48" s="17" t="inlineStr">
        <is>
          <t>-0.100 SOL</t>
        </is>
      </c>
      <c r="H48" s="17" t="inlineStr">
        <is>
          <t>0.00%</t>
        </is>
      </c>
      <c r="I48" s="16" t="inlineStr">
        <is>
          <t>270,269</t>
        </is>
      </c>
      <c r="J48" s="16" t="n">
        <v>1</v>
      </c>
      <c r="K48" s="16" t="n">
        <v>0</v>
      </c>
      <c r="L48" s="16" t="inlineStr">
        <is>
          <t>29.10.2024 12:46:08</t>
        </is>
      </c>
      <c r="M48" s="18" t="inlineStr">
        <is>
          <t>0 sec</t>
        </is>
      </c>
      <c r="N48" s="16" t="inlineStr">
        <is>
          <t xml:space="preserve">         65K            65K             3K</t>
        </is>
      </c>
      <c r="O48" s="16" t="inlineStr">
        <is>
          <t>14no8dPgdrhbfduPAsrJSwngiFEB1yeBnnsxRFHRpump</t>
        </is>
      </c>
      <c r="P48" s="16">
        <f>HYPERLINK("https://dexscreener.com/solana/14no8dPgdrhbfduPAsrJSwngiFEB1yeBnnsxRFHRpump", "View")</f>
        <v/>
      </c>
    </row>
    <row r="49">
      <c r="A49" s="19" t="inlineStr">
        <is>
          <t>Beli</t>
        </is>
      </c>
      <c r="B49" s="20" t="n">
        <v>123837</v>
      </c>
      <c r="C49" s="20" t="n">
        <v>0</v>
      </c>
      <c r="D49" s="20" t="inlineStr">
        <is>
          <t>0.000060</t>
        </is>
      </c>
      <c r="E49" s="20" t="inlineStr">
        <is>
          <t>0.100 SOL</t>
        </is>
      </c>
      <c r="F49" s="20" t="inlineStr">
        <is>
          <t>0.000 SOL</t>
        </is>
      </c>
      <c r="G49" s="17" t="inlineStr">
        <is>
          <t>-0.100 SOL</t>
        </is>
      </c>
      <c r="H49" s="17" t="inlineStr">
        <is>
          <t>0.00%</t>
        </is>
      </c>
      <c r="I49" s="20" t="inlineStr">
        <is>
          <t>123,837</t>
        </is>
      </c>
      <c r="J49" s="20" t="n">
        <v>1</v>
      </c>
      <c r="K49" s="20" t="n">
        <v>0</v>
      </c>
      <c r="L49" s="20" t="inlineStr">
        <is>
          <t>29.10.2024 12:22:11</t>
        </is>
      </c>
      <c r="M49" s="18" t="inlineStr">
        <is>
          <t>0 sec</t>
        </is>
      </c>
      <c r="N49" s="20" t="inlineStr">
        <is>
          <t xml:space="preserve">        142K           142K             5K</t>
        </is>
      </c>
      <c r="O49" s="20" t="inlineStr">
        <is>
          <t>6LhvoAHTJbHR5U8f72mt75rYWpfGNckSnogFuRCLpump</t>
        </is>
      </c>
      <c r="P49" s="20">
        <f>HYPERLINK("https://dexscreener.com/solana/6LhvoAHTJbHR5U8f72mt75rYWpfGNckSnogFuRCLpump", "View")</f>
        <v/>
      </c>
    </row>
    <row r="50">
      <c r="A50" s="15" t="inlineStr">
        <is>
          <t>ANDYCHAOS</t>
        </is>
      </c>
      <c r="B50" s="16" t="n">
        <v>1129428</v>
      </c>
      <c r="C50" s="16" t="n">
        <v>564714</v>
      </c>
      <c r="D50" s="16" t="inlineStr">
        <is>
          <t>0.000110</t>
        </is>
      </c>
      <c r="E50" s="16" t="inlineStr">
        <is>
          <t>0.100 SOL</t>
        </is>
      </c>
      <c r="F50" s="16" t="inlineStr">
        <is>
          <t>0.304 SOL</t>
        </is>
      </c>
      <c r="G50" s="23" t="inlineStr">
        <is>
          <t>0.204 SOL</t>
        </is>
      </c>
      <c r="H50" s="23" t="inlineStr">
        <is>
          <t>204.14%</t>
        </is>
      </c>
      <c r="I50" s="16" t="inlineStr">
        <is>
          <t>N/A</t>
        </is>
      </c>
      <c r="J50" s="16" t="n">
        <v>1</v>
      </c>
      <c r="K50" s="16" t="n">
        <v>1</v>
      </c>
      <c r="L50" s="16" t="inlineStr">
        <is>
          <t>29.10.2024 12:05:44</t>
        </is>
      </c>
      <c r="M50" s="16" t="inlineStr">
        <is>
          <t>3 min</t>
        </is>
      </c>
      <c r="N50" s="16" t="inlineStr">
        <is>
          <t xml:space="preserve">         16K            95K            30K</t>
        </is>
      </c>
      <c r="O50" s="16" t="inlineStr">
        <is>
          <t>FaGU9cdfdRpy3LREbwMzES2pGCNJGKfMYMeDWx8Jpump</t>
        </is>
      </c>
      <c r="P50" s="16">
        <f>HYPERLINK("https://dexscreener.com/solana/FaGU9cdfdRpy3LREbwMzES2pGCNJGKfMYMeDWx8Jpump", "View")</f>
        <v/>
      </c>
    </row>
    <row r="51">
      <c r="A51" s="19" t="inlineStr">
        <is>
          <t>Gacha</t>
        </is>
      </c>
      <c r="B51" s="20" t="n">
        <v>9313</v>
      </c>
      <c r="C51" s="20" t="n">
        <v>9313</v>
      </c>
      <c r="D51" s="20" t="inlineStr">
        <is>
          <t>0.000110</t>
        </is>
      </c>
      <c r="E51" s="20" t="inlineStr">
        <is>
          <t>0.100 SOL</t>
        </is>
      </c>
      <c r="F51" s="20" t="inlineStr">
        <is>
          <t>0.034 SOL</t>
        </is>
      </c>
      <c r="G51" s="24" t="inlineStr">
        <is>
          <t>-0.066 SOL</t>
        </is>
      </c>
      <c r="H51" s="24" t="inlineStr">
        <is>
          <t>-65.89%</t>
        </is>
      </c>
      <c r="I51" s="20" t="inlineStr">
        <is>
          <t>N/A</t>
        </is>
      </c>
      <c r="J51" s="20" t="n">
        <v>1</v>
      </c>
      <c r="K51" s="20" t="n">
        <v>1</v>
      </c>
      <c r="L51" s="20" t="inlineStr">
        <is>
          <t>29.10.2024 12:04:31</t>
        </is>
      </c>
      <c r="M51" s="20" t="inlineStr">
        <is>
          <t>9 min</t>
        </is>
      </c>
      <c r="N51" s="20" t="inlineStr">
        <is>
          <t xml:space="preserve">          2M           645K           338K</t>
        </is>
      </c>
      <c r="O51" s="20" t="inlineStr">
        <is>
          <t>9Z3LF3ymEVwCPLd9uBda9ieySYKVK7MzukPRGHDPpump</t>
        </is>
      </c>
      <c r="P51" s="20">
        <f>HYPERLINK("https://dexscreener.com/solana/9Z3LF3ymEVwCPLd9uBda9ieySYKVK7MzukPRGHDPpump", "View")</f>
        <v/>
      </c>
    </row>
    <row r="52">
      <c r="A52" s="15" t="inlineStr">
        <is>
          <t>JINX</t>
        </is>
      </c>
      <c r="B52" s="16" t="n">
        <v>172629</v>
      </c>
      <c r="C52" s="16" t="n">
        <v>0</v>
      </c>
      <c r="D52" s="16" t="inlineStr">
        <is>
          <t>0.000060</t>
        </is>
      </c>
      <c r="E52" s="16" t="inlineStr">
        <is>
          <t>0.100 SOL</t>
        </is>
      </c>
      <c r="F52" s="16" t="inlineStr">
        <is>
          <t>0.000 SOL</t>
        </is>
      </c>
      <c r="G52" s="17" t="inlineStr">
        <is>
          <t>-0.100 SOL</t>
        </is>
      </c>
      <c r="H52" s="17" t="inlineStr">
        <is>
          <t>0.00%</t>
        </is>
      </c>
      <c r="I52" s="16" t="inlineStr">
        <is>
          <t>172,629</t>
        </is>
      </c>
      <c r="J52" s="16" t="n">
        <v>1</v>
      </c>
      <c r="K52" s="16" t="n">
        <v>0</v>
      </c>
      <c r="L52" s="16" t="inlineStr">
        <is>
          <t>29.10.2024 10:35:50</t>
        </is>
      </c>
      <c r="M52" s="18" t="inlineStr">
        <is>
          <t>0 sec</t>
        </is>
      </c>
      <c r="N52" s="16" t="inlineStr">
        <is>
          <t xml:space="preserve">        102K           102K             4K</t>
        </is>
      </c>
      <c r="O52" s="16" t="inlineStr">
        <is>
          <t>AUvHzBSkLZLU2pZJcGPiLWkETj9oLjP74P6sWmjwpump</t>
        </is>
      </c>
      <c r="P52" s="16">
        <f>HYPERLINK("https://dexscreener.com/solana/AUvHzBSkLZLU2pZJcGPiLWkETj9oLjP74P6sWmjwpump", "View")</f>
        <v/>
      </c>
    </row>
    <row r="53">
      <c r="A53" s="19" t="inlineStr">
        <is>
          <t>Maia</t>
        </is>
      </c>
      <c r="B53" s="20" t="n">
        <v>342653</v>
      </c>
      <c r="C53" s="20" t="n">
        <v>171326</v>
      </c>
      <c r="D53" s="20" t="inlineStr">
        <is>
          <t>0.000110</t>
        </is>
      </c>
      <c r="E53" s="20" t="inlineStr">
        <is>
          <t>0.100 SOL</t>
        </is>
      </c>
      <c r="F53" s="20" t="inlineStr">
        <is>
          <t>0.100 SOL</t>
        </is>
      </c>
      <c r="G53" s="22" t="inlineStr">
        <is>
          <t>0.000 SOL</t>
        </is>
      </c>
      <c r="H53" s="22" t="inlineStr">
        <is>
          <t>0.09%</t>
        </is>
      </c>
      <c r="I53" s="20" t="inlineStr">
        <is>
          <t>N/A</t>
        </is>
      </c>
      <c r="J53" s="20" t="n">
        <v>1</v>
      </c>
      <c r="K53" s="20" t="n">
        <v>1</v>
      </c>
      <c r="L53" s="20" t="inlineStr">
        <is>
          <t>29.10.2024 09:58:43</t>
        </is>
      </c>
      <c r="M53" s="20" t="inlineStr">
        <is>
          <t>26 min</t>
        </is>
      </c>
      <c r="N53" s="20" t="inlineStr">
        <is>
          <t xml:space="preserve">         51K            51K             5K</t>
        </is>
      </c>
      <c r="O53" s="20" t="inlineStr">
        <is>
          <t>GRWYUdAuWNzAWUCjCVCgaWwQYg5CD6w7eJEEELjApump</t>
        </is>
      </c>
      <c r="P53" s="20">
        <f>HYPERLINK("https://dexscreener.com/solana/GRWYUdAuWNzAWUCjCVCgaWwQYg5CD6w7eJEEELjApump", "View")</f>
        <v/>
      </c>
    </row>
    <row r="54">
      <c r="A54" s="15" t="inlineStr">
        <is>
          <t>Bach</t>
        </is>
      </c>
      <c r="B54" s="16" t="n">
        <v>1020492</v>
      </c>
      <c r="C54" s="16" t="n">
        <v>1020492</v>
      </c>
      <c r="D54" s="16" t="inlineStr">
        <is>
          <t>0.000110</t>
        </is>
      </c>
      <c r="E54" s="16" t="inlineStr">
        <is>
          <t>0.104 SOL</t>
        </is>
      </c>
      <c r="F54" s="16" t="inlineStr">
        <is>
          <t>0.030 SOL</t>
        </is>
      </c>
      <c r="G54" s="24" t="inlineStr">
        <is>
          <t>-0.074 SOL</t>
        </is>
      </c>
      <c r="H54" s="24" t="inlineStr">
        <is>
          <t>-71.22%</t>
        </is>
      </c>
      <c r="I54" s="16" t="inlineStr">
        <is>
          <t>N/A</t>
        </is>
      </c>
      <c r="J54" s="16" t="n">
        <v>1</v>
      </c>
      <c r="K54" s="16" t="n">
        <v>1</v>
      </c>
      <c r="L54" s="16" t="inlineStr">
        <is>
          <t>29.10.2024 09:23:49</t>
        </is>
      </c>
      <c r="M54" s="16" t="inlineStr">
        <is>
          <t>14 min</t>
        </is>
      </c>
      <c r="N54" s="16" t="inlineStr">
        <is>
          <t xml:space="preserve">         18K            18K             5K</t>
        </is>
      </c>
      <c r="O54" s="16" t="inlineStr">
        <is>
          <t>CzkLwfesBUx9fPc2A1TnB7R4Bbr22ZsDmZat9MKNpump</t>
        </is>
      </c>
      <c r="P54" s="16">
        <f>HYPERLINK("https://photon-sol.tinyastro.io/en/lp/CzkLwfesBUx9fPc2A1TnB7R4Bbr22ZsDmZat9MKNpump?handle=676050794bc1b1657a56b", "View")</f>
        <v/>
      </c>
    </row>
    <row r="55">
      <c r="A55" s="19" t="inlineStr">
        <is>
          <t>Beethoven</t>
        </is>
      </c>
      <c r="B55" s="20" t="n">
        <v>556959</v>
      </c>
      <c r="C55" s="20" t="n">
        <v>556959</v>
      </c>
      <c r="D55" s="20" t="inlineStr">
        <is>
          <t>0.000110</t>
        </is>
      </c>
      <c r="E55" s="20" t="inlineStr">
        <is>
          <t>0.104 SOL</t>
        </is>
      </c>
      <c r="F55" s="20" t="inlineStr">
        <is>
          <t>0.041 SOL</t>
        </is>
      </c>
      <c r="G55" s="24" t="inlineStr">
        <is>
          <t>-0.063 SOL</t>
        </is>
      </c>
      <c r="H55" s="24" t="inlineStr">
        <is>
          <t>-60.74%</t>
        </is>
      </c>
      <c r="I55" s="20" t="inlineStr">
        <is>
          <t>N/A</t>
        </is>
      </c>
      <c r="J55" s="20" t="n">
        <v>1</v>
      </c>
      <c r="K55" s="20" t="n">
        <v>1</v>
      </c>
      <c r="L55" s="20" t="inlineStr">
        <is>
          <t>29.10.2024 09:23:23</t>
        </is>
      </c>
      <c r="M55" s="20" t="inlineStr">
        <is>
          <t>15 min</t>
        </is>
      </c>
      <c r="N55" s="20" t="inlineStr">
        <is>
          <t xml:space="preserve">         33K            33K             6K</t>
        </is>
      </c>
      <c r="O55" s="20" t="inlineStr">
        <is>
          <t>6gAxPRSGg5r129hQjDAZm1Tdh5YTkLh1hKRhnm1wpump</t>
        </is>
      </c>
      <c r="P55" s="20">
        <f>HYPERLINK("https://photon-sol.tinyastro.io/en/lp/6gAxPRSGg5r129hQjDAZm1Tdh5YTkLh1hKRhnm1wpump?handle=676050794bc1b1657a56b", "View")</f>
        <v/>
      </c>
    </row>
    <row r="56">
      <c r="A56" s="15" t="inlineStr">
        <is>
          <t>XOXO</t>
        </is>
      </c>
      <c r="B56" s="16" t="n">
        <v>750106</v>
      </c>
      <c r="C56" s="16" t="n">
        <v>0</v>
      </c>
      <c r="D56" s="16" t="inlineStr">
        <is>
          <t>0.000060</t>
        </is>
      </c>
      <c r="E56" s="16" t="inlineStr">
        <is>
          <t>0.200 SOL</t>
        </is>
      </c>
      <c r="F56" s="16" t="inlineStr">
        <is>
          <t>0.000 SOL</t>
        </is>
      </c>
      <c r="G56" s="17" t="inlineStr">
        <is>
          <t>-0.200 SOL</t>
        </is>
      </c>
      <c r="H56" s="17" t="inlineStr">
        <is>
          <t>0.00%</t>
        </is>
      </c>
      <c r="I56" s="16" t="inlineStr">
        <is>
          <t>750,106</t>
        </is>
      </c>
      <c r="J56" s="16" t="n">
        <v>1</v>
      </c>
      <c r="K56" s="16" t="n">
        <v>0</v>
      </c>
      <c r="L56" s="16" t="inlineStr">
        <is>
          <t>29.10.2024 09:22:28</t>
        </is>
      </c>
      <c r="M56" s="18" t="inlineStr">
        <is>
          <t>0 sec</t>
        </is>
      </c>
      <c r="N56" s="16" t="inlineStr">
        <is>
          <t xml:space="preserve">         47K            47K             4K</t>
        </is>
      </c>
      <c r="O56" s="16" t="inlineStr">
        <is>
          <t>6ndx3p93ekUu94Y4mZAbEb4KENKFxcZ4H1mydda2pump</t>
        </is>
      </c>
      <c r="P56" s="16">
        <f>HYPERLINK("https://dexscreener.com/solana/6ndx3p93ekUu94Y4mZAbEb4KENKFxcZ4H1mydda2pump", "View")</f>
        <v/>
      </c>
    </row>
    <row r="57">
      <c r="A57" s="19" t="inlineStr">
        <is>
          <t>ADIOS</t>
        </is>
      </c>
      <c r="B57" s="20" t="n">
        <v>200563</v>
      </c>
      <c r="C57" s="20" t="n">
        <v>0</v>
      </c>
      <c r="D57" s="20" t="inlineStr">
        <is>
          <t>0.000060</t>
        </is>
      </c>
      <c r="E57" s="20" t="inlineStr">
        <is>
          <t>0.100 SOL</t>
        </is>
      </c>
      <c r="F57" s="20" t="inlineStr">
        <is>
          <t>0.000 SOL</t>
        </is>
      </c>
      <c r="G57" s="17" t="inlineStr">
        <is>
          <t>-0.100 SOL</t>
        </is>
      </c>
      <c r="H57" s="17" t="inlineStr">
        <is>
          <t>0.00%</t>
        </is>
      </c>
      <c r="I57" s="20" t="inlineStr">
        <is>
          <t>200,563</t>
        </is>
      </c>
      <c r="J57" s="20" t="n">
        <v>1</v>
      </c>
      <c r="K57" s="20" t="n">
        <v>0</v>
      </c>
      <c r="L57" s="20" t="inlineStr">
        <is>
          <t>29.10.2024 09:11:51</t>
        </is>
      </c>
      <c r="M57" s="18" t="inlineStr">
        <is>
          <t>0 sec</t>
        </is>
      </c>
      <c r="N57" s="20" t="inlineStr">
        <is>
          <t xml:space="preserve">         88K            88K            18K</t>
        </is>
      </c>
      <c r="O57" s="20" t="inlineStr">
        <is>
          <t>GzKSn2xXkpmSwSQMnFiXMKtCBu1TqiFRqGbDHZnGpump</t>
        </is>
      </c>
      <c r="P57" s="20">
        <f>HYPERLINK("https://dexscreener.com/solana/GzKSn2xXkpmSwSQMnFiXMKtCBu1TqiFRqGbDHZnGpump", "View")</f>
        <v/>
      </c>
    </row>
    <row r="58">
      <c r="A58" s="15" t="inlineStr">
        <is>
          <t>MOONKY</t>
        </is>
      </c>
      <c r="B58" s="16" t="n">
        <v>122385</v>
      </c>
      <c r="C58" s="16" t="n">
        <v>61192</v>
      </c>
      <c r="D58" s="16" t="inlineStr">
        <is>
          <t>0.000110</t>
        </is>
      </c>
      <c r="E58" s="16" t="inlineStr">
        <is>
          <t>0.100 SOL</t>
        </is>
      </c>
      <c r="F58" s="16" t="inlineStr">
        <is>
          <t>0.100 SOL</t>
        </is>
      </c>
      <c r="G58" s="21" t="inlineStr">
        <is>
          <t>-0.000 SOL</t>
        </is>
      </c>
      <c r="H58" s="21" t="inlineStr">
        <is>
          <t>-0.25%</t>
        </is>
      </c>
      <c r="I58" s="16" t="inlineStr">
        <is>
          <t>N/A</t>
        </is>
      </c>
      <c r="J58" s="16" t="n">
        <v>1</v>
      </c>
      <c r="K58" s="16" t="n">
        <v>1</v>
      </c>
      <c r="L58" s="16" t="inlineStr">
        <is>
          <t>29.10.2024 09:06:35</t>
        </is>
      </c>
      <c r="M58" s="16" t="inlineStr">
        <is>
          <t>17 min</t>
        </is>
      </c>
      <c r="N58" s="16" t="inlineStr">
        <is>
          <t xml:space="preserve">         71K           141K             7K</t>
        </is>
      </c>
      <c r="O58" s="16" t="inlineStr">
        <is>
          <t>EUNev5ZzXVf7WUUDEpyf3vm274XrHGchY57UNA1vpump</t>
        </is>
      </c>
      <c r="P58" s="16">
        <f>HYPERLINK("https://dexscreener.com/solana/EUNev5ZzXVf7WUUDEpyf3vm274XrHGchY57UNA1vpump", "View")</f>
        <v/>
      </c>
    </row>
    <row r="59">
      <c r="A59" s="19" t="inlineStr">
        <is>
          <t xml:space="preserve">SNAKE </t>
        </is>
      </c>
      <c r="B59" s="20" t="n">
        <v>196636</v>
      </c>
      <c r="C59" s="20" t="n">
        <v>98318</v>
      </c>
      <c r="D59" s="20" t="inlineStr">
        <is>
          <t>0.000110</t>
        </is>
      </c>
      <c r="E59" s="20" t="inlineStr">
        <is>
          <t>0.100 SOL</t>
        </is>
      </c>
      <c r="F59" s="20" t="inlineStr">
        <is>
          <t>0.102 SOL</t>
        </is>
      </c>
      <c r="G59" s="22" t="inlineStr">
        <is>
          <t>0.002 SOL</t>
        </is>
      </c>
      <c r="H59" s="22" t="inlineStr">
        <is>
          <t>2.07%</t>
        </is>
      </c>
      <c r="I59" s="20" t="inlineStr">
        <is>
          <t>N/A</t>
        </is>
      </c>
      <c r="J59" s="20" t="n">
        <v>1</v>
      </c>
      <c r="K59" s="20" t="n">
        <v>1</v>
      </c>
      <c r="L59" s="20" t="inlineStr">
        <is>
          <t>29.10.2024 08:59:56</t>
        </is>
      </c>
      <c r="M59" s="20" t="inlineStr">
        <is>
          <t>17 min</t>
        </is>
      </c>
      <c r="N59" s="20" t="inlineStr">
        <is>
          <t xml:space="preserve">         90K            90K             4K</t>
        </is>
      </c>
      <c r="O59" s="20" t="inlineStr">
        <is>
          <t>7xP9bo5H6PHYci64MbxZRUuESSSQEPnnwFNTFadrpump</t>
        </is>
      </c>
      <c r="P59" s="20">
        <f>HYPERLINK("https://dexscreener.com/solana/7xP9bo5H6PHYci64MbxZRUuESSSQEPnnwFNTFadrpump", "View")</f>
        <v/>
      </c>
    </row>
    <row r="60">
      <c r="A60" s="15" t="inlineStr">
        <is>
          <t>KOALZ</t>
        </is>
      </c>
      <c r="B60" s="16" t="n">
        <v>468044</v>
      </c>
      <c r="C60" s="16" t="n">
        <v>468044</v>
      </c>
      <c r="D60" s="16" t="inlineStr">
        <is>
          <t>0.000110</t>
        </is>
      </c>
      <c r="E60" s="16" t="inlineStr">
        <is>
          <t>0.104 SOL</t>
        </is>
      </c>
      <c r="F60" s="16" t="inlineStr">
        <is>
          <t>0.151 SOL</t>
        </is>
      </c>
      <c r="G60" s="22" t="inlineStr">
        <is>
          <t>0.047 SOL</t>
        </is>
      </c>
      <c r="H60" s="22" t="inlineStr">
        <is>
          <t>45.10%</t>
        </is>
      </c>
      <c r="I60" s="16" t="inlineStr">
        <is>
          <t>N/A</t>
        </is>
      </c>
      <c r="J60" s="16" t="n">
        <v>1</v>
      </c>
      <c r="K60" s="16" t="n">
        <v>1</v>
      </c>
      <c r="L60" s="16" t="inlineStr">
        <is>
          <t>29.10.2024 08:56:41</t>
        </is>
      </c>
      <c r="M60" s="16" t="inlineStr">
        <is>
          <t>27 min</t>
        </is>
      </c>
      <c r="N60" s="16" t="inlineStr">
        <is>
          <t xml:space="preserve">         39K            39K             5K</t>
        </is>
      </c>
      <c r="O60" s="16" t="inlineStr">
        <is>
          <t>KRG9RkAs7SjhLMgj6munGZ5HxtJfvotvJ8Dnr2Lpump</t>
        </is>
      </c>
      <c r="P60" s="16">
        <f>HYPERLINK("https://photon-sol.tinyastro.io/en/lp/KRG9RkAs7SjhLMgj6munGZ5HxtJfvotvJ8Dnr2Lpump?handle=676050794bc1b1657a56b", "View")</f>
        <v/>
      </c>
    </row>
    <row r="61">
      <c r="A61" s="19" t="inlineStr">
        <is>
          <t>Bats</t>
        </is>
      </c>
      <c r="B61" s="20" t="n">
        <v>179453</v>
      </c>
      <c r="C61" s="20" t="n">
        <v>89726</v>
      </c>
      <c r="D61" s="20" t="inlineStr">
        <is>
          <t>0.000110</t>
        </is>
      </c>
      <c r="E61" s="20" t="inlineStr">
        <is>
          <t>0.100 SOL</t>
        </is>
      </c>
      <c r="F61" s="20" t="inlineStr">
        <is>
          <t>0.078 SOL</t>
        </is>
      </c>
      <c r="G61" s="21" t="inlineStr">
        <is>
          <t>-0.022 SOL</t>
        </is>
      </c>
      <c r="H61" s="21" t="inlineStr">
        <is>
          <t>-21.64%</t>
        </is>
      </c>
      <c r="I61" s="20" t="inlineStr">
        <is>
          <t>N/A</t>
        </is>
      </c>
      <c r="J61" s="20" t="n">
        <v>1</v>
      </c>
      <c r="K61" s="20" t="n">
        <v>1</v>
      </c>
      <c r="L61" s="20" t="inlineStr">
        <is>
          <t>29.10.2024 08:34:49</t>
        </is>
      </c>
      <c r="M61" s="20" t="inlineStr">
        <is>
          <t>17 min</t>
        </is>
      </c>
      <c r="N61" s="20" t="inlineStr">
        <is>
          <t xml:space="preserve">         98K           153K             4K</t>
        </is>
      </c>
      <c r="O61" s="20" t="inlineStr">
        <is>
          <t>4eAAZNhcXrWkBj4c5T5k6CYDv8Un1Wgqp1B976Mopump</t>
        </is>
      </c>
      <c r="P61" s="20">
        <f>HYPERLINK("https://dexscreener.com/solana/4eAAZNhcXrWkBj4c5T5k6CYDv8Un1Wgqp1B976Mopump", "View")</f>
        <v/>
      </c>
    </row>
    <row r="62">
      <c r="A62" s="15" t="inlineStr">
        <is>
          <t>LOOCEE</t>
        </is>
      </c>
      <c r="B62" s="16" t="n">
        <v>217500</v>
      </c>
      <c r="C62" s="16" t="n">
        <v>108750</v>
      </c>
      <c r="D62" s="16" t="inlineStr">
        <is>
          <t>0.000110</t>
        </is>
      </c>
      <c r="E62" s="16" t="inlineStr">
        <is>
          <t>0.100 SOL</t>
        </is>
      </c>
      <c r="F62" s="16" t="inlineStr">
        <is>
          <t>0.096 SOL</t>
        </is>
      </c>
      <c r="G62" s="21" t="inlineStr">
        <is>
          <t>-0.004 SOL</t>
        </is>
      </c>
      <c r="H62" s="21" t="inlineStr">
        <is>
          <t>-4.09%</t>
        </is>
      </c>
      <c r="I62" s="16" t="inlineStr">
        <is>
          <t>N/A</t>
        </is>
      </c>
      <c r="J62" s="16" t="n">
        <v>1</v>
      </c>
      <c r="K62" s="16" t="n">
        <v>1</v>
      </c>
      <c r="L62" s="16" t="inlineStr">
        <is>
          <t>29.10.2024 08:32:01</t>
        </is>
      </c>
      <c r="M62" s="16" t="inlineStr">
        <is>
          <t>11 min</t>
        </is>
      </c>
      <c r="N62" s="16" t="inlineStr">
        <is>
          <t xml:space="preserve">         81K           155K             4K</t>
        </is>
      </c>
      <c r="O62" s="16" t="inlineStr">
        <is>
          <t>3Yc2CDBBB6iew99m8FsXM4ZypuVD4EwowSDp8FWZpump</t>
        </is>
      </c>
      <c r="P62" s="16">
        <f>HYPERLINK("https://dexscreener.com/solana/3Yc2CDBBB6iew99m8FsXM4ZypuVD4EwowSDp8FWZpump", "View")</f>
        <v/>
      </c>
    </row>
    <row r="63">
      <c r="A63" s="19" t="inlineStr">
        <is>
          <t>MILA</t>
        </is>
      </c>
      <c r="B63" s="20" t="n">
        <v>639769</v>
      </c>
      <c r="C63" s="20" t="n">
        <v>0</v>
      </c>
      <c r="D63" s="20" t="inlineStr">
        <is>
          <t>0.000060</t>
        </is>
      </c>
      <c r="E63" s="20" t="inlineStr">
        <is>
          <t>0.100 SOL</t>
        </is>
      </c>
      <c r="F63" s="20" t="inlineStr">
        <is>
          <t>0.000 SOL</t>
        </is>
      </c>
      <c r="G63" s="17" t="inlineStr">
        <is>
          <t>-0.100 SOL</t>
        </is>
      </c>
      <c r="H63" s="17" t="inlineStr">
        <is>
          <t>0.00%</t>
        </is>
      </c>
      <c r="I63" s="20" t="inlineStr">
        <is>
          <t>639,769</t>
        </is>
      </c>
      <c r="J63" s="20" t="n">
        <v>1</v>
      </c>
      <c r="K63" s="20" t="n">
        <v>0</v>
      </c>
      <c r="L63" s="20" t="inlineStr">
        <is>
          <t>29.10.2024 04:05:54</t>
        </is>
      </c>
      <c r="M63" s="18" t="inlineStr">
        <is>
          <t>0 sec</t>
        </is>
      </c>
      <c r="N63" s="20" t="inlineStr">
        <is>
          <t xml:space="preserve">         28K            28K             3K</t>
        </is>
      </c>
      <c r="O63" s="20" t="inlineStr">
        <is>
          <t>2GK7MQ5HpFY6NBYyNnoUMNwrt85doCeGg1qBLEhWpump</t>
        </is>
      </c>
      <c r="P63" s="20">
        <f>HYPERLINK("https://dexscreener.com/solana/2GK7MQ5HpFY6NBYyNnoUMNwrt85doCeGg1qBLEhWpump", "View")</f>
        <v/>
      </c>
    </row>
    <row r="64">
      <c r="A64" s="15" t="inlineStr">
        <is>
          <t>LUCE</t>
        </is>
      </c>
      <c r="B64" s="16" t="n">
        <v>324786</v>
      </c>
      <c r="C64" s="16" t="n">
        <v>0</v>
      </c>
      <c r="D64" s="16" t="inlineStr">
        <is>
          <t>0.000060</t>
        </is>
      </c>
      <c r="E64" s="16" t="inlineStr">
        <is>
          <t>0.100 SOL</t>
        </is>
      </c>
      <c r="F64" s="16" t="inlineStr">
        <is>
          <t>0.000 SOL</t>
        </is>
      </c>
      <c r="G64" s="17" t="inlineStr">
        <is>
          <t>-0.100 SOL</t>
        </is>
      </c>
      <c r="H64" s="17" t="inlineStr">
        <is>
          <t>0.00%</t>
        </is>
      </c>
      <c r="I64" s="16" t="inlineStr">
        <is>
          <t>324,786</t>
        </is>
      </c>
      <c r="J64" s="16" t="n">
        <v>1</v>
      </c>
      <c r="K64" s="16" t="n">
        <v>0</v>
      </c>
      <c r="L64" s="16" t="inlineStr">
        <is>
          <t>29.10.2024 04:04:29</t>
        </is>
      </c>
      <c r="M64" s="18" t="inlineStr">
        <is>
          <t>0 sec</t>
        </is>
      </c>
      <c r="N64" s="16" t="inlineStr">
        <is>
          <t xml:space="preserve">         54K            54K             5K</t>
        </is>
      </c>
      <c r="O64" s="16" t="inlineStr">
        <is>
          <t>ATamGjGr5SsCNeJMAGhSGMQkBiuySNevrCFb5c6dpump</t>
        </is>
      </c>
      <c r="P64" s="16">
        <f>HYPERLINK("https://dexscreener.com/solana/ATamGjGr5SsCNeJMAGhSGMQkBiuySNevrCFb5c6dpump", "View")</f>
        <v/>
      </c>
    </row>
    <row r="65">
      <c r="A65" s="19" t="inlineStr">
        <is>
          <t>MADDIE</t>
        </is>
      </c>
      <c r="B65" s="20" t="n">
        <v>151049</v>
      </c>
      <c r="C65" s="20" t="n">
        <v>0</v>
      </c>
      <c r="D65" s="20" t="inlineStr">
        <is>
          <t>0.000060</t>
        </is>
      </c>
      <c r="E65" s="20" t="inlineStr">
        <is>
          <t>0.100 SOL</t>
        </is>
      </c>
      <c r="F65" s="20" t="inlineStr">
        <is>
          <t>0.000 SOL</t>
        </is>
      </c>
      <c r="G65" s="17" t="inlineStr">
        <is>
          <t>-0.100 SOL</t>
        </is>
      </c>
      <c r="H65" s="17" t="inlineStr">
        <is>
          <t>0.00%</t>
        </is>
      </c>
      <c r="I65" s="20" t="inlineStr">
        <is>
          <t>151,049</t>
        </is>
      </c>
      <c r="J65" s="20" t="n">
        <v>1</v>
      </c>
      <c r="K65" s="20" t="n">
        <v>0</v>
      </c>
      <c r="L65" s="20" t="inlineStr">
        <is>
          <t>29.10.2024 03:19:47</t>
        </is>
      </c>
      <c r="M65" s="18" t="inlineStr">
        <is>
          <t>0 sec</t>
        </is>
      </c>
      <c r="N65" s="20" t="inlineStr">
        <is>
          <t xml:space="preserve">        116K           116K             3K</t>
        </is>
      </c>
      <c r="O65" s="20" t="inlineStr">
        <is>
          <t>4NESDJWK9dGhyY2KSPEVC6qgYx3sUAZPoyu2GDLRw83V</t>
        </is>
      </c>
      <c r="P65" s="20">
        <f>HYPERLINK("https://dexscreener.com/solana/4NESDJWK9dGhyY2KSPEVC6qgYx3sUAZPoyu2GDLRw83V", "View")</f>
        <v/>
      </c>
    </row>
    <row r="66">
      <c r="A66" s="15" t="inlineStr">
        <is>
          <t>DORK</t>
        </is>
      </c>
      <c r="B66" s="16" t="n">
        <v>201104</v>
      </c>
      <c r="C66" s="16" t="n">
        <v>201104</v>
      </c>
      <c r="D66" s="16" t="inlineStr">
        <is>
          <t>0.000160</t>
        </is>
      </c>
      <c r="E66" s="16" t="inlineStr">
        <is>
          <t>0.100 SOL</t>
        </is>
      </c>
      <c r="F66" s="16" t="inlineStr">
        <is>
          <t>0.146 SOL</t>
        </is>
      </c>
      <c r="G66" s="22" t="inlineStr">
        <is>
          <t>0.046 SOL</t>
        </is>
      </c>
      <c r="H66" s="22" t="inlineStr">
        <is>
          <t>46.12%</t>
        </is>
      </c>
      <c r="I66" s="16" t="inlineStr">
        <is>
          <t>N/A</t>
        </is>
      </c>
      <c r="J66" s="16" t="n">
        <v>1</v>
      </c>
      <c r="K66" s="16" t="n">
        <v>2</v>
      </c>
      <c r="L66" s="16" t="inlineStr">
        <is>
          <t>29.10.2024 02:57:03</t>
        </is>
      </c>
      <c r="M66" s="16" t="inlineStr">
        <is>
          <t>48 min</t>
        </is>
      </c>
      <c r="N66" s="16" t="inlineStr">
        <is>
          <t xml:space="preserve">         88K            88K             4K</t>
        </is>
      </c>
      <c r="O66" s="16" t="inlineStr">
        <is>
          <t>DfBqGweEWB5GPXFCGrPD6ZZpcDY6Jqex6MbYfZM6pump</t>
        </is>
      </c>
      <c r="P66" s="16">
        <f>HYPERLINK("https://dexscreener.com/solana/DfBqGweEWB5GPXFCGrPD6ZZpcDY6Jqex6MbYfZM6pump", "View")</f>
        <v/>
      </c>
    </row>
    <row r="67">
      <c r="A67" s="19" t="inlineStr">
        <is>
          <t>CL</t>
        </is>
      </c>
      <c r="B67" s="20" t="n">
        <v>47244</v>
      </c>
      <c r="C67" s="20" t="n">
        <v>47244</v>
      </c>
      <c r="D67" s="20" t="inlineStr">
        <is>
          <t>0.000110</t>
        </is>
      </c>
      <c r="E67" s="20" t="inlineStr">
        <is>
          <t>0.100 SOL</t>
        </is>
      </c>
      <c r="F67" s="20" t="inlineStr">
        <is>
          <t>0.062 SOL</t>
        </is>
      </c>
      <c r="G67" s="21" t="inlineStr">
        <is>
          <t>-0.038 SOL</t>
        </is>
      </c>
      <c r="H67" s="21" t="inlineStr">
        <is>
          <t>-37.69%</t>
        </is>
      </c>
      <c r="I67" s="20" t="inlineStr">
        <is>
          <t>N/A</t>
        </is>
      </c>
      <c r="J67" s="20" t="n">
        <v>1</v>
      </c>
      <c r="K67" s="20" t="n">
        <v>1</v>
      </c>
      <c r="L67" s="20" t="inlineStr">
        <is>
          <t>29.10.2024 02:56:50</t>
        </is>
      </c>
      <c r="M67" s="20" t="inlineStr">
        <is>
          <t>2 min</t>
        </is>
      </c>
      <c r="N67" s="20" t="inlineStr">
        <is>
          <t xml:space="preserve">        372K           372K             8K</t>
        </is>
      </c>
      <c r="O67" s="20" t="inlineStr">
        <is>
          <t>BDZzdwcgB1e2bdetk5cE2LRj1z6J9kKSkeAoVAEbpump</t>
        </is>
      </c>
      <c r="P67" s="20">
        <f>HYPERLINK("https://dexscreener.com/solana/BDZzdwcgB1e2bdetk5cE2LRj1z6J9kKSkeAoVAEbpump", "View")</f>
        <v/>
      </c>
    </row>
    <row r="68">
      <c r="A68" s="15" t="inlineStr">
        <is>
          <t>i/Monkeys</t>
        </is>
      </c>
      <c r="B68" s="16" t="n">
        <v>191746</v>
      </c>
      <c r="C68" s="16" t="n">
        <v>0</v>
      </c>
      <c r="D68" s="16" t="inlineStr">
        <is>
          <t>0.000060</t>
        </is>
      </c>
      <c r="E68" s="16" t="inlineStr">
        <is>
          <t>0.100 SOL</t>
        </is>
      </c>
      <c r="F68" s="16" t="inlineStr">
        <is>
          <t>0.000 SOL</t>
        </is>
      </c>
      <c r="G68" s="17" t="inlineStr">
        <is>
          <t>-0.100 SOL</t>
        </is>
      </c>
      <c r="H68" s="17" t="inlineStr">
        <is>
          <t>0.00%</t>
        </is>
      </c>
      <c r="I68" s="16" t="inlineStr">
        <is>
          <t>191,746</t>
        </is>
      </c>
      <c r="J68" s="16" t="n">
        <v>1</v>
      </c>
      <c r="K68" s="16" t="n">
        <v>0</v>
      </c>
      <c r="L68" s="16" t="inlineStr">
        <is>
          <t>29.10.2024 02:41:55</t>
        </is>
      </c>
      <c r="M68" s="18" t="inlineStr">
        <is>
          <t>0 sec</t>
        </is>
      </c>
      <c r="N68" s="16" t="inlineStr">
        <is>
          <t xml:space="preserve">         91K            91K             3K</t>
        </is>
      </c>
      <c r="O68" s="16" t="inlineStr">
        <is>
          <t>4zXZQ35c2pGa1fJSquw7f19ioAMRF7N8zdR7UmwPpump</t>
        </is>
      </c>
      <c r="P68" s="16">
        <f>HYPERLINK("https://dexscreener.com/solana/4zXZQ35c2pGa1fJSquw7f19ioAMRF7N8zdR7UmwPpump", "View")</f>
        <v/>
      </c>
    </row>
    <row r="69">
      <c r="A69" s="19" t="inlineStr">
        <is>
          <t>BOAI</t>
        </is>
      </c>
      <c r="B69" s="20" t="n">
        <v>205185</v>
      </c>
      <c r="C69" s="20" t="n">
        <v>102592</v>
      </c>
      <c r="D69" s="20" t="inlineStr">
        <is>
          <t>0.000110</t>
        </is>
      </c>
      <c r="E69" s="20" t="inlineStr">
        <is>
          <t>0.100 SOL</t>
        </is>
      </c>
      <c r="F69" s="20" t="inlineStr">
        <is>
          <t>0.095 SOL</t>
        </is>
      </c>
      <c r="G69" s="21" t="inlineStr">
        <is>
          <t>-0.006 SOL</t>
        </is>
      </c>
      <c r="H69" s="21" t="inlineStr">
        <is>
          <t>-5.51%</t>
        </is>
      </c>
      <c r="I69" s="20" t="inlineStr">
        <is>
          <t>N/A</t>
        </is>
      </c>
      <c r="J69" s="20" t="n">
        <v>1</v>
      </c>
      <c r="K69" s="20" t="n">
        <v>1</v>
      </c>
      <c r="L69" s="20" t="inlineStr">
        <is>
          <t>29.10.2024 02:28:43</t>
        </is>
      </c>
      <c r="M69" s="20" t="inlineStr">
        <is>
          <t>10 min</t>
        </is>
      </c>
      <c r="N69" s="20" t="inlineStr">
        <is>
          <t xml:space="preserve">         86K           162K             3K</t>
        </is>
      </c>
      <c r="O69" s="20" t="inlineStr">
        <is>
          <t>GXRfFhgW35oZn1hLAbcSsWhTu7a6WxHVZoWLagCZpump</t>
        </is>
      </c>
      <c r="P69" s="20">
        <f>HYPERLINK("https://dexscreener.com/solana/GXRfFhgW35oZn1hLAbcSsWhTu7a6WxHVZoWLagCZpump", "View")</f>
        <v/>
      </c>
    </row>
    <row r="70">
      <c r="A70" s="15" t="inlineStr">
        <is>
          <t>LAND</t>
        </is>
      </c>
      <c r="B70" s="16" t="n">
        <v>90896</v>
      </c>
      <c r="C70" s="16" t="n">
        <v>90896</v>
      </c>
      <c r="D70" s="16" t="inlineStr">
        <is>
          <t>0.000110</t>
        </is>
      </c>
      <c r="E70" s="16" t="inlineStr">
        <is>
          <t>0.100 SOL</t>
        </is>
      </c>
      <c r="F70" s="16" t="inlineStr">
        <is>
          <t>0.133 SOL</t>
        </is>
      </c>
      <c r="G70" s="22" t="inlineStr">
        <is>
          <t>0.033 SOL</t>
        </is>
      </c>
      <c r="H70" s="22" t="inlineStr">
        <is>
          <t>32.91%</t>
        </is>
      </c>
      <c r="I70" s="16" t="inlineStr">
        <is>
          <t>N/A</t>
        </is>
      </c>
      <c r="J70" s="16" t="n">
        <v>1</v>
      </c>
      <c r="K70" s="16" t="n">
        <v>1</v>
      </c>
      <c r="L70" s="16" t="inlineStr">
        <is>
          <t>29.10.2024 02:24:32</t>
        </is>
      </c>
      <c r="M70" s="18" t="inlineStr">
        <is>
          <t>45 sec</t>
        </is>
      </c>
      <c r="N70" s="16" t="inlineStr">
        <is>
          <t xml:space="preserve">        193K           256K             3K</t>
        </is>
      </c>
      <c r="O70" s="16" t="inlineStr">
        <is>
          <t>3XDeFxhcKcn6NtEVM7T3vbBCxjxr3u9Mn2SvwQQdpump</t>
        </is>
      </c>
      <c r="P70" s="16">
        <f>HYPERLINK("https://dexscreener.com/solana/3XDeFxhcKcn6NtEVM7T3vbBCxjxr3u9Mn2SvwQQdpump", "View")</f>
        <v/>
      </c>
    </row>
    <row r="71">
      <c r="A71" s="19" t="inlineStr">
        <is>
          <t>Goat123</t>
        </is>
      </c>
      <c r="B71" s="20" t="n">
        <v>205624</v>
      </c>
      <c r="C71" s="20" t="n">
        <v>205624</v>
      </c>
      <c r="D71" s="20" t="inlineStr">
        <is>
          <t>0.000110</t>
        </is>
      </c>
      <c r="E71" s="20" t="inlineStr">
        <is>
          <t>0.100 SOL</t>
        </is>
      </c>
      <c r="F71" s="20" t="inlineStr">
        <is>
          <t>0.019 SOL</t>
        </is>
      </c>
      <c r="G71" s="24" t="inlineStr">
        <is>
          <t>-0.081 SOL</t>
        </is>
      </c>
      <c r="H71" s="24" t="inlineStr">
        <is>
          <t>-81.18%</t>
        </is>
      </c>
      <c r="I71" s="20" t="inlineStr">
        <is>
          <t>N/A</t>
        </is>
      </c>
      <c r="J71" s="20" t="n">
        <v>1</v>
      </c>
      <c r="K71" s="20" t="n">
        <v>1</v>
      </c>
      <c r="L71" s="20" t="inlineStr">
        <is>
          <t>29.10.2024 02:15:02</t>
        </is>
      </c>
      <c r="M71" s="20" t="inlineStr">
        <is>
          <t>3 min</t>
        </is>
      </c>
      <c r="N71" s="20" t="inlineStr">
        <is>
          <t xml:space="preserve">         86K            16K             4K</t>
        </is>
      </c>
      <c r="O71" s="20" t="inlineStr">
        <is>
          <t>66Yn3HoKojsWiaYyjL6Z8PvoQ8HsR7hjdcmP4pp5pump</t>
        </is>
      </c>
      <c r="P71" s="20">
        <f>HYPERLINK("https://dexscreener.com/solana/66Yn3HoKojsWiaYyjL6Z8PvoQ8HsR7hjdcmP4pp5pump", "View")</f>
        <v/>
      </c>
    </row>
    <row r="72">
      <c r="A72" s="15" t="inlineStr">
        <is>
          <t xml:space="preserve">ghoul </t>
        </is>
      </c>
      <c r="B72" s="16" t="n">
        <v>256512</v>
      </c>
      <c r="C72" s="16" t="n">
        <v>256512</v>
      </c>
      <c r="D72" s="16" t="inlineStr">
        <is>
          <t>0.000110</t>
        </is>
      </c>
      <c r="E72" s="16" t="inlineStr">
        <is>
          <t>0.100 SOL</t>
        </is>
      </c>
      <c r="F72" s="16" t="inlineStr">
        <is>
          <t>0.052 SOL</t>
        </is>
      </c>
      <c r="G72" s="21" t="inlineStr">
        <is>
          <t>-0.048 SOL</t>
        </is>
      </c>
      <c r="H72" s="21" t="inlineStr">
        <is>
          <t>-48.09%</t>
        </is>
      </c>
      <c r="I72" s="16" t="inlineStr">
        <is>
          <t>N/A</t>
        </is>
      </c>
      <c r="J72" s="16" t="n">
        <v>1</v>
      </c>
      <c r="K72" s="16" t="n">
        <v>1</v>
      </c>
      <c r="L72" s="16" t="inlineStr">
        <is>
          <t>29.10.2024 02:10:54</t>
        </is>
      </c>
      <c r="M72" s="16" t="inlineStr">
        <is>
          <t>1 days</t>
        </is>
      </c>
      <c r="N72" s="16" t="inlineStr">
        <is>
          <t xml:space="preserve">         68K            68K             6K</t>
        </is>
      </c>
      <c r="O72" s="16" t="inlineStr">
        <is>
          <t>EupmmrNQSewKNoP9T8hdLGH9jfyoqPGxrsVYU4qjpump</t>
        </is>
      </c>
      <c r="P72" s="16">
        <f>HYPERLINK("https://dexscreener.com/solana/EupmmrNQSewKNoP9T8hdLGH9jfyoqPGxrsVYU4qjpump", "View")</f>
        <v/>
      </c>
    </row>
    <row r="73">
      <c r="A73" s="19" t="inlineStr">
        <is>
          <t>HALLOWEEN</t>
        </is>
      </c>
      <c r="B73" s="20" t="n">
        <v>210628</v>
      </c>
      <c r="C73" s="20" t="n">
        <v>210628</v>
      </c>
      <c r="D73" s="20" t="inlineStr">
        <is>
          <t>0.000160</t>
        </is>
      </c>
      <c r="E73" s="20" t="inlineStr">
        <is>
          <t>0.100 SOL</t>
        </is>
      </c>
      <c r="F73" s="20" t="inlineStr">
        <is>
          <t>0.115 SOL</t>
        </is>
      </c>
      <c r="G73" s="22" t="inlineStr">
        <is>
          <t>0.015 SOL</t>
        </is>
      </c>
      <c r="H73" s="22" t="inlineStr">
        <is>
          <t>14.57%</t>
        </is>
      </c>
      <c r="I73" s="20" t="inlineStr">
        <is>
          <t>N/A</t>
        </is>
      </c>
      <c r="J73" s="20" t="n">
        <v>1</v>
      </c>
      <c r="K73" s="20" t="n">
        <v>2</v>
      </c>
      <c r="L73" s="20" t="inlineStr">
        <is>
          <t>29.10.2024 02:06:37</t>
        </is>
      </c>
      <c r="M73" s="20" t="inlineStr">
        <is>
          <t>15 hours</t>
        </is>
      </c>
      <c r="N73" s="20" t="inlineStr">
        <is>
          <t xml:space="preserve">         83K           130K            33K</t>
        </is>
      </c>
      <c r="O73" s="20" t="inlineStr">
        <is>
          <t>DyeHc9qmeFmTVL7i9RGwap34dtHQhUWtHJMnYPbopump</t>
        </is>
      </c>
      <c r="P73" s="20">
        <f>HYPERLINK("https://dexscreener.com/solana/DyeHc9qmeFmTVL7i9RGwap34dtHQhUWtHJMnYPbopump", "View")</f>
        <v/>
      </c>
    </row>
    <row r="74">
      <c r="A74" s="15" t="inlineStr">
        <is>
          <t>IB</t>
        </is>
      </c>
      <c r="B74" s="16" t="n">
        <v>592885</v>
      </c>
      <c r="C74" s="16" t="n">
        <v>592885</v>
      </c>
      <c r="D74" s="16" t="inlineStr">
        <is>
          <t>0.000110</t>
        </is>
      </c>
      <c r="E74" s="16" t="inlineStr">
        <is>
          <t>0.100 SOL</t>
        </is>
      </c>
      <c r="F74" s="16" t="inlineStr">
        <is>
          <t>0.060 SOL</t>
        </is>
      </c>
      <c r="G74" s="21" t="inlineStr">
        <is>
          <t>-0.040 SOL</t>
        </is>
      </c>
      <c r="H74" s="21" t="inlineStr">
        <is>
          <t>-39.75%</t>
        </is>
      </c>
      <c r="I74" s="16" t="inlineStr">
        <is>
          <t>N/A</t>
        </is>
      </c>
      <c r="J74" s="16" t="n">
        <v>1</v>
      </c>
      <c r="K74" s="16" t="n">
        <v>1</v>
      </c>
      <c r="L74" s="16" t="inlineStr">
        <is>
          <t>29.10.2024 02:06:24</t>
        </is>
      </c>
      <c r="M74" s="16" t="inlineStr">
        <is>
          <t>3 min</t>
        </is>
      </c>
      <c r="N74" s="16" t="inlineStr">
        <is>
          <t xml:space="preserve">         30K            18K             3K</t>
        </is>
      </c>
      <c r="O74" s="16" t="inlineStr">
        <is>
          <t>HDywuSHABFMmWot8YY2utXD3U2baky3mtCvEyRPnpump</t>
        </is>
      </c>
      <c r="P74" s="16">
        <f>HYPERLINK("https://dexscreener.com/solana/HDywuSHABFMmWot8YY2utXD3U2baky3mtCvEyRPnpump", "View")</f>
        <v/>
      </c>
    </row>
    <row r="75">
      <c r="A75" s="19" t="inlineStr">
        <is>
          <t>HALLOWEEN</t>
        </is>
      </c>
      <c r="B75" s="20" t="n">
        <v>176980</v>
      </c>
      <c r="C75" s="20" t="n">
        <v>176980</v>
      </c>
      <c r="D75" s="20" t="inlineStr">
        <is>
          <t>0.000110</t>
        </is>
      </c>
      <c r="E75" s="20" t="inlineStr">
        <is>
          <t>0.100 SOL</t>
        </is>
      </c>
      <c r="F75" s="20" t="inlineStr">
        <is>
          <t>0.104 SOL</t>
        </is>
      </c>
      <c r="G75" s="22" t="inlineStr">
        <is>
          <t>0.004 SOL</t>
        </is>
      </c>
      <c r="H75" s="22" t="inlineStr">
        <is>
          <t>3.57%</t>
        </is>
      </c>
      <c r="I75" s="20" t="inlineStr">
        <is>
          <t>N/A</t>
        </is>
      </c>
      <c r="J75" s="20" t="n">
        <v>1</v>
      </c>
      <c r="K75" s="20" t="n">
        <v>1</v>
      </c>
      <c r="L75" s="20" t="inlineStr">
        <is>
          <t>29.10.2024 02:06:08</t>
        </is>
      </c>
      <c r="M75" s="20" t="inlineStr">
        <is>
          <t>48 min</t>
        </is>
      </c>
      <c r="N75" s="20" t="inlineStr">
        <is>
          <t xml:space="preserve">        100K           100K            22K</t>
        </is>
      </c>
      <c r="O75" s="20" t="inlineStr">
        <is>
          <t>5igPsKHquNAYitDfDxwZFbr7iVPfuw3LVzwjX17zpump</t>
        </is>
      </c>
      <c r="P75" s="20">
        <f>HYPERLINK("https://dexscreener.com/solana/5igPsKHquNAYitDfDxwZFbr7iVPfuw3LVzwjX17zpump", "View")</f>
        <v/>
      </c>
    </row>
    <row r="76">
      <c r="A76" s="15" t="inlineStr">
        <is>
          <t>FERRIS</t>
        </is>
      </c>
      <c r="B76" s="16" t="n">
        <v>118285</v>
      </c>
      <c r="C76" s="16" t="n">
        <v>118285</v>
      </c>
      <c r="D76" s="16" t="inlineStr">
        <is>
          <t>0.000110</t>
        </is>
      </c>
      <c r="E76" s="16" t="inlineStr">
        <is>
          <t>0.100 SOL</t>
        </is>
      </c>
      <c r="F76" s="16" t="inlineStr">
        <is>
          <t>0.033 SOL</t>
        </is>
      </c>
      <c r="G76" s="24" t="inlineStr">
        <is>
          <t>-0.067 SOL</t>
        </is>
      </c>
      <c r="H76" s="24" t="inlineStr">
        <is>
          <t>-67.29%</t>
        </is>
      </c>
      <c r="I76" s="16" t="inlineStr">
        <is>
          <t>N/A</t>
        </is>
      </c>
      <c r="J76" s="16" t="n">
        <v>1</v>
      </c>
      <c r="K76" s="16" t="n">
        <v>1</v>
      </c>
      <c r="L76" s="16" t="inlineStr">
        <is>
          <t>29.10.2024 02:05:47</t>
        </is>
      </c>
      <c r="M76" s="16" t="inlineStr">
        <is>
          <t>1 min</t>
        </is>
      </c>
      <c r="N76" s="16" t="inlineStr">
        <is>
          <t xml:space="preserve">        149K            49K             4K</t>
        </is>
      </c>
      <c r="O76" s="16" t="inlineStr">
        <is>
          <t>7ZFmpe9zrBiNtjeU4C3U22hTTDTsndS9Lm1xu724pump</t>
        </is>
      </c>
      <c r="P76" s="16">
        <f>HYPERLINK("https://dexscreener.com/solana/7ZFmpe9zrBiNtjeU4C3U22hTTDTsndS9Lm1xu724pump", "View")</f>
        <v/>
      </c>
    </row>
    <row r="77">
      <c r="A77" s="19" t="inlineStr">
        <is>
          <t>Vitardio</t>
        </is>
      </c>
      <c r="B77" s="20" t="n">
        <v>536628</v>
      </c>
      <c r="C77" s="20" t="n">
        <v>536628</v>
      </c>
      <c r="D77" s="20" t="inlineStr">
        <is>
          <t>0.000160</t>
        </is>
      </c>
      <c r="E77" s="20" t="inlineStr">
        <is>
          <t>0.200 SOL</t>
        </is>
      </c>
      <c r="F77" s="20" t="inlineStr">
        <is>
          <t>0.313 SOL</t>
        </is>
      </c>
      <c r="G77" s="23" t="inlineStr">
        <is>
          <t>0.113 SOL</t>
        </is>
      </c>
      <c r="H77" s="23" t="inlineStr">
        <is>
          <t>56.59%</t>
        </is>
      </c>
      <c r="I77" s="20" t="inlineStr">
        <is>
          <t>N/A</t>
        </is>
      </c>
      <c r="J77" s="20" t="n">
        <v>1</v>
      </c>
      <c r="K77" s="20" t="n">
        <v>2</v>
      </c>
      <c r="L77" s="20" t="inlineStr">
        <is>
          <t>29.10.2024 02:01:17</t>
        </is>
      </c>
      <c r="M77" s="20" t="inlineStr">
        <is>
          <t>29 min</t>
        </is>
      </c>
      <c r="N77" s="20" t="inlineStr">
        <is>
          <t xml:space="preserve">         65K           140K             5K</t>
        </is>
      </c>
      <c r="O77" s="20" t="inlineStr">
        <is>
          <t>C82MCUQJq4BWyPV9E2QKmiLWsrzey6Kq6B7Ay2xapump</t>
        </is>
      </c>
      <c r="P77" s="20">
        <f>HYPERLINK("https://dexscreener.com/solana/C82MCUQJq4BWyPV9E2QKmiLWsrzey6Kq6B7Ay2xapump", "View")</f>
        <v/>
      </c>
    </row>
    <row r="78">
      <c r="A78" s="15" t="inlineStr">
        <is>
          <t>TDK</t>
        </is>
      </c>
      <c r="B78" s="16" t="n">
        <v>202095</v>
      </c>
      <c r="C78" s="16" t="n">
        <v>0</v>
      </c>
      <c r="D78" s="16" t="inlineStr">
        <is>
          <t>0.000060</t>
        </is>
      </c>
      <c r="E78" s="16" t="inlineStr">
        <is>
          <t>0.100 SOL</t>
        </is>
      </c>
      <c r="F78" s="16" t="inlineStr">
        <is>
          <t>0.000 SOL</t>
        </is>
      </c>
      <c r="G78" s="17" t="inlineStr">
        <is>
          <t>-0.100 SOL</t>
        </is>
      </c>
      <c r="H78" s="17" t="inlineStr">
        <is>
          <t>0.00%</t>
        </is>
      </c>
      <c r="I78" s="16" t="inlineStr">
        <is>
          <t>202,095</t>
        </is>
      </c>
      <c r="J78" s="16" t="n">
        <v>1</v>
      </c>
      <c r="K78" s="16" t="n">
        <v>0</v>
      </c>
      <c r="L78" s="16" t="inlineStr">
        <is>
          <t>29.10.2024 01:38:33</t>
        </is>
      </c>
      <c r="M78" s="18" t="inlineStr">
        <is>
          <t>0 sec</t>
        </is>
      </c>
      <c r="N78" s="16" t="inlineStr">
        <is>
          <t xml:space="preserve">         86K            86K             3K</t>
        </is>
      </c>
      <c r="O78" s="16" t="inlineStr">
        <is>
          <t>6FuA9X6D7NXkNNttaQ7yf8n5JbyWtUujkuN8D2gWpump</t>
        </is>
      </c>
      <c r="P78" s="16">
        <f>HYPERLINK("https://dexscreener.com/solana/6FuA9X6D7NXkNNttaQ7yf8n5JbyWtUujkuN8D2gWpump", "View")</f>
        <v/>
      </c>
    </row>
    <row r="79">
      <c r="A79" s="19" t="inlineStr">
        <is>
          <t xml:space="preserve">TOAD </t>
        </is>
      </c>
      <c r="B79" s="20" t="n">
        <v>149068</v>
      </c>
      <c r="C79" s="20" t="n">
        <v>149068</v>
      </c>
      <c r="D79" s="20" t="inlineStr">
        <is>
          <t>0.000160</t>
        </is>
      </c>
      <c r="E79" s="20" t="inlineStr">
        <is>
          <t>0.100 SOL</t>
        </is>
      </c>
      <c r="F79" s="20" t="inlineStr">
        <is>
          <t>0.203 SOL</t>
        </is>
      </c>
      <c r="G79" s="23" t="inlineStr">
        <is>
          <t>0.103 SOL</t>
        </is>
      </c>
      <c r="H79" s="23" t="inlineStr">
        <is>
          <t>102.52%</t>
        </is>
      </c>
      <c r="I79" s="20" t="inlineStr">
        <is>
          <t>N/A</t>
        </is>
      </c>
      <c r="J79" s="20" t="n">
        <v>1</v>
      </c>
      <c r="K79" s="20" t="n">
        <v>2</v>
      </c>
      <c r="L79" s="20" t="inlineStr">
        <is>
          <t>29.10.2024 01:21:10</t>
        </is>
      </c>
      <c r="M79" s="20" t="inlineStr">
        <is>
          <t>14 hours</t>
        </is>
      </c>
      <c r="N79" s="20" t="inlineStr">
        <is>
          <t xml:space="preserve">        116K           211K            36K</t>
        </is>
      </c>
      <c r="O79" s="20" t="inlineStr">
        <is>
          <t>6QaZjD1aRmfyCWS31r4GTMq5ULKNLHDkPudUd3oYpump</t>
        </is>
      </c>
      <c r="P79" s="20">
        <f>HYPERLINK("https://dexscreener.com/solana/6QaZjD1aRmfyCWS31r4GTMq5ULKNLHDkPudUd3oYpump", "View")</f>
        <v/>
      </c>
    </row>
    <row r="80">
      <c r="A80" s="15" t="inlineStr">
        <is>
          <t>FomoAI</t>
        </is>
      </c>
      <c r="B80" s="16" t="n">
        <v>3178262</v>
      </c>
      <c r="C80" s="16" t="n">
        <v>3178262</v>
      </c>
      <c r="D80" s="16" t="inlineStr">
        <is>
          <t>0.000110</t>
        </is>
      </c>
      <c r="E80" s="16" t="inlineStr">
        <is>
          <t>0.104 SOL</t>
        </is>
      </c>
      <c r="F80" s="16" t="inlineStr">
        <is>
          <t>0.087 SOL</t>
        </is>
      </c>
      <c r="G80" s="21" t="inlineStr">
        <is>
          <t>-0.017 SOL</t>
        </is>
      </c>
      <c r="H80" s="21" t="inlineStr">
        <is>
          <t>-16.05%</t>
        </is>
      </c>
      <c r="I80" s="16" t="inlineStr">
        <is>
          <t>N/A</t>
        </is>
      </c>
      <c r="J80" s="16" t="n">
        <v>1</v>
      </c>
      <c r="K80" s="16" t="n">
        <v>1</v>
      </c>
      <c r="L80" s="16" t="inlineStr">
        <is>
          <t>28.10.2024 23:31:05</t>
        </is>
      </c>
      <c r="M80" s="16" t="inlineStr">
        <is>
          <t>12 hours</t>
        </is>
      </c>
      <c r="N80" s="16" t="inlineStr">
        <is>
          <t xml:space="preserve">          5K             5K             5K</t>
        </is>
      </c>
      <c r="O80" s="16" t="inlineStr">
        <is>
          <t>FgLkC3x8US7UScQqjbqAbwSxb5gfcf8c5CCT6Gk7pump</t>
        </is>
      </c>
      <c r="P80" s="16">
        <f>HYPERLINK("https://photon-sol.tinyastro.io/en/lp/FgLkC3x8US7UScQqjbqAbwSxb5gfcf8c5CCT6Gk7pump?handle=676050794bc1b1657a56b", "View")</f>
        <v/>
      </c>
    </row>
    <row r="81">
      <c r="A81" s="19" t="inlineStr">
        <is>
          <t>ProjectSid</t>
        </is>
      </c>
      <c r="B81" s="20" t="n">
        <v>1697568</v>
      </c>
      <c r="C81" s="20" t="n">
        <v>1692467</v>
      </c>
      <c r="D81" s="20" t="inlineStr">
        <is>
          <t>0.000330</t>
        </is>
      </c>
      <c r="E81" s="20" t="inlineStr">
        <is>
          <t>0.200 SOL</t>
        </is>
      </c>
      <c r="F81" s="20" t="inlineStr">
        <is>
          <t>15.726 SOL</t>
        </is>
      </c>
      <c r="G81" s="23" t="inlineStr">
        <is>
          <t>15.525 SOL</t>
        </is>
      </c>
      <c r="H81" s="23" t="inlineStr">
        <is>
          <t>7749.81%</t>
        </is>
      </c>
      <c r="I81" s="20" t="inlineStr">
        <is>
          <t>N/A</t>
        </is>
      </c>
      <c r="J81" s="20" t="n">
        <v>2</v>
      </c>
      <c r="K81" s="20" t="n">
        <v>4</v>
      </c>
      <c r="L81" s="20" t="inlineStr">
        <is>
          <t>28.10.2024 14:04:01</t>
        </is>
      </c>
      <c r="M81" s="20" t="inlineStr">
        <is>
          <t>12 hours</t>
        </is>
      </c>
      <c r="N81" s="20" t="inlineStr">
        <is>
          <t xml:space="preserve">          3M            42K           214K</t>
        </is>
      </c>
      <c r="O81" s="20" t="inlineStr">
        <is>
          <t>BTdGTUjHz5FUSf91Ufo9L9r4LFMTRhE1qDtvUUfypump</t>
        </is>
      </c>
      <c r="P81" s="20">
        <f>HYPERLINK("https://dexscreener.com/solana/BTdGTUjHz5FUSf91Ufo9L9r4LFMTRhE1qDtvUUfypump", "View")</f>
        <v/>
      </c>
    </row>
    <row r="82">
      <c r="A82" s="15" t="inlineStr">
        <is>
          <t>VESPERA</t>
        </is>
      </c>
      <c r="B82" s="16" t="n">
        <v>321698</v>
      </c>
      <c r="C82" s="16" t="n">
        <v>160849</v>
      </c>
      <c r="D82" s="16" t="inlineStr">
        <is>
          <t>0.000110</t>
        </is>
      </c>
      <c r="E82" s="16" t="inlineStr">
        <is>
          <t>0.100 SOL</t>
        </is>
      </c>
      <c r="F82" s="16" t="inlineStr">
        <is>
          <t>0.175 SOL</t>
        </is>
      </c>
      <c r="G82" s="23" t="inlineStr">
        <is>
          <t>0.074 SOL</t>
        </is>
      </c>
      <c r="H82" s="23" t="inlineStr">
        <is>
          <t>74.38%</t>
        </is>
      </c>
      <c r="I82" s="16" t="inlineStr">
        <is>
          <t>N/A</t>
        </is>
      </c>
      <c r="J82" s="16" t="n">
        <v>1</v>
      </c>
      <c r="K82" s="16" t="n">
        <v>1</v>
      </c>
      <c r="L82" s="16" t="inlineStr">
        <is>
          <t>28.10.2024 14:01:43</t>
        </is>
      </c>
      <c r="M82" s="18" t="inlineStr">
        <is>
          <t>51 sec</t>
        </is>
      </c>
      <c r="N82" s="16" t="inlineStr">
        <is>
          <t xml:space="preserve">         54K           191K             4K</t>
        </is>
      </c>
      <c r="O82" s="16" t="inlineStr">
        <is>
          <t>8ogBUvzZNPzo7FcsGHi6LCVBHrmL94ZVz7DynnTRpump</t>
        </is>
      </c>
      <c r="P82" s="16">
        <f>HYPERLINK("https://dexscreener.com/solana/8ogBUvzZNPzo7FcsGHi6LCVBHrmL94ZVz7DynnTRpump", "View")</f>
        <v/>
      </c>
    </row>
    <row r="83">
      <c r="A83" s="19" t="inlineStr">
        <is>
          <t>MAGADOG</t>
        </is>
      </c>
      <c r="B83" s="20" t="n">
        <v>128916</v>
      </c>
      <c r="C83" s="20" t="n">
        <v>0</v>
      </c>
      <c r="D83" s="20" t="inlineStr">
        <is>
          <t>0.000060</t>
        </is>
      </c>
      <c r="E83" s="20" t="inlineStr">
        <is>
          <t>0.100 SOL</t>
        </is>
      </c>
      <c r="F83" s="20" t="inlineStr">
        <is>
          <t>0.000 SOL</t>
        </is>
      </c>
      <c r="G83" s="17" t="inlineStr">
        <is>
          <t>-0.100 SOL</t>
        </is>
      </c>
      <c r="H83" s="17" t="inlineStr">
        <is>
          <t>0.00%</t>
        </is>
      </c>
      <c r="I83" s="20" t="inlineStr">
        <is>
          <t>128,916</t>
        </is>
      </c>
      <c r="J83" s="20" t="n">
        <v>1</v>
      </c>
      <c r="K83" s="20" t="n">
        <v>0</v>
      </c>
      <c r="L83" s="20" t="inlineStr">
        <is>
          <t>28.10.2024 13:58:03</t>
        </is>
      </c>
      <c r="M83" s="18" t="inlineStr">
        <is>
          <t>0 sec</t>
        </is>
      </c>
      <c r="N83" s="20" t="inlineStr">
        <is>
          <t xml:space="preserve">        137K           137K             3K</t>
        </is>
      </c>
      <c r="O83" s="20" t="inlineStr">
        <is>
          <t>7n1y1dwSQdfZLH45t3LqbYfK74Ewn1s1eL2ozDgupump</t>
        </is>
      </c>
      <c r="P83" s="20">
        <f>HYPERLINK("https://dexscreener.com/solana/7n1y1dwSQdfZLH45t3LqbYfK74Ewn1s1eL2ozDgupump", "View")</f>
        <v/>
      </c>
    </row>
    <row r="84">
      <c r="A84" s="15" t="inlineStr">
        <is>
          <t>ABE</t>
        </is>
      </c>
      <c r="B84" s="16" t="n">
        <v>260186</v>
      </c>
      <c r="C84" s="16" t="n">
        <v>0</v>
      </c>
      <c r="D84" s="16" t="inlineStr">
        <is>
          <t>0.000060</t>
        </is>
      </c>
      <c r="E84" s="16" t="inlineStr">
        <is>
          <t>0.100 SOL</t>
        </is>
      </c>
      <c r="F84" s="16" t="inlineStr">
        <is>
          <t>0.000 SOL</t>
        </is>
      </c>
      <c r="G84" s="17" t="inlineStr">
        <is>
          <t>-0.100 SOL</t>
        </is>
      </c>
      <c r="H84" s="17" t="inlineStr">
        <is>
          <t>0.00%</t>
        </is>
      </c>
      <c r="I84" s="16" t="inlineStr">
        <is>
          <t>260,186</t>
        </is>
      </c>
      <c r="J84" s="16" t="n">
        <v>1</v>
      </c>
      <c r="K84" s="16" t="n">
        <v>0</v>
      </c>
      <c r="L84" s="16" t="inlineStr">
        <is>
          <t>28.10.2024 13:54:22</t>
        </is>
      </c>
      <c r="M84" s="18" t="inlineStr">
        <is>
          <t>0 sec</t>
        </is>
      </c>
      <c r="N84" s="16" t="inlineStr">
        <is>
          <t xml:space="preserve">         67K            67K             3K</t>
        </is>
      </c>
      <c r="O84" s="16" t="inlineStr">
        <is>
          <t>QWpJTGdrPnjJpqDBrC5onXwRPtyZhwEvwrbUYxHpump</t>
        </is>
      </c>
      <c r="P84" s="16">
        <f>HYPERLINK("https://dexscreener.com/solana/QWpJTGdrPnjJpqDBrC5onXwRPtyZhwEvwrbUYxHpump", "View")</f>
        <v/>
      </c>
    </row>
    <row r="85">
      <c r="A85" s="19" t="inlineStr">
        <is>
          <t>Rik</t>
        </is>
      </c>
      <c r="B85" s="20" t="n">
        <v>485976</v>
      </c>
      <c r="C85" s="20" t="n">
        <v>0</v>
      </c>
      <c r="D85" s="20" t="inlineStr">
        <is>
          <t>0.000110</t>
        </is>
      </c>
      <c r="E85" s="20" t="inlineStr">
        <is>
          <t>0.200 SOL</t>
        </is>
      </c>
      <c r="F85" s="20" t="inlineStr">
        <is>
          <t>0.000 SOL</t>
        </is>
      </c>
      <c r="G85" s="17" t="inlineStr">
        <is>
          <t>-0.200 SOL</t>
        </is>
      </c>
      <c r="H85" s="17" t="inlineStr">
        <is>
          <t>0.00%</t>
        </is>
      </c>
      <c r="I85" s="20" t="inlineStr">
        <is>
          <t>485,976</t>
        </is>
      </c>
      <c r="J85" s="20" t="n">
        <v>2</v>
      </c>
      <c r="K85" s="20" t="n">
        <v>0</v>
      </c>
      <c r="L85" s="20" t="inlineStr">
        <is>
          <t>28.10.2024 12:41:04</t>
        </is>
      </c>
      <c r="M85" s="18" t="inlineStr">
        <is>
          <t>0 sec</t>
        </is>
      </c>
      <c r="N85" s="20" t="inlineStr">
        <is>
          <t xml:space="preserve">         72K            72K             4K</t>
        </is>
      </c>
      <c r="O85" s="20" t="inlineStr">
        <is>
          <t>3qYVvs3NT2tvBwYe5KSmDMZDWwVbAsJq6aTAC95opump</t>
        </is>
      </c>
      <c r="P85" s="20">
        <f>HYPERLINK("https://dexscreener.com/solana/3qYVvs3NT2tvBwYe5KSmDMZDWwVbAsJq6aTAC95opump", "View")</f>
        <v/>
      </c>
    </row>
    <row r="86">
      <c r="A86" s="15" t="inlineStr">
        <is>
          <t>Dot</t>
        </is>
      </c>
      <c r="B86" s="16" t="n">
        <v>147723</v>
      </c>
      <c r="C86" s="16" t="n">
        <v>147723</v>
      </c>
      <c r="D86" s="16" t="inlineStr">
        <is>
          <t>0.000160</t>
        </is>
      </c>
      <c r="E86" s="16" t="inlineStr">
        <is>
          <t>0.100 SOL</t>
        </is>
      </c>
      <c r="F86" s="16" t="inlineStr">
        <is>
          <t>0.281 SOL</t>
        </is>
      </c>
      <c r="G86" s="23" t="inlineStr">
        <is>
          <t>0.180 SOL</t>
        </is>
      </c>
      <c r="H86" s="23" t="inlineStr">
        <is>
          <t>180.13%</t>
        </is>
      </c>
      <c r="I86" s="16" t="inlineStr">
        <is>
          <t>N/A</t>
        </is>
      </c>
      <c r="J86" s="16" t="n">
        <v>1</v>
      </c>
      <c r="K86" s="16" t="n">
        <v>2</v>
      </c>
      <c r="L86" s="16" t="inlineStr">
        <is>
          <t>28.10.2024 12:35:51</t>
        </is>
      </c>
      <c r="M86" s="16" t="inlineStr">
        <is>
          <t>2 hours</t>
        </is>
      </c>
      <c r="N86" s="16" t="inlineStr">
        <is>
          <t xml:space="preserve">        115K           292K             9K</t>
        </is>
      </c>
      <c r="O86" s="16" t="inlineStr">
        <is>
          <t>3T557L68ZgBvjvuSuNQXcxH9JkJZieSEggdtWDf2pump</t>
        </is>
      </c>
      <c r="P86" s="16">
        <f>HYPERLINK("https://dexscreener.com/solana/3T557L68ZgBvjvuSuNQXcxH9JkJZieSEggdtWDf2pump", "View")</f>
        <v/>
      </c>
    </row>
    <row r="87">
      <c r="A87" s="19" t="inlineStr">
        <is>
          <t>realtardio</t>
        </is>
      </c>
      <c r="B87" s="20" t="n">
        <v>275630</v>
      </c>
      <c r="C87" s="20" t="n">
        <v>0</v>
      </c>
      <c r="D87" s="20" t="inlineStr">
        <is>
          <t>0.000060</t>
        </is>
      </c>
      <c r="E87" s="20" t="inlineStr">
        <is>
          <t>0.100 SOL</t>
        </is>
      </c>
      <c r="F87" s="20" t="inlineStr">
        <is>
          <t>0.000 SOL</t>
        </is>
      </c>
      <c r="G87" s="17" t="inlineStr">
        <is>
          <t>-0.100 SOL</t>
        </is>
      </c>
      <c r="H87" s="17" t="inlineStr">
        <is>
          <t>0.00%</t>
        </is>
      </c>
      <c r="I87" s="20" t="inlineStr">
        <is>
          <t>275,630</t>
        </is>
      </c>
      <c r="J87" s="20" t="n">
        <v>1</v>
      </c>
      <c r="K87" s="20" t="n">
        <v>0</v>
      </c>
      <c r="L87" s="20" t="inlineStr">
        <is>
          <t>28.10.2024 12:30:47</t>
        </is>
      </c>
      <c r="M87" s="18" t="inlineStr">
        <is>
          <t>0 sec</t>
        </is>
      </c>
      <c r="N87" s="20" t="inlineStr">
        <is>
          <t xml:space="preserve">         63K            63K             4K</t>
        </is>
      </c>
      <c r="O87" s="20" t="inlineStr">
        <is>
          <t>D2As5feEj3kJ1BKJwakNasNh9XD8emb5791RuU8Apump</t>
        </is>
      </c>
      <c r="P87" s="20">
        <f>HYPERLINK("https://dexscreener.com/solana/D2As5feEj3kJ1BKJwakNasNh9XD8emb5791RuU8Apump", "View")</f>
        <v/>
      </c>
    </row>
    <row r="88">
      <c r="A88" s="15" t="inlineStr">
        <is>
          <t>Jefry</t>
        </is>
      </c>
      <c r="B88" s="16" t="n">
        <v>188323</v>
      </c>
      <c r="C88" s="16" t="n">
        <v>0</v>
      </c>
      <c r="D88" s="16" t="inlineStr">
        <is>
          <t>0.000060</t>
        </is>
      </c>
      <c r="E88" s="16" t="inlineStr">
        <is>
          <t>0.100 SOL</t>
        </is>
      </c>
      <c r="F88" s="16" t="inlineStr">
        <is>
          <t>0.000 SOL</t>
        </is>
      </c>
      <c r="G88" s="17" t="inlineStr">
        <is>
          <t>-0.100 SOL</t>
        </is>
      </c>
      <c r="H88" s="17" t="inlineStr">
        <is>
          <t>0.00%</t>
        </is>
      </c>
      <c r="I88" s="16" t="inlineStr">
        <is>
          <t>188,323</t>
        </is>
      </c>
      <c r="J88" s="16" t="n">
        <v>1</v>
      </c>
      <c r="K88" s="16" t="n">
        <v>0</v>
      </c>
      <c r="L88" s="16" t="inlineStr">
        <is>
          <t>28.10.2024 10:49:04</t>
        </is>
      </c>
      <c r="M88" s="18" t="inlineStr">
        <is>
          <t>0 sec</t>
        </is>
      </c>
      <c r="N88" s="16" t="inlineStr">
        <is>
          <t xml:space="preserve">         93K            93K             4K</t>
        </is>
      </c>
      <c r="O88" s="16" t="inlineStr">
        <is>
          <t>AcB7DtVYAejFpajuvRgyQoHcdSrVzypbVDvG7Avcpump</t>
        </is>
      </c>
      <c r="P88" s="16">
        <f>HYPERLINK("https://dexscreener.com/solana/AcB7DtVYAejFpajuvRgyQoHcdSrVzypbVDvG7Avcpump", "View")</f>
        <v/>
      </c>
    </row>
    <row r="89">
      <c r="A89" s="19" t="inlineStr">
        <is>
          <t>OKAYEG</t>
        </is>
      </c>
      <c r="B89" s="20" t="n">
        <v>185712</v>
      </c>
      <c r="C89" s="20" t="n">
        <v>0</v>
      </c>
      <c r="D89" s="20" t="inlineStr">
        <is>
          <t>0.000060</t>
        </is>
      </c>
      <c r="E89" s="20" t="inlineStr">
        <is>
          <t>0.100 SOL</t>
        </is>
      </c>
      <c r="F89" s="20" t="inlineStr">
        <is>
          <t>0.000 SOL</t>
        </is>
      </c>
      <c r="G89" s="17" t="inlineStr">
        <is>
          <t>-0.100 SOL</t>
        </is>
      </c>
      <c r="H89" s="17" t="inlineStr">
        <is>
          <t>0.00%</t>
        </is>
      </c>
      <c r="I89" s="20" t="inlineStr">
        <is>
          <t>185,712</t>
        </is>
      </c>
      <c r="J89" s="20" t="n">
        <v>1</v>
      </c>
      <c r="K89" s="20" t="n">
        <v>0</v>
      </c>
      <c r="L89" s="20" t="inlineStr">
        <is>
          <t>28.10.2024 10:38:42</t>
        </is>
      </c>
      <c r="M89" s="18" t="inlineStr">
        <is>
          <t>0 sec</t>
        </is>
      </c>
      <c r="N89" s="20" t="inlineStr">
        <is>
          <t xml:space="preserve">         95K            95K             4K</t>
        </is>
      </c>
      <c r="O89" s="20" t="inlineStr">
        <is>
          <t>BMtTHjGCpkz1fRtfoTDyvhdB5vo1imxZv8RkpT93pump</t>
        </is>
      </c>
      <c r="P89" s="20">
        <f>HYPERLINK("https://dexscreener.com/solana/BMtTHjGCpkz1fRtfoTDyvhdB5vo1imxZv8RkpT93pump", "View")</f>
        <v/>
      </c>
    </row>
    <row r="90">
      <c r="A90" s="15" t="inlineStr">
        <is>
          <t>ai.exe</t>
        </is>
      </c>
      <c r="B90" s="16" t="n">
        <v>500703</v>
      </c>
      <c r="C90" s="16" t="n">
        <v>0</v>
      </c>
      <c r="D90" s="16" t="inlineStr">
        <is>
          <t>0.000060</t>
        </is>
      </c>
      <c r="E90" s="16" t="inlineStr">
        <is>
          <t>0.100 SOL</t>
        </is>
      </c>
      <c r="F90" s="16" t="inlineStr">
        <is>
          <t>0.000 SOL</t>
        </is>
      </c>
      <c r="G90" s="17" t="inlineStr">
        <is>
          <t>-0.100 SOL</t>
        </is>
      </c>
      <c r="H90" s="17" t="inlineStr">
        <is>
          <t>0.00%</t>
        </is>
      </c>
      <c r="I90" s="16" t="inlineStr">
        <is>
          <t>500,703</t>
        </is>
      </c>
      <c r="J90" s="16" t="n">
        <v>1</v>
      </c>
      <c r="K90" s="16" t="n">
        <v>0</v>
      </c>
      <c r="L90" s="16" t="inlineStr">
        <is>
          <t>28.10.2024 07:47:46</t>
        </is>
      </c>
      <c r="M90" s="18" t="inlineStr">
        <is>
          <t>0 sec</t>
        </is>
      </c>
      <c r="N90" s="16" t="inlineStr">
        <is>
          <t xml:space="preserve">         35K            35K             4K</t>
        </is>
      </c>
      <c r="O90" s="16" t="inlineStr">
        <is>
          <t>EdBp881A1DrBdZYJuQqtDC8DxwaepBEh6uuvjXvMpump</t>
        </is>
      </c>
      <c r="P90" s="16">
        <f>HYPERLINK("https://dexscreener.com/solana/EdBp881A1DrBdZYJuQqtDC8DxwaepBEh6uuvjXvMpump", "View")</f>
        <v/>
      </c>
    </row>
    <row r="91">
      <c r="A91" s="19" t="inlineStr">
        <is>
          <t>BIRDIE</t>
        </is>
      </c>
      <c r="B91" s="20" t="n">
        <v>159622</v>
      </c>
      <c r="C91" s="20" t="n">
        <v>0</v>
      </c>
      <c r="D91" s="20" t="inlineStr">
        <is>
          <t>0.000060</t>
        </is>
      </c>
      <c r="E91" s="20" t="inlineStr">
        <is>
          <t>0.100 SOL</t>
        </is>
      </c>
      <c r="F91" s="20" t="inlineStr">
        <is>
          <t>0.000 SOL</t>
        </is>
      </c>
      <c r="G91" s="17" t="inlineStr">
        <is>
          <t>-0.100 SOL</t>
        </is>
      </c>
      <c r="H91" s="17" t="inlineStr">
        <is>
          <t>0.00%</t>
        </is>
      </c>
      <c r="I91" s="20" t="inlineStr">
        <is>
          <t>159,622</t>
        </is>
      </c>
      <c r="J91" s="20" t="n">
        <v>1</v>
      </c>
      <c r="K91" s="20" t="n">
        <v>0</v>
      </c>
      <c r="L91" s="20" t="inlineStr">
        <is>
          <t>28.10.2024 07:43:39</t>
        </is>
      </c>
      <c r="M91" s="18" t="inlineStr">
        <is>
          <t>0 sec</t>
        </is>
      </c>
      <c r="N91" s="20" t="inlineStr">
        <is>
          <t xml:space="preserve">        111K           111K             3K</t>
        </is>
      </c>
      <c r="O91" s="20" t="inlineStr">
        <is>
          <t>3Dwg9MtA8rSsXQUDYv67KA63g6yWDGgrFzYKQ4z7pump</t>
        </is>
      </c>
      <c r="P91" s="20">
        <f>HYPERLINK("https://dexscreener.com/solana/3Dwg9MtA8rSsXQUDYv67KA63g6yWDGgrFzYKQ4z7pump", "View")</f>
        <v/>
      </c>
    </row>
    <row r="92">
      <c r="A92" s="15" t="inlineStr">
        <is>
          <t>SCAT</t>
        </is>
      </c>
      <c r="B92" s="16" t="n">
        <v>45746</v>
      </c>
      <c r="C92" s="16" t="n">
        <v>0</v>
      </c>
      <c r="D92" s="16" t="inlineStr">
        <is>
          <t>0.000060</t>
        </is>
      </c>
      <c r="E92" s="16" t="inlineStr">
        <is>
          <t>0.100 SOL</t>
        </is>
      </c>
      <c r="F92" s="16" t="inlineStr">
        <is>
          <t>0.000 SOL</t>
        </is>
      </c>
      <c r="G92" s="17" t="inlineStr">
        <is>
          <t>-0.100 SOL</t>
        </is>
      </c>
      <c r="H92" s="17" t="inlineStr">
        <is>
          <t>0.00%</t>
        </is>
      </c>
      <c r="I92" s="16" t="inlineStr">
        <is>
          <t>45,746</t>
        </is>
      </c>
      <c r="J92" s="16" t="n">
        <v>1</v>
      </c>
      <c r="K92" s="16" t="n">
        <v>0</v>
      </c>
      <c r="L92" s="16" t="inlineStr">
        <is>
          <t>28.10.2024 07:01:59</t>
        </is>
      </c>
      <c r="M92" s="18" t="inlineStr">
        <is>
          <t>0 sec</t>
        </is>
      </c>
      <c r="N92" s="16" t="inlineStr">
        <is>
          <t xml:space="preserve">        385K           385K             4K</t>
        </is>
      </c>
      <c r="O92" s="16" t="inlineStr">
        <is>
          <t>EEvAzgVykroPTytRm1NxR4pJrVdT4784CMXbMneMpump</t>
        </is>
      </c>
      <c r="P92" s="16">
        <f>HYPERLINK("https://dexscreener.com/solana/EEvAzgVykroPTytRm1NxR4pJrVdT4784CMXbMneMpump", "View")</f>
        <v/>
      </c>
    </row>
    <row r="93">
      <c r="A93" s="19" t="inlineStr">
        <is>
          <t>BITCHBOT</t>
        </is>
      </c>
      <c r="B93" s="20" t="n">
        <v>147066</v>
      </c>
      <c r="C93" s="20" t="n">
        <v>73533</v>
      </c>
      <c r="D93" s="20" t="inlineStr">
        <is>
          <t>0.000110</t>
        </is>
      </c>
      <c r="E93" s="20" t="inlineStr">
        <is>
          <t>0.100 SOL</t>
        </is>
      </c>
      <c r="F93" s="20" t="inlineStr">
        <is>
          <t>0.091 SOL</t>
        </is>
      </c>
      <c r="G93" s="21" t="inlineStr">
        <is>
          <t>-0.009 SOL</t>
        </is>
      </c>
      <c r="H93" s="21" t="inlineStr">
        <is>
          <t>-9.36%</t>
        </is>
      </c>
      <c r="I93" s="20" t="inlineStr">
        <is>
          <t>N/A</t>
        </is>
      </c>
      <c r="J93" s="20" t="n">
        <v>1</v>
      </c>
      <c r="K93" s="20" t="n">
        <v>1</v>
      </c>
      <c r="L93" s="20" t="inlineStr">
        <is>
          <t>28.10.2024 06:46:59</t>
        </is>
      </c>
      <c r="M93" s="20" t="inlineStr">
        <is>
          <t>13 min</t>
        </is>
      </c>
      <c r="N93" s="20" t="inlineStr">
        <is>
          <t xml:space="preserve">        119K           216K            18K</t>
        </is>
      </c>
      <c r="O93" s="20" t="inlineStr">
        <is>
          <t>6ec1k1xF46XRdCupyc44MzcmL2Yi4WVP3F9NC4Snpump</t>
        </is>
      </c>
      <c r="P93" s="20">
        <f>HYPERLINK("https://dexscreener.com/solana/6ec1k1xF46XRdCupyc44MzcmL2Yi4WVP3F9NC4Snpump", "View")</f>
        <v/>
      </c>
    </row>
    <row r="94">
      <c r="A94" s="15" t="inlineStr">
        <is>
          <t>DarkSMA</t>
        </is>
      </c>
      <c r="B94" s="16" t="n">
        <v>131783</v>
      </c>
      <c r="C94" s="16" t="n">
        <v>131783</v>
      </c>
      <c r="D94" s="16" t="inlineStr">
        <is>
          <t>0.000160</t>
        </is>
      </c>
      <c r="E94" s="16" t="inlineStr">
        <is>
          <t>0.100 SOL</t>
        </is>
      </c>
      <c r="F94" s="16" t="inlineStr">
        <is>
          <t>0.154 SOL</t>
        </is>
      </c>
      <c r="G94" s="23" t="inlineStr">
        <is>
          <t>0.054 SOL</t>
        </is>
      </c>
      <c r="H94" s="23" t="inlineStr">
        <is>
          <t>54.10%</t>
        </is>
      </c>
      <c r="I94" s="16" t="inlineStr">
        <is>
          <t>N/A</t>
        </is>
      </c>
      <c r="J94" s="16" t="n">
        <v>1</v>
      </c>
      <c r="K94" s="16" t="n">
        <v>2</v>
      </c>
      <c r="L94" s="16" t="inlineStr">
        <is>
          <t>28.10.2024 06:42:04</t>
        </is>
      </c>
      <c r="M94" s="16" t="inlineStr">
        <is>
          <t>4 hours</t>
        </is>
      </c>
      <c r="N94" s="16" t="inlineStr">
        <is>
          <t xml:space="preserve">        133K           197K            40K</t>
        </is>
      </c>
      <c r="O94" s="16" t="inlineStr">
        <is>
          <t>ABSLrvYqSfJKhXJGnigaNaEB7rmgsGQH4VZY8Nf2pump</t>
        </is>
      </c>
      <c r="P94" s="16">
        <f>HYPERLINK("https://dexscreener.com/solana/ABSLrvYqSfJKhXJGnigaNaEB7rmgsGQH4VZY8Nf2pump", "View")</f>
        <v/>
      </c>
    </row>
    <row r="95">
      <c r="A95" s="19" t="inlineStr">
        <is>
          <t>BITCHBOT</t>
        </is>
      </c>
      <c r="B95" s="20" t="n">
        <v>229227</v>
      </c>
      <c r="C95" s="20" t="n">
        <v>114613</v>
      </c>
      <c r="D95" s="20" t="inlineStr">
        <is>
          <t>0.000110</t>
        </is>
      </c>
      <c r="E95" s="20" t="inlineStr">
        <is>
          <t>0.100 SOL</t>
        </is>
      </c>
      <c r="F95" s="20" t="inlineStr">
        <is>
          <t>0.128 SOL</t>
        </is>
      </c>
      <c r="G95" s="22" t="inlineStr">
        <is>
          <t>0.028 SOL</t>
        </is>
      </c>
      <c r="H95" s="22" t="inlineStr">
        <is>
          <t>27.50%</t>
        </is>
      </c>
      <c r="I95" s="20" t="inlineStr">
        <is>
          <t>N/A</t>
        </is>
      </c>
      <c r="J95" s="20" t="n">
        <v>1</v>
      </c>
      <c r="K95" s="20" t="n">
        <v>1</v>
      </c>
      <c r="L95" s="20" t="inlineStr">
        <is>
          <t>28.10.2024 06:29:10</t>
        </is>
      </c>
      <c r="M95" s="20" t="inlineStr">
        <is>
          <t>5 min</t>
        </is>
      </c>
      <c r="N95" s="20" t="inlineStr">
        <is>
          <t xml:space="preserve">         77K           195K             7K</t>
        </is>
      </c>
      <c r="O95" s="20" t="inlineStr">
        <is>
          <t>ACro3rVwnm78KTw2ZChs3xP9Z5VEzMaS3r9PZR2DFEuL</t>
        </is>
      </c>
      <c r="P95" s="20">
        <f>HYPERLINK("https://dexscreener.com/solana/ACro3rVwnm78KTw2ZChs3xP9Z5VEzMaS3r9PZR2DFEuL", "View")</f>
        <v/>
      </c>
    </row>
    <row r="96">
      <c r="A96" s="15" t="inlineStr">
        <is>
          <t>BITCHBOT</t>
        </is>
      </c>
      <c r="B96" s="16" t="n">
        <v>124949</v>
      </c>
      <c r="C96" s="16" t="n">
        <v>0</v>
      </c>
      <c r="D96" s="16" t="inlineStr">
        <is>
          <t>0.000060</t>
        </is>
      </c>
      <c r="E96" s="16" t="inlineStr">
        <is>
          <t>0.100 SOL</t>
        </is>
      </c>
      <c r="F96" s="16" t="inlineStr">
        <is>
          <t>0.000 SOL</t>
        </is>
      </c>
      <c r="G96" s="17" t="inlineStr">
        <is>
          <t>-0.100 SOL</t>
        </is>
      </c>
      <c r="H96" s="17" t="inlineStr">
        <is>
          <t>0.00%</t>
        </is>
      </c>
      <c r="I96" s="16" t="inlineStr">
        <is>
          <t>124,949</t>
        </is>
      </c>
      <c r="J96" s="16" t="n">
        <v>1</v>
      </c>
      <c r="K96" s="16" t="n">
        <v>0</v>
      </c>
      <c r="L96" s="16" t="inlineStr">
        <is>
          <t>28.10.2024 06:28:20</t>
        </is>
      </c>
      <c r="M96" s="18" t="inlineStr">
        <is>
          <t>0 sec</t>
        </is>
      </c>
      <c r="N96" s="16" t="inlineStr">
        <is>
          <t xml:space="preserve">        140K           140K             6K</t>
        </is>
      </c>
      <c r="O96" s="16" t="inlineStr">
        <is>
          <t>EtSwvU5SyAsYZqoJ4MXM45APMgTgzp1g3a1dDc6Spump</t>
        </is>
      </c>
      <c r="P96" s="16">
        <f>HYPERLINK("https://dexscreener.com/solana/EtSwvU5SyAsYZqoJ4MXM45APMgTgzp1g3a1dDc6Spump", "View")</f>
        <v/>
      </c>
    </row>
    <row r="97">
      <c r="A97" s="19" t="inlineStr">
        <is>
          <t>MTI</t>
        </is>
      </c>
      <c r="B97" s="20" t="n">
        <v>113621</v>
      </c>
      <c r="C97" s="20" t="n">
        <v>0</v>
      </c>
      <c r="D97" s="20" t="inlineStr">
        <is>
          <t>0.000060</t>
        </is>
      </c>
      <c r="E97" s="20" t="inlineStr">
        <is>
          <t>0.100 SOL</t>
        </is>
      </c>
      <c r="F97" s="20" t="inlineStr">
        <is>
          <t>0.000 SOL</t>
        </is>
      </c>
      <c r="G97" s="17" t="inlineStr">
        <is>
          <t>-0.100 SOL</t>
        </is>
      </c>
      <c r="H97" s="17" t="inlineStr">
        <is>
          <t>0.00%</t>
        </is>
      </c>
      <c r="I97" s="20" t="inlineStr">
        <is>
          <t>113,621</t>
        </is>
      </c>
      <c r="J97" s="20" t="n">
        <v>1</v>
      </c>
      <c r="K97" s="20" t="n">
        <v>0</v>
      </c>
      <c r="L97" s="20" t="inlineStr">
        <is>
          <t>28.10.2024 06:18:11</t>
        </is>
      </c>
      <c r="M97" s="18" t="inlineStr">
        <is>
          <t>0 sec</t>
        </is>
      </c>
      <c r="N97" s="20" t="inlineStr">
        <is>
          <t xml:space="preserve">        155K           155K             4K</t>
        </is>
      </c>
      <c r="O97" s="20" t="inlineStr">
        <is>
          <t>67x3kZxv9uW2joveNJTUcA4NhD54XeArVrT1pJ1Cpump</t>
        </is>
      </c>
      <c r="P97" s="20">
        <f>HYPERLINK("https://dexscreener.com/solana/67x3kZxv9uW2joveNJTUcA4NhD54XeArVrT1pJ1Cpump", "View")</f>
        <v/>
      </c>
    </row>
    <row r="98">
      <c r="A98" s="15" t="inlineStr">
        <is>
          <t>MemeAi</t>
        </is>
      </c>
      <c r="B98" s="16" t="n">
        <v>372604</v>
      </c>
      <c r="C98" s="16" t="n">
        <v>186302</v>
      </c>
      <c r="D98" s="16" t="inlineStr">
        <is>
          <t>0.000110</t>
        </is>
      </c>
      <c r="E98" s="16" t="inlineStr">
        <is>
          <t>0.100 SOL</t>
        </is>
      </c>
      <c r="F98" s="16" t="inlineStr">
        <is>
          <t>0.101 SOL</t>
        </is>
      </c>
      <c r="G98" s="22" t="inlineStr">
        <is>
          <t>0.001 SOL</t>
        </is>
      </c>
      <c r="H98" s="22" t="inlineStr">
        <is>
          <t>1.26%</t>
        </is>
      </c>
      <c r="I98" s="16" t="inlineStr">
        <is>
          <t>N/A</t>
        </is>
      </c>
      <c r="J98" s="16" t="n">
        <v>1</v>
      </c>
      <c r="K98" s="16" t="n">
        <v>1</v>
      </c>
      <c r="L98" s="16" t="inlineStr">
        <is>
          <t>28.10.2024 05:44:15</t>
        </is>
      </c>
      <c r="M98" s="16" t="inlineStr">
        <is>
          <t>1 min</t>
        </is>
      </c>
      <c r="N98" s="16" t="inlineStr">
        <is>
          <t xml:space="preserve">         47K            95K             4K</t>
        </is>
      </c>
      <c r="O98" s="16" t="inlineStr">
        <is>
          <t>14b2PNaerPw218YqJj763rsSe9cESu8CfUXe8M7cpump</t>
        </is>
      </c>
      <c r="P98" s="16">
        <f>HYPERLINK("https://dexscreener.com/solana/14b2PNaerPw218YqJj763rsSe9cESu8CfUXe8M7cpump", "View")</f>
        <v/>
      </c>
    </row>
    <row r="99">
      <c r="A99" s="19" t="inlineStr">
        <is>
          <t xml:space="preserve">ALTERA </t>
        </is>
      </c>
      <c r="B99" s="20" t="n">
        <v>1120594</v>
      </c>
      <c r="C99" s="20" t="n">
        <v>840445</v>
      </c>
      <c r="D99" s="20" t="inlineStr">
        <is>
          <t>0.000160</t>
        </is>
      </c>
      <c r="E99" s="20" t="inlineStr">
        <is>
          <t>0.106 SOL</t>
        </is>
      </c>
      <c r="F99" s="20" t="inlineStr">
        <is>
          <t>0.354 SOL</t>
        </is>
      </c>
      <c r="G99" s="23" t="inlineStr">
        <is>
          <t>0.248 SOL</t>
        </is>
      </c>
      <c r="H99" s="23" t="inlineStr">
        <is>
          <t>233.72%</t>
        </is>
      </c>
      <c r="I99" s="20" t="inlineStr">
        <is>
          <t>N/A</t>
        </is>
      </c>
      <c r="J99" s="20" t="n">
        <v>1</v>
      </c>
      <c r="K99" s="20" t="n">
        <v>2</v>
      </c>
      <c r="L99" s="20" t="inlineStr">
        <is>
          <t>28.10.2024 05:43:28</t>
        </is>
      </c>
      <c r="M99" s="20" t="inlineStr">
        <is>
          <t>2 hours</t>
        </is>
      </c>
      <c r="N99" s="20" t="inlineStr">
        <is>
          <t xml:space="preserve">         16K            32K             7K</t>
        </is>
      </c>
      <c r="O99" s="20" t="inlineStr">
        <is>
          <t>8gvfbUZ1X7RbkD8Z1PLFgDJHoft1jNeweBu97JiWpump</t>
        </is>
      </c>
      <c r="P99" s="20">
        <f>HYPERLINK("https://photon-sol.tinyastro.io/en/lp/8gvfbUZ1X7RbkD8Z1PLFgDJHoft1jNeweBu97JiWpump?handle=676050794bc1b1657a56b", "View")</f>
        <v/>
      </c>
    </row>
    <row r="100">
      <c r="A100" s="15" t="inlineStr">
        <is>
          <t>AAA</t>
        </is>
      </c>
      <c r="B100" s="16" t="n">
        <v>200319</v>
      </c>
      <c r="C100" s="16" t="n">
        <v>0</v>
      </c>
      <c r="D100" s="16" t="inlineStr">
        <is>
          <t>0.000060</t>
        </is>
      </c>
      <c r="E100" s="16" t="inlineStr">
        <is>
          <t>0.100 SOL</t>
        </is>
      </c>
      <c r="F100" s="16" t="inlineStr">
        <is>
          <t>0.000 SOL</t>
        </is>
      </c>
      <c r="G100" s="17" t="inlineStr">
        <is>
          <t>-0.100 SOL</t>
        </is>
      </c>
      <c r="H100" s="17" t="inlineStr">
        <is>
          <t>0.00%</t>
        </is>
      </c>
      <c r="I100" s="16" t="inlineStr">
        <is>
          <t>200,319</t>
        </is>
      </c>
      <c r="J100" s="16" t="n">
        <v>1</v>
      </c>
      <c r="K100" s="16" t="n">
        <v>0</v>
      </c>
      <c r="L100" s="16" t="inlineStr">
        <is>
          <t>28.10.2024 03:54:47</t>
        </is>
      </c>
      <c r="M100" s="18" t="inlineStr">
        <is>
          <t>0 sec</t>
        </is>
      </c>
      <c r="N100" s="16" t="inlineStr">
        <is>
          <t xml:space="preserve">         88K            88K             3K</t>
        </is>
      </c>
      <c r="O100" s="16" t="inlineStr">
        <is>
          <t>F87HPcxdor2M51kdAMAnQpXmYbP1WJAx1N7qf4wFpump</t>
        </is>
      </c>
      <c r="P100" s="16">
        <f>HYPERLINK("https://dexscreener.com/solana/F87HPcxdor2M51kdAMAnQpXmYbP1WJAx1N7qf4wFpump", "View")</f>
        <v/>
      </c>
    </row>
    <row r="101">
      <c r="A101" s="19" t="inlineStr">
        <is>
          <t>LOOPY</t>
        </is>
      </c>
      <c r="B101" s="20" t="n">
        <v>195833</v>
      </c>
      <c r="C101" s="20" t="n">
        <v>0</v>
      </c>
      <c r="D101" s="20" t="inlineStr">
        <is>
          <t>0.000060</t>
        </is>
      </c>
      <c r="E101" s="20" t="inlineStr">
        <is>
          <t>0.100 SOL</t>
        </is>
      </c>
      <c r="F101" s="20" t="inlineStr">
        <is>
          <t>0.000 SOL</t>
        </is>
      </c>
      <c r="G101" s="17" t="inlineStr">
        <is>
          <t>-0.100 SOL</t>
        </is>
      </c>
      <c r="H101" s="17" t="inlineStr">
        <is>
          <t>0.00%</t>
        </is>
      </c>
      <c r="I101" s="20" t="inlineStr">
        <is>
          <t>195,833</t>
        </is>
      </c>
      <c r="J101" s="20" t="n">
        <v>1</v>
      </c>
      <c r="K101" s="20" t="n">
        <v>0</v>
      </c>
      <c r="L101" s="20" t="inlineStr">
        <is>
          <t>28.10.2024 03:28:37</t>
        </is>
      </c>
      <c r="M101" s="18" t="inlineStr">
        <is>
          <t>0 sec</t>
        </is>
      </c>
      <c r="N101" s="20" t="inlineStr">
        <is>
          <t xml:space="preserve">         90K            90K             4K</t>
        </is>
      </c>
      <c r="O101" s="20" t="inlineStr">
        <is>
          <t>3RCpUT1yN5bLKsKqy2vcNidogbvPnzp3hvv8MFvBpump</t>
        </is>
      </c>
      <c r="P101" s="20">
        <f>HYPERLINK("https://dexscreener.com/solana/3RCpUT1yN5bLKsKqy2vcNidogbvPnzp3hvv8MFvBpump", "View")</f>
        <v/>
      </c>
    </row>
    <row r="102">
      <c r="A102" s="15" t="inlineStr">
        <is>
          <t>SL</t>
        </is>
      </c>
      <c r="B102" s="16" t="n">
        <v>874572</v>
      </c>
      <c r="C102" s="16" t="n">
        <v>0</v>
      </c>
      <c r="D102" s="16" t="inlineStr">
        <is>
          <t>0.000060</t>
        </is>
      </c>
      <c r="E102" s="16" t="inlineStr">
        <is>
          <t>0.100 SOL</t>
        </is>
      </c>
      <c r="F102" s="16" t="inlineStr">
        <is>
          <t>0.000 SOL</t>
        </is>
      </c>
      <c r="G102" s="17" t="inlineStr">
        <is>
          <t>-0.100 SOL</t>
        </is>
      </c>
      <c r="H102" s="17" t="inlineStr">
        <is>
          <t>0.00%</t>
        </is>
      </c>
      <c r="I102" s="16" t="inlineStr">
        <is>
          <t>874,572</t>
        </is>
      </c>
      <c r="J102" s="16" t="n">
        <v>1</v>
      </c>
      <c r="K102" s="16" t="n">
        <v>0</v>
      </c>
      <c r="L102" s="16" t="inlineStr">
        <is>
          <t>28.10.2024 03:21:29</t>
        </is>
      </c>
      <c r="M102" s="18" t="inlineStr">
        <is>
          <t>0 sec</t>
        </is>
      </c>
      <c r="N102" s="16" t="inlineStr">
        <is>
          <t xml:space="preserve">         19K            19K             3K</t>
        </is>
      </c>
      <c r="O102" s="16" t="inlineStr">
        <is>
          <t>A4K24HRdxpJcaBJYHkaLacB8PfxX8DkF7SLBkiKFpump</t>
        </is>
      </c>
      <c r="P102" s="16">
        <f>HYPERLINK("https://dexscreener.com/solana/A4K24HRdxpJcaBJYHkaLacB8PfxX8DkF7SLBkiKFpump", "View")</f>
        <v/>
      </c>
    </row>
    <row r="103">
      <c r="A103" s="19" t="inlineStr">
        <is>
          <t>ILUMIA</t>
        </is>
      </c>
      <c r="B103" s="20" t="n">
        <v>828734</v>
      </c>
      <c r="C103" s="20" t="n">
        <v>0</v>
      </c>
      <c r="D103" s="20" t="inlineStr">
        <is>
          <t>0.000060</t>
        </is>
      </c>
      <c r="E103" s="20" t="inlineStr">
        <is>
          <t>0.100 SOL</t>
        </is>
      </c>
      <c r="F103" s="20" t="inlineStr">
        <is>
          <t>0.000 SOL</t>
        </is>
      </c>
      <c r="G103" s="17" t="inlineStr">
        <is>
          <t>-0.100 SOL</t>
        </is>
      </c>
      <c r="H103" s="17" t="inlineStr">
        <is>
          <t>0.00%</t>
        </is>
      </c>
      <c r="I103" s="20" t="inlineStr">
        <is>
          <t>828,734</t>
        </is>
      </c>
      <c r="J103" s="20" t="n">
        <v>1</v>
      </c>
      <c r="K103" s="20" t="n">
        <v>0</v>
      </c>
      <c r="L103" s="20" t="inlineStr">
        <is>
          <t>28.10.2024 03:00:41</t>
        </is>
      </c>
      <c r="M103" s="18" t="inlineStr">
        <is>
          <t>0 sec</t>
        </is>
      </c>
      <c r="N103" s="20" t="inlineStr">
        <is>
          <t xml:space="preserve">         21K            21K             3K</t>
        </is>
      </c>
      <c r="O103" s="20" t="inlineStr">
        <is>
          <t>GA48z727YVddKJY83N2o6rpFPDq3NGibGCu7XThHpump</t>
        </is>
      </c>
      <c r="P103" s="20">
        <f>HYPERLINK("https://dexscreener.com/solana/GA48z727YVddKJY83N2o6rpFPDq3NGibGCu7XThHpump", "View")</f>
        <v/>
      </c>
    </row>
    <row r="104">
      <c r="A104" s="15" t="inlineStr">
        <is>
          <t>HODL</t>
        </is>
      </c>
      <c r="B104" s="16" t="n">
        <v>461365</v>
      </c>
      <c r="C104" s="16" t="n">
        <v>461365</v>
      </c>
      <c r="D104" s="16" t="inlineStr">
        <is>
          <t>0.000110</t>
        </is>
      </c>
      <c r="E104" s="16" t="inlineStr">
        <is>
          <t>0.100 SOL</t>
        </is>
      </c>
      <c r="F104" s="16" t="inlineStr">
        <is>
          <t>0.101 SOL</t>
        </is>
      </c>
      <c r="G104" s="22" t="inlineStr">
        <is>
          <t>0.001 SOL</t>
        </is>
      </c>
      <c r="H104" s="22" t="inlineStr">
        <is>
          <t>1.09%</t>
        </is>
      </c>
      <c r="I104" s="16" t="inlineStr">
        <is>
          <t>N/A</t>
        </is>
      </c>
      <c r="J104" s="16" t="n">
        <v>1</v>
      </c>
      <c r="K104" s="16" t="n">
        <v>1</v>
      </c>
      <c r="L104" s="16" t="inlineStr">
        <is>
          <t>28.10.2024 02:42:52</t>
        </is>
      </c>
      <c r="M104" s="16" t="inlineStr">
        <is>
          <t>57 min</t>
        </is>
      </c>
      <c r="N104" s="16" t="inlineStr">
        <is>
          <t xml:space="preserve">         39K            39K            24K</t>
        </is>
      </c>
      <c r="O104" s="16" t="inlineStr">
        <is>
          <t>4H2kQgC4hdt35AryM4NjB6RoNuuX4WR6fRMQ4cqcg1zr</t>
        </is>
      </c>
      <c r="P104" s="16">
        <f>HYPERLINK("https://dexscreener.com/solana/4H2kQgC4hdt35AryM4NjB6RoNuuX4WR6fRMQ4cqcg1zr", "View")</f>
        <v/>
      </c>
    </row>
    <row r="105">
      <c r="A105" s="19" t="inlineStr">
        <is>
          <t>HULK</t>
        </is>
      </c>
      <c r="B105" s="20" t="n">
        <v>106758</v>
      </c>
      <c r="C105" s="20" t="n">
        <v>0</v>
      </c>
      <c r="D105" s="20" t="inlineStr">
        <is>
          <t>0.000060</t>
        </is>
      </c>
      <c r="E105" s="20" t="inlineStr">
        <is>
          <t>0.100 SOL</t>
        </is>
      </c>
      <c r="F105" s="20" t="inlineStr">
        <is>
          <t>0.000 SOL</t>
        </is>
      </c>
      <c r="G105" s="17" t="inlineStr">
        <is>
          <t>-0.100 SOL</t>
        </is>
      </c>
      <c r="H105" s="17" t="inlineStr">
        <is>
          <t>0.00%</t>
        </is>
      </c>
      <c r="I105" s="20" t="inlineStr">
        <is>
          <t>106,758</t>
        </is>
      </c>
      <c r="J105" s="20" t="n">
        <v>1</v>
      </c>
      <c r="K105" s="20" t="n">
        <v>0</v>
      </c>
      <c r="L105" s="20" t="inlineStr">
        <is>
          <t>28.10.2024 02:33:16</t>
        </is>
      </c>
      <c r="M105" s="18" t="inlineStr">
        <is>
          <t>0 sec</t>
        </is>
      </c>
      <c r="N105" s="20" t="inlineStr">
        <is>
          <t xml:space="preserve">        165K           165K             7K</t>
        </is>
      </c>
      <c r="O105" s="20" t="inlineStr">
        <is>
          <t>3tEp4x3wJVan8VRrsaiyqnL1AgeUsE251PifaGVFpump</t>
        </is>
      </c>
      <c r="P105" s="20">
        <f>HYPERLINK("https://dexscreener.com/solana/3tEp4x3wJVan8VRrsaiyqnL1AgeUsE251PifaGVFpump", "View")</f>
        <v/>
      </c>
    </row>
    <row r="106">
      <c r="A106" s="15" t="inlineStr">
        <is>
          <t>usag</t>
        </is>
      </c>
      <c r="B106" s="16" t="n">
        <v>188906</v>
      </c>
      <c r="C106" s="16" t="n">
        <v>0</v>
      </c>
      <c r="D106" s="16" t="inlineStr">
        <is>
          <t>0.000060</t>
        </is>
      </c>
      <c r="E106" s="16" t="inlineStr">
        <is>
          <t>0.100 SOL</t>
        </is>
      </c>
      <c r="F106" s="16" t="inlineStr">
        <is>
          <t>0.000 SOL</t>
        </is>
      </c>
      <c r="G106" s="17" t="inlineStr">
        <is>
          <t>-0.100 SOL</t>
        </is>
      </c>
      <c r="H106" s="17" t="inlineStr">
        <is>
          <t>0.00%</t>
        </is>
      </c>
      <c r="I106" s="16" t="inlineStr">
        <is>
          <t>188,906</t>
        </is>
      </c>
      <c r="J106" s="16" t="n">
        <v>1</v>
      </c>
      <c r="K106" s="16" t="n">
        <v>0</v>
      </c>
      <c r="L106" s="16" t="inlineStr">
        <is>
          <t>28.10.2024 02:18:54</t>
        </is>
      </c>
      <c r="M106" s="18" t="inlineStr">
        <is>
          <t>0 sec</t>
        </is>
      </c>
      <c r="N106" s="16" t="inlineStr">
        <is>
          <t xml:space="preserve">         93K            93K             4K</t>
        </is>
      </c>
      <c r="O106" s="16" t="inlineStr">
        <is>
          <t>3DnjL3j5UZmmiUoDMKcN98gSKwkqkm7gSj7APgYzpump</t>
        </is>
      </c>
      <c r="P106" s="16">
        <f>HYPERLINK("https://dexscreener.com/solana/3DnjL3j5UZmmiUoDMKcN98gSKwkqkm7gSj7APgYzpump", "View")</f>
        <v/>
      </c>
    </row>
    <row r="107">
      <c r="A107" s="19" t="inlineStr">
        <is>
          <t>Clifford</t>
        </is>
      </c>
      <c r="B107" s="20" t="n">
        <v>200029</v>
      </c>
      <c r="C107" s="20" t="n">
        <v>100014</v>
      </c>
      <c r="D107" s="20" t="inlineStr">
        <is>
          <t>0.000110</t>
        </is>
      </c>
      <c r="E107" s="20" t="inlineStr">
        <is>
          <t>0.100 SOL</t>
        </is>
      </c>
      <c r="F107" s="20" t="inlineStr">
        <is>
          <t>0.091 SOL</t>
        </is>
      </c>
      <c r="G107" s="21" t="inlineStr">
        <is>
          <t>-0.009 SOL</t>
        </is>
      </c>
      <c r="H107" s="21" t="inlineStr">
        <is>
          <t>-8.86%</t>
        </is>
      </c>
      <c r="I107" s="20" t="inlineStr">
        <is>
          <t>N/A</t>
        </is>
      </c>
      <c r="J107" s="20" t="n">
        <v>1</v>
      </c>
      <c r="K107" s="20" t="n">
        <v>1</v>
      </c>
      <c r="L107" s="20" t="inlineStr">
        <is>
          <t>28.10.2024 02:10:10</t>
        </is>
      </c>
      <c r="M107" s="20" t="inlineStr">
        <is>
          <t>11 min</t>
        </is>
      </c>
      <c r="N107" s="20" t="inlineStr">
        <is>
          <t xml:space="preserve">         88K           160K             4K</t>
        </is>
      </c>
      <c r="O107" s="20" t="inlineStr">
        <is>
          <t>HDmA5XhTeDfkkFA7a9zXwF7bZTk1QooQFzzciuJ4pump</t>
        </is>
      </c>
      <c r="P107" s="20">
        <f>HYPERLINK("https://dexscreener.com/solana/HDmA5XhTeDfkkFA7a9zXwF7bZTk1QooQFzzciuJ4pump", "View")</f>
        <v/>
      </c>
    </row>
    <row r="108">
      <c r="A108" s="15" t="inlineStr">
        <is>
          <t>gigadoge</t>
        </is>
      </c>
      <c r="B108" s="16" t="n">
        <v>662367</v>
      </c>
      <c r="C108" s="16" t="n">
        <v>662367</v>
      </c>
      <c r="D108" s="16" t="inlineStr">
        <is>
          <t>0.000160</t>
        </is>
      </c>
      <c r="E108" s="16" t="inlineStr">
        <is>
          <t>0.500 SOL</t>
        </is>
      </c>
      <c r="F108" s="16" t="inlineStr">
        <is>
          <t>0.094 SOL</t>
        </is>
      </c>
      <c r="G108" s="24" t="inlineStr">
        <is>
          <t>-0.406 SOL</t>
        </is>
      </c>
      <c r="H108" s="24" t="inlineStr">
        <is>
          <t>-81.11%</t>
        </is>
      </c>
      <c r="I108" s="16" t="inlineStr">
        <is>
          <t>N/A</t>
        </is>
      </c>
      <c r="J108" s="16" t="n">
        <v>2</v>
      </c>
      <c r="K108" s="16" t="n">
        <v>1</v>
      </c>
      <c r="L108" s="16" t="inlineStr">
        <is>
          <t>28.10.2024 02:04:46</t>
        </is>
      </c>
      <c r="M108" s="16" t="inlineStr">
        <is>
          <t>1 min</t>
        </is>
      </c>
      <c r="N108" s="16" t="inlineStr">
        <is>
          <t xml:space="preserve">        112K            25K             4K</t>
        </is>
      </c>
      <c r="O108" s="16" t="inlineStr">
        <is>
          <t>3yaZcrCe2SFzjwx66Z8VUXde97DkZPicBXmd8C3zpump</t>
        </is>
      </c>
      <c r="P108" s="16">
        <f>HYPERLINK("https://dexscreener.com/solana/3yaZcrCe2SFzjwx66Z8VUXde97DkZPicBXmd8C3zpump", "View")</f>
        <v/>
      </c>
    </row>
    <row r="109">
      <c r="A109" s="19" t="inlineStr">
        <is>
          <t>WokeAI</t>
        </is>
      </c>
      <c r="B109" s="20" t="n">
        <v>165223</v>
      </c>
      <c r="C109" s="20" t="n">
        <v>0</v>
      </c>
      <c r="D109" s="20" t="inlineStr">
        <is>
          <t>0.000060</t>
        </is>
      </c>
      <c r="E109" s="20" t="inlineStr">
        <is>
          <t>0.100 SOL</t>
        </is>
      </c>
      <c r="F109" s="20" t="inlineStr">
        <is>
          <t>0.000 SOL</t>
        </is>
      </c>
      <c r="G109" s="17" t="inlineStr">
        <is>
          <t>-0.100 SOL</t>
        </is>
      </c>
      <c r="H109" s="17" t="inlineStr">
        <is>
          <t>0.00%</t>
        </is>
      </c>
      <c r="I109" s="20" t="inlineStr">
        <is>
          <t>165,223</t>
        </is>
      </c>
      <c r="J109" s="20" t="n">
        <v>1</v>
      </c>
      <c r="K109" s="20" t="n">
        <v>0</v>
      </c>
      <c r="L109" s="20" t="inlineStr">
        <is>
          <t>28.10.2024 01:14:22</t>
        </is>
      </c>
      <c r="M109" s="18" t="inlineStr">
        <is>
          <t>0 sec</t>
        </is>
      </c>
      <c r="N109" s="20" t="inlineStr">
        <is>
          <t xml:space="preserve">        107K           107K             5K</t>
        </is>
      </c>
      <c r="O109" s="20" t="inlineStr">
        <is>
          <t>3tHs2TJN5cKkLy9fFggqcAm5PxwdXvheEiidrTqopump</t>
        </is>
      </c>
      <c r="P109" s="20">
        <f>HYPERLINK("https://dexscreener.com/solana/3tHs2TJN5cKkLy9fFggqcAm5PxwdXvheEiidrTqopump", "View")</f>
        <v/>
      </c>
    </row>
    <row r="110">
      <c r="A110" s="15" t="inlineStr">
        <is>
          <t>tape</t>
        </is>
      </c>
      <c r="B110" s="16" t="n">
        <v>242473</v>
      </c>
      <c r="C110" s="16" t="n">
        <v>242473</v>
      </c>
      <c r="D110" s="16" t="inlineStr">
        <is>
          <t>0.000110</t>
        </is>
      </c>
      <c r="E110" s="16" t="inlineStr">
        <is>
          <t>0.100 SOL</t>
        </is>
      </c>
      <c r="F110" s="16" t="inlineStr">
        <is>
          <t>0.038 SOL</t>
        </is>
      </c>
      <c r="G110" s="24" t="inlineStr">
        <is>
          <t>-0.062 SOL</t>
        </is>
      </c>
      <c r="H110" s="24" t="inlineStr">
        <is>
          <t>-61.87%</t>
        </is>
      </c>
      <c r="I110" s="16" t="inlineStr">
        <is>
          <t>N/A</t>
        </is>
      </c>
      <c r="J110" s="16" t="n">
        <v>1</v>
      </c>
      <c r="K110" s="16" t="n">
        <v>1</v>
      </c>
      <c r="L110" s="16" t="inlineStr">
        <is>
          <t>28.10.2024 01:01:01</t>
        </is>
      </c>
      <c r="M110" s="16" t="inlineStr">
        <is>
          <t>11 hours</t>
        </is>
      </c>
      <c r="N110" s="16" t="inlineStr">
        <is>
          <t xml:space="preserve">         72K            72K            14K</t>
        </is>
      </c>
      <c r="O110" s="16" t="inlineStr">
        <is>
          <t>86DTwX1M7xt4HnDZNuVUXyMLTsdGKFwuLyLBpTpBpump</t>
        </is>
      </c>
      <c r="P110" s="16">
        <f>HYPERLINK("https://dexscreener.com/solana/86DTwX1M7xt4HnDZNuVUXyMLTsdGKFwuLyLBpTpBpump", "View")</f>
        <v/>
      </c>
    </row>
    <row r="111">
      <c r="A111" s="19" t="inlineStr">
        <is>
          <t>WOKE</t>
        </is>
      </c>
      <c r="B111" s="20" t="n">
        <v>396368</v>
      </c>
      <c r="C111" s="20" t="n">
        <v>396368</v>
      </c>
      <c r="D111" s="20" t="inlineStr">
        <is>
          <t>0.000160</t>
        </is>
      </c>
      <c r="E111" s="20" t="inlineStr">
        <is>
          <t>0.100 SOL</t>
        </is>
      </c>
      <c r="F111" s="20" t="inlineStr">
        <is>
          <t>0.226 SOL</t>
        </is>
      </c>
      <c r="G111" s="23" t="inlineStr">
        <is>
          <t>0.125 SOL</t>
        </is>
      </c>
      <c r="H111" s="23" t="inlineStr">
        <is>
          <t>125.13%</t>
        </is>
      </c>
      <c r="I111" s="20" t="inlineStr">
        <is>
          <t>N/A</t>
        </is>
      </c>
      <c r="J111" s="20" t="n">
        <v>1</v>
      </c>
      <c r="K111" s="20" t="n">
        <v>2</v>
      </c>
      <c r="L111" s="20" t="inlineStr">
        <is>
          <t>28.10.2024 00:58:46</t>
        </is>
      </c>
      <c r="M111" s="20" t="inlineStr">
        <is>
          <t>21 hours</t>
        </is>
      </c>
      <c r="N111" s="20" t="inlineStr">
        <is>
          <t xml:space="preserve">         44K            97K           313K</t>
        </is>
      </c>
      <c r="O111" s="20" t="inlineStr">
        <is>
          <t>BTEjmkqmbBufmQtve8GoYYaTgVauuwgj6jh4JSEXpump</t>
        </is>
      </c>
      <c r="P111" s="20">
        <f>HYPERLINK("https://dexscreener.com/solana/BTEjmkqmbBufmQtve8GoYYaTgVauuwgj6jh4JSEXpump", "View")</f>
        <v/>
      </c>
    </row>
    <row r="112">
      <c r="A112" s="15" t="inlineStr">
        <is>
          <t>drill</t>
        </is>
      </c>
      <c r="B112" s="16" t="n">
        <v>3067315</v>
      </c>
      <c r="C112" s="16" t="n">
        <v>3067315</v>
      </c>
      <c r="D112" s="16" t="inlineStr">
        <is>
          <t>0.000110</t>
        </is>
      </c>
      <c r="E112" s="16" t="inlineStr">
        <is>
          <t>0.104 SOL</t>
        </is>
      </c>
      <c r="F112" s="16" t="inlineStr">
        <is>
          <t>0.084 SOL</t>
        </is>
      </c>
      <c r="G112" s="21" t="inlineStr">
        <is>
          <t>-0.020 SOL</t>
        </is>
      </c>
      <c r="H112" s="21" t="inlineStr">
        <is>
          <t>-19.17%</t>
        </is>
      </c>
      <c r="I112" s="16" t="inlineStr">
        <is>
          <t>N/A</t>
        </is>
      </c>
      <c r="J112" s="16" t="n">
        <v>1</v>
      </c>
      <c r="K112" s="16" t="n">
        <v>1</v>
      </c>
      <c r="L112" s="16" t="inlineStr">
        <is>
          <t>28.10.2024 00:58:29</t>
        </is>
      </c>
      <c r="M112" s="16" t="inlineStr">
        <is>
          <t>10 hours</t>
        </is>
      </c>
      <c r="N112" s="16" t="inlineStr">
        <is>
          <t xml:space="preserve">          5K             5K             5K</t>
        </is>
      </c>
      <c r="O112" s="16" t="inlineStr">
        <is>
          <t>7aWg9byG12eCs7wftnQcjppAA2xAb41fkJyxTyyWpump</t>
        </is>
      </c>
      <c r="P112" s="16">
        <f>HYPERLINK("https://photon-sol.tinyastro.io/en/lp/7aWg9byG12eCs7wftnQcjppAA2xAb41fkJyxTyyWpump?handle=676050794bc1b1657a56b", "View")</f>
        <v/>
      </c>
    </row>
    <row r="113">
      <c r="A113" s="19" t="inlineStr">
        <is>
          <t>confucio</t>
        </is>
      </c>
      <c r="B113" s="20" t="n">
        <v>1888658</v>
      </c>
      <c r="C113" s="20" t="n">
        <v>1888658</v>
      </c>
      <c r="D113" s="20" t="inlineStr">
        <is>
          <t>0.000110</t>
        </is>
      </c>
      <c r="E113" s="20" t="inlineStr">
        <is>
          <t>0.100 SOL</t>
        </is>
      </c>
      <c r="F113" s="20" t="inlineStr">
        <is>
          <t>0.054 SOL</t>
        </is>
      </c>
      <c r="G113" s="21" t="inlineStr">
        <is>
          <t>-0.046 SOL</t>
        </is>
      </c>
      <c r="H113" s="21" t="inlineStr">
        <is>
          <t>-46.20%</t>
        </is>
      </c>
      <c r="I113" s="20" t="inlineStr">
        <is>
          <t>N/A</t>
        </is>
      </c>
      <c r="J113" s="20" t="n">
        <v>1</v>
      </c>
      <c r="K113" s="20" t="n">
        <v>1</v>
      </c>
      <c r="L113" s="20" t="inlineStr">
        <is>
          <t>27.10.2024 23:38:06</t>
        </is>
      </c>
      <c r="M113" s="20" t="inlineStr">
        <is>
          <t>2 min</t>
        </is>
      </c>
      <c r="N113" s="20" t="inlineStr">
        <is>
          <t xml:space="preserve">          9K             5K             3K</t>
        </is>
      </c>
      <c r="O113" s="20" t="inlineStr">
        <is>
          <t>EhG22KykyRwvFist258V14pDiUuW8eBcZjynz7PKpump</t>
        </is>
      </c>
      <c r="P113" s="20">
        <f>HYPERLINK("https://dexscreener.com/solana/EhG22KykyRwvFist258V14pDiUuW8eBcZjynz7PKpump", "View")</f>
        <v/>
      </c>
    </row>
    <row r="114">
      <c r="A114" s="15" t="inlineStr">
        <is>
          <t>$AOS</t>
        </is>
      </c>
      <c r="B114" s="16" t="n">
        <v>225982</v>
      </c>
      <c r="C114" s="16" t="n">
        <v>0</v>
      </c>
      <c r="D114" s="16" t="inlineStr">
        <is>
          <t>0.000060</t>
        </is>
      </c>
      <c r="E114" s="16" t="inlineStr">
        <is>
          <t>0.100 SOL</t>
        </is>
      </c>
      <c r="F114" s="16" t="inlineStr">
        <is>
          <t>0.000 SOL</t>
        </is>
      </c>
      <c r="G114" s="17" t="inlineStr">
        <is>
          <t>-0.100 SOL</t>
        </is>
      </c>
      <c r="H114" s="17" t="inlineStr">
        <is>
          <t>0.00%</t>
        </is>
      </c>
      <c r="I114" s="16" t="inlineStr">
        <is>
          <t>225,982</t>
        </is>
      </c>
      <c r="J114" s="16" t="n">
        <v>1</v>
      </c>
      <c r="K114" s="16" t="n">
        <v>0</v>
      </c>
      <c r="L114" s="16" t="inlineStr">
        <is>
          <t>27.10.2024 23:33:58</t>
        </is>
      </c>
      <c r="M114" s="18" t="inlineStr">
        <is>
          <t>0 sec</t>
        </is>
      </c>
      <c r="N114" s="16" t="inlineStr">
        <is>
          <t xml:space="preserve">         77K            77K             4K</t>
        </is>
      </c>
      <c r="O114" s="16" t="inlineStr">
        <is>
          <t>3yQzngtoYvfzLZg4swkf4degmY8cPpC44fV7taxspump</t>
        </is>
      </c>
      <c r="P114" s="16">
        <f>HYPERLINK("https://dexscreener.com/solana/3yQzngtoYvfzLZg4swkf4degmY8cPpC44fV7taxspump", "View")</f>
        <v/>
      </c>
    </row>
    <row r="115">
      <c r="A115" s="19" t="inlineStr">
        <is>
          <t>stickbug</t>
        </is>
      </c>
      <c r="B115" s="20" t="n">
        <v>505106</v>
      </c>
      <c r="C115" s="20" t="n">
        <v>505106</v>
      </c>
      <c r="D115" s="20" t="inlineStr">
        <is>
          <t>0.000330</t>
        </is>
      </c>
      <c r="E115" s="20" t="inlineStr">
        <is>
          <t>0.300 SOL</t>
        </is>
      </c>
      <c r="F115" s="20" t="inlineStr">
        <is>
          <t>0.545 SOL</t>
        </is>
      </c>
      <c r="G115" s="23" t="inlineStr">
        <is>
          <t>0.245 SOL</t>
        </is>
      </c>
      <c r="H115" s="23" t="inlineStr">
        <is>
          <t>81.52%</t>
        </is>
      </c>
      <c r="I115" s="20" t="inlineStr">
        <is>
          <t>N/A</t>
        </is>
      </c>
      <c r="J115" s="20" t="n">
        <v>2</v>
      </c>
      <c r="K115" s="20" t="n">
        <v>4</v>
      </c>
      <c r="L115" s="20" t="inlineStr">
        <is>
          <t>27.10.2024 23:30:40</t>
        </is>
      </c>
      <c r="M115" s="20" t="inlineStr">
        <is>
          <t>1 days</t>
        </is>
      </c>
      <c r="N115" s="20" t="inlineStr">
        <is>
          <t xml:space="preserve">        137K            51K           146K</t>
        </is>
      </c>
      <c r="O115" s="20" t="inlineStr">
        <is>
          <t>Ehxi6CznHg8VnnqTRdRkiLT7cuniYaVS3f4wK5Dhpump</t>
        </is>
      </c>
      <c r="P115" s="20">
        <f>HYPERLINK("https://dexscreener.com/solana/Ehxi6CznHg8VnnqTRdRkiLT7cuniYaVS3f4wK5Dhpump", "View")</f>
        <v/>
      </c>
    </row>
    <row r="116">
      <c r="A116" s="15" t="inlineStr">
        <is>
          <t>CHALCIS</t>
        </is>
      </c>
      <c r="B116" s="16" t="n">
        <v>419141</v>
      </c>
      <c r="C116" s="16" t="n">
        <v>209571</v>
      </c>
      <c r="D116" s="16" t="inlineStr">
        <is>
          <t>0.000110</t>
        </is>
      </c>
      <c r="E116" s="16" t="inlineStr">
        <is>
          <t>0.100 SOL</t>
        </is>
      </c>
      <c r="F116" s="16" t="inlineStr">
        <is>
          <t>0.106 SOL</t>
        </is>
      </c>
      <c r="G116" s="22" t="inlineStr">
        <is>
          <t>0.006 SOL</t>
        </is>
      </c>
      <c r="H116" s="22" t="inlineStr">
        <is>
          <t>6.32%</t>
        </is>
      </c>
      <c r="I116" s="16" t="inlineStr">
        <is>
          <t>N/A</t>
        </is>
      </c>
      <c r="J116" s="16" t="n">
        <v>1</v>
      </c>
      <c r="K116" s="16" t="n">
        <v>1</v>
      </c>
      <c r="L116" s="16" t="inlineStr">
        <is>
          <t>27.10.2024 16:08:03</t>
        </is>
      </c>
      <c r="M116" s="16" t="inlineStr">
        <is>
          <t>28 min</t>
        </is>
      </c>
      <c r="N116" s="16" t="inlineStr">
        <is>
          <t xml:space="preserve">         42K            42K             5K</t>
        </is>
      </c>
      <c r="O116" s="16" t="inlineStr">
        <is>
          <t>AJLLXE78sr7uYXM1JSFdMMJ8UdxiXutGGqsK6eZ3pump</t>
        </is>
      </c>
      <c r="P116" s="16">
        <f>HYPERLINK("https://dexscreener.com/solana/AJLLXE78sr7uYXM1JSFdMMJ8UdxiXutGGqsK6eZ3pump", "View")</f>
        <v/>
      </c>
    </row>
    <row r="117">
      <c r="A117" s="19" t="inlineStr">
        <is>
          <t>KINKY</t>
        </is>
      </c>
      <c r="B117" s="20" t="n">
        <v>117981</v>
      </c>
      <c r="C117" s="20" t="n">
        <v>0</v>
      </c>
      <c r="D117" s="20" t="inlineStr">
        <is>
          <t>0.000060</t>
        </is>
      </c>
      <c r="E117" s="20" t="inlineStr">
        <is>
          <t>0.100 SOL</t>
        </is>
      </c>
      <c r="F117" s="20" t="inlineStr">
        <is>
          <t>0.000 SOL</t>
        </is>
      </c>
      <c r="G117" s="17" t="inlineStr">
        <is>
          <t>-0.100 SOL</t>
        </is>
      </c>
      <c r="H117" s="17" t="inlineStr">
        <is>
          <t>0.00%</t>
        </is>
      </c>
      <c r="I117" s="20" t="inlineStr">
        <is>
          <t>117,981</t>
        </is>
      </c>
      <c r="J117" s="20" t="n">
        <v>1</v>
      </c>
      <c r="K117" s="20" t="n">
        <v>0</v>
      </c>
      <c r="L117" s="20" t="inlineStr">
        <is>
          <t>27.10.2024 15:23:35</t>
        </is>
      </c>
      <c r="M117" s="18" t="inlineStr">
        <is>
          <t>0 sec</t>
        </is>
      </c>
      <c r="N117" s="20" t="inlineStr">
        <is>
          <t xml:space="preserve">        149K           149K             6K</t>
        </is>
      </c>
      <c r="O117" s="20" t="inlineStr">
        <is>
          <t>DU5g5d5SXRF2VvSw7qAtQTxY7KcYrLnLDCWNUFjHpump</t>
        </is>
      </c>
      <c r="P117" s="20">
        <f>HYPERLINK("https://dexscreener.com/solana/DU5g5d5SXRF2VvSw7qAtQTxY7KcYrLnLDCWNUFjHpump", "View")</f>
        <v/>
      </c>
    </row>
    <row r="118">
      <c r="A118" s="15" t="inlineStr">
        <is>
          <t>PUMPAI</t>
        </is>
      </c>
      <c r="B118" s="16" t="n">
        <v>97921</v>
      </c>
      <c r="C118" s="16" t="n">
        <v>97921</v>
      </c>
      <c r="D118" s="16" t="inlineStr">
        <is>
          <t>0.000160</t>
        </is>
      </c>
      <c r="E118" s="16" t="inlineStr">
        <is>
          <t>0.100 SOL</t>
        </is>
      </c>
      <c r="F118" s="16" t="inlineStr">
        <is>
          <t>0.343 SOL</t>
        </is>
      </c>
      <c r="G118" s="23" t="inlineStr">
        <is>
          <t>0.243 SOL</t>
        </is>
      </c>
      <c r="H118" s="23" t="inlineStr">
        <is>
          <t>242.54%</t>
        </is>
      </c>
      <c r="I118" s="16" t="inlineStr">
        <is>
          <t>N/A</t>
        </is>
      </c>
      <c r="J118" s="16" t="n">
        <v>1</v>
      </c>
      <c r="K118" s="16" t="n">
        <v>2</v>
      </c>
      <c r="L118" s="16" t="inlineStr">
        <is>
          <t>27.10.2024 15:13:12</t>
        </is>
      </c>
      <c r="M118" s="16" t="inlineStr">
        <is>
          <t>12 hours</t>
        </is>
      </c>
      <c r="N118" s="16" t="inlineStr">
        <is>
          <t xml:space="preserve">        179K           499K            32K</t>
        </is>
      </c>
      <c r="O118" s="16" t="inlineStr">
        <is>
          <t>hf8aYwMK2cYv7t4uUhUAqpdwTS3sja2z9RJMQZ2pump</t>
        </is>
      </c>
      <c r="P118" s="16">
        <f>HYPERLINK("https://dexscreener.com/solana/hf8aYwMK2cYv7t4uUhUAqpdwTS3sja2z9RJMQZ2pump", "View")</f>
        <v/>
      </c>
    </row>
    <row r="119">
      <c r="A119" s="19" t="inlineStr">
        <is>
          <t>STEVE</t>
        </is>
      </c>
      <c r="B119" s="20" t="n">
        <v>236618</v>
      </c>
      <c r="C119" s="20" t="n">
        <v>0</v>
      </c>
      <c r="D119" s="20" t="inlineStr">
        <is>
          <t>0.000060</t>
        </is>
      </c>
      <c r="E119" s="20" t="inlineStr">
        <is>
          <t>0.100 SOL</t>
        </is>
      </c>
      <c r="F119" s="20" t="inlineStr">
        <is>
          <t>0.000 SOL</t>
        </is>
      </c>
      <c r="G119" s="17" t="inlineStr">
        <is>
          <t>-0.100 SOL</t>
        </is>
      </c>
      <c r="H119" s="17" t="inlineStr">
        <is>
          <t>0.00%</t>
        </is>
      </c>
      <c r="I119" s="20" t="inlineStr">
        <is>
          <t>236,618</t>
        </is>
      </c>
      <c r="J119" s="20" t="n">
        <v>1</v>
      </c>
      <c r="K119" s="20" t="n">
        <v>0</v>
      </c>
      <c r="L119" s="20" t="inlineStr">
        <is>
          <t>27.10.2024 13:35:13</t>
        </is>
      </c>
      <c r="M119" s="18" t="inlineStr">
        <is>
          <t>0 sec</t>
        </is>
      </c>
      <c r="N119" s="20" t="inlineStr">
        <is>
          <t xml:space="preserve">         74K            74K             3K</t>
        </is>
      </c>
      <c r="O119" s="20" t="inlineStr">
        <is>
          <t>95obaZENTFCTKoK7ntRbtN5sfECDzcnh7m5ZJPjDpump</t>
        </is>
      </c>
      <c r="P119" s="20">
        <f>HYPERLINK("https://dexscreener.com/solana/95obaZENTFCTKoK7ntRbtN5sfECDzcnh7m5ZJPjDpump", "View")</f>
        <v/>
      </c>
    </row>
    <row r="120">
      <c r="A120" s="15" t="inlineStr">
        <is>
          <t>Dalmy</t>
        </is>
      </c>
      <c r="B120" s="16" t="n">
        <v>202255</v>
      </c>
      <c r="C120" s="16" t="n">
        <v>0</v>
      </c>
      <c r="D120" s="16" t="inlineStr">
        <is>
          <t>0.000060</t>
        </is>
      </c>
      <c r="E120" s="16" t="inlineStr">
        <is>
          <t>0.100 SOL</t>
        </is>
      </c>
      <c r="F120" s="16" t="inlineStr">
        <is>
          <t>0.000 SOL</t>
        </is>
      </c>
      <c r="G120" s="17" t="inlineStr">
        <is>
          <t>-0.100 SOL</t>
        </is>
      </c>
      <c r="H120" s="17" t="inlineStr">
        <is>
          <t>0.00%</t>
        </is>
      </c>
      <c r="I120" s="16" t="inlineStr">
        <is>
          <t>202,255</t>
        </is>
      </c>
      <c r="J120" s="16" t="n">
        <v>1</v>
      </c>
      <c r="K120" s="16" t="n">
        <v>0</v>
      </c>
      <c r="L120" s="16" t="inlineStr">
        <is>
          <t>27.10.2024 08:46:53</t>
        </is>
      </c>
      <c r="M120" s="18" t="inlineStr">
        <is>
          <t>0 sec</t>
        </is>
      </c>
      <c r="N120" s="16" t="inlineStr">
        <is>
          <t xml:space="preserve">         86K            86K             3K</t>
        </is>
      </c>
      <c r="O120" s="16" t="inlineStr">
        <is>
          <t>9KK8oX8UZdkdqiuDncVBuBvQYEr314NEhEHzcaKNpump</t>
        </is>
      </c>
      <c r="P120" s="16">
        <f>HYPERLINK("https://dexscreener.com/solana/9KK8oX8UZdkdqiuDncVBuBvQYEr314NEhEHzcaKNpump", "View")</f>
        <v/>
      </c>
    </row>
    <row r="121">
      <c r="A121" s="19" t="inlineStr">
        <is>
          <t>BOBO</t>
        </is>
      </c>
      <c r="B121" s="20" t="n">
        <v>185786</v>
      </c>
      <c r="C121" s="20" t="n">
        <v>0</v>
      </c>
      <c r="D121" s="20" t="inlineStr">
        <is>
          <t>0.000060</t>
        </is>
      </c>
      <c r="E121" s="20" t="inlineStr">
        <is>
          <t>0.100 SOL</t>
        </is>
      </c>
      <c r="F121" s="20" t="inlineStr">
        <is>
          <t>0.000 SOL</t>
        </is>
      </c>
      <c r="G121" s="17" t="inlineStr">
        <is>
          <t>-0.100 SOL</t>
        </is>
      </c>
      <c r="H121" s="17" t="inlineStr">
        <is>
          <t>0.00%</t>
        </is>
      </c>
      <c r="I121" s="20" t="inlineStr">
        <is>
          <t>185,786</t>
        </is>
      </c>
      <c r="J121" s="20" t="n">
        <v>1</v>
      </c>
      <c r="K121" s="20" t="n">
        <v>0</v>
      </c>
      <c r="L121" s="20" t="inlineStr">
        <is>
          <t>27.10.2024 07:49:12</t>
        </is>
      </c>
      <c r="M121" s="18" t="inlineStr">
        <is>
          <t>0 sec</t>
        </is>
      </c>
      <c r="N121" s="20" t="inlineStr">
        <is>
          <t xml:space="preserve">         95K            95K             3K</t>
        </is>
      </c>
      <c r="O121" s="20" t="inlineStr">
        <is>
          <t>CAbxMU9xP68JSnFW6JvRY6uHiQGMhhBNYuPVbbxspump</t>
        </is>
      </c>
      <c r="P121" s="20">
        <f>HYPERLINK("https://dexscreener.com/solana/CAbxMU9xP68JSnFW6JvRY6uHiQGMhhBNYuPVbbxspump", "View")</f>
        <v/>
      </c>
    </row>
    <row r="122">
      <c r="A122" s="15" t="inlineStr">
        <is>
          <t>monalisa</t>
        </is>
      </c>
      <c r="B122" s="16" t="n">
        <v>330583</v>
      </c>
      <c r="C122" s="16" t="n">
        <v>0</v>
      </c>
      <c r="D122" s="16" t="inlineStr">
        <is>
          <t>0.000060</t>
        </is>
      </c>
      <c r="E122" s="16" t="inlineStr">
        <is>
          <t>0.100 SOL</t>
        </is>
      </c>
      <c r="F122" s="16" t="inlineStr">
        <is>
          <t>0.000 SOL</t>
        </is>
      </c>
      <c r="G122" s="17" t="inlineStr">
        <is>
          <t>-0.100 SOL</t>
        </is>
      </c>
      <c r="H122" s="17" t="inlineStr">
        <is>
          <t>0.00%</t>
        </is>
      </c>
      <c r="I122" s="16" t="inlineStr">
        <is>
          <t>330,583</t>
        </is>
      </c>
      <c r="J122" s="16" t="n">
        <v>1</v>
      </c>
      <c r="K122" s="16" t="n">
        <v>0</v>
      </c>
      <c r="L122" s="16" t="inlineStr">
        <is>
          <t>27.10.2024 07:41:04</t>
        </is>
      </c>
      <c r="M122" s="18" t="inlineStr">
        <is>
          <t>0 sec</t>
        </is>
      </c>
      <c r="N122" s="16" t="inlineStr">
        <is>
          <t xml:space="preserve">         53K            53K             4K</t>
        </is>
      </c>
      <c r="O122" s="16" t="inlineStr">
        <is>
          <t>8T9Km5VFPXPjCYp1A28UuUpZsKEHKJ4D2UraTbwXpump</t>
        </is>
      </c>
      <c r="P122" s="16">
        <f>HYPERLINK("https://dexscreener.com/solana/8T9Km5VFPXPjCYp1A28UuUpZsKEHKJ4D2UraTbwXpump", "View")</f>
        <v/>
      </c>
    </row>
    <row r="123">
      <c r="A123" s="19" t="inlineStr">
        <is>
          <t>Edmond</t>
        </is>
      </c>
      <c r="B123" s="20" t="n">
        <v>395347</v>
      </c>
      <c r="C123" s="20" t="n">
        <v>0</v>
      </c>
      <c r="D123" s="20" t="inlineStr">
        <is>
          <t>0.000060</t>
        </is>
      </c>
      <c r="E123" s="20" t="inlineStr">
        <is>
          <t>0.094 SOL</t>
        </is>
      </c>
      <c r="F123" s="20" t="inlineStr">
        <is>
          <t>0.000 SOL</t>
        </is>
      </c>
      <c r="G123" s="17" t="inlineStr">
        <is>
          <t>-0.094 SOL</t>
        </is>
      </c>
      <c r="H123" s="17" t="inlineStr">
        <is>
          <t>0.00%</t>
        </is>
      </c>
      <c r="I123" s="20" t="inlineStr">
        <is>
          <t>395,347</t>
        </is>
      </c>
      <c r="J123" s="20" t="n">
        <v>1</v>
      </c>
      <c r="K123" s="20" t="n">
        <v>0</v>
      </c>
      <c r="L123" s="20" t="inlineStr">
        <is>
          <t>27.10.2024 07:40:22</t>
        </is>
      </c>
      <c r="M123" s="18" t="inlineStr">
        <is>
          <t>0 sec</t>
        </is>
      </c>
      <c r="N123" s="20" t="inlineStr">
        <is>
          <t xml:space="preserve">         42K            42K             3K</t>
        </is>
      </c>
      <c r="O123" s="20" t="inlineStr">
        <is>
          <t>526EzgCsXB2L2Fu5ruyk8A2PDC89o3cTdeL7LFmpump</t>
        </is>
      </c>
      <c r="P123" s="20">
        <f>HYPERLINK("https://photon-sol.tinyastro.io/en/lp/526EzgCsXB2L2Fu5ruyk8A2PDC89o3cTdeL7LFmpump?handle=676050794bc1b1657a56b", "View")</f>
        <v/>
      </c>
    </row>
    <row r="124">
      <c r="A124" s="15" t="inlineStr">
        <is>
          <t>a16z</t>
        </is>
      </c>
      <c r="B124" s="16" t="n">
        <v>338916</v>
      </c>
      <c r="C124" s="16" t="n">
        <v>0</v>
      </c>
      <c r="D124" s="16" t="inlineStr">
        <is>
          <t>0.000060</t>
        </is>
      </c>
      <c r="E124" s="16" t="inlineStr">
        <is>
          <t>0.105 SOL</t>
        </is>
      </c>
      <c r="F124" s="16" t="inlineStr">
        <is>
          <t>0.000 SOL</t>
        </is>
      </c>
      <c r="G124" s="17" t="inlineStr">
        <is>
          <t>-0.105 SOL</t>
        </is>
      </c>
      <c r="H124" s="17" t="inlineStr">
        <is>
          <t>0.00%</t>
        </is>
      </c>
      <c r="I124" s="16" t="inlineStr">
        <is>
          <t>338,916</t>
        </is>
      </c>
      <c r="J124" s="16" t="n">
        <v>1</v>
      </c>
      <c r="K124" s="16" t="n">
        <v>0</v>
      </c>
      <c r="L124" s="16" t="inlineStr">
        <is>
          <t>27.10.2024 03:02:58</t>
        </is>
      </c>
      <c r="M124" s="18" t="inlineStr">
        <is>
          <t>0 sec</t>
        </is>
      </c>
      <c r="N124" s="16" t="inlineStr">
        <is>
          <t xml:space="preserve">         54K            54K             5K</t>
        </is>
      </c>
      <c r="O124" s="16" t="inlineStr">
        <is>
          <t>2eifyf1ogN7QbUT2j7MEujtbQr3CstiiRZvnc4vrKXGs</t>
        </is>
      </c>
      <c r="P124" s="16">
        <f>HYPERLINK("https://photon-sol.tinyastro.io/en/lp/2eifyf1ogN7QbUT2j7MEujtbQr3CstiiRZvnc4vrKXGs?handle=676050794bc1b1657a56b", "View")</f>
        <v/>
      </c>
    </row>
    <row r="125">
      <c r="A125" s="19" t="inlineStr">
        <is>
          <t>LEGO</t>
        </is>
      </c>
      <c r="B125" s="20" t="n">
        <v>298767</v>
      </c>
      <c r="C125" s="20" t="n">
        <v>0</v>
      </c>
      <c r="D125" s="20" t="inlineStr">
        <is>
          <t>0.000060</t>
        </is>
      </c>
      <c r="E125" s="20" t="inlineStr">
        <is>
          <t>0.100 SOL</t>
        </is>
      </c>
      <c r="F125" s="20" t="inlineStr">
        <is>
          <t>0.000 SOL</t>
        </is>
      </c>
      <c r="G125" s="17" t="inlineStr">
        <is>
          <t>-0.100 SOL</t>
        </is>
      </c>
      <c r="H125" s="17" t="inlineStr">
        <is>
          <t>0.00%</t>
        </is>
      </c>
      <c r="I125" s="20" t="inlineStr">
        <is>
          <t>298,767</t>
        </is>
      </c>
      <c r="J125" s="20" t="n">
        <v>1</v>
      </c>
      <c r="K125" s="20" t="n">
        <v>0</v>
      </c>
      <c r="L125" s="20" t="inlineStr">
        <is>
          <t>27.10.2024 02:55:12</t>
        </is>
      </c>
      <c r="M125" s="18" t="inlineStr">
        <is>
          <t>0 sec</t>
        </is>
      </c>
      <c r="N125" s="20" t="inlineStr">
        <is>
          <t xml:space="preserve">         58K            58K             4K</t>
        </is>
      </c>
      <c r="O125" s="20" t="inlineStr">
        <is>
          <t>EVJ4pJufCyfC5SLTGry6kRN9TzRxmWq2s955Hzpzpump</t>
        </is>
      </c>
      <c r="P125" s="20">
        <f>HYPERLINK("https://dexscreener.com/solana/EVJ4pJufCyfC5SLTGry6kRN9TzRxmWq2s955Hzpzpump", "View")</f>
        <v/>
      </c>
    </row>
    <row r="126">
      <c r="A126" s="15" t="inlineStr">
        <is>
          <t>Exocortex</t>
        </is>
      </c>
      <c r="B126" s="16" t="n">
        <v>36510</v>
      </c>
      <c r="C126" s="16" t="n">
        <v>0</v>
      </c>
      <c r="D126" s="16" t="inlineStr">
        <is>
          <t>0.000060</t>
        </is>
      </c>
      <c r="E126" s="16" t="inlineStr">
        <is>
          <t>0.100 SOL</t>
        </is>
      </c>
      <c r="F126" s="16" t="inlineStr">
        <is>
          <t>0.000 SOL</t>
        </is>
      </c>
      <c r="G126" s="17" t="inlineStr">
        <is>
          <t>-0.100 SOL</t>
        </is>
      </c>
      <c r="H126" s="17" t="inlineStr">
        <is>
          <t>0.00%</t>
        </is>
      </c>
      <c r="I126" s="16" t="inlineStr">
        <is>
          <t>36,510</t>
        </is>
      </c>
      <c r="J126" s="16" t="n">
        <v>1</v>
      </c>
      <c r="K126" s="16" t="n">
        <v>0</v>
      </c>
      <c r="L126" s="16" t="inlineStr">
        <is>
          <t>27.10.2024 01:52:23</t>
        </is>
      </c>
      <c r="M126" s="18" t="inlineStr">
        <is>
          <t>0 sec</t>
        </is>
      </c>
      <c r="N126" s="16" t="inlineStr">
        <is>
          <t xml:space="preserve">        481K           481K             9K</t>
        </is>
      </c>
      <c r="O126" s="16" t="inlineStr">
        <is>
          <t>8afnLWPRCjvNfPPT8jP3R9DMiwE89pizGVtRw36Apump</t>
        </is>
      </c>
      <c r="P126" s="16">
        <f>HYPERLINK("https://dexscreener.com/solana/8afnLWPRCjvNfPPT8jP3R9DMiwE89pizGVtRw36Apump", "View")</f>
        <v/>
      </c>
    </row>
    <row r="127">
      <c r="A127" s="19" t="inlineStr">
        <is>
          <t>SOLANO</t>
        </is>
      </c>
      <c r="B127" s="20" t="n">
        <v>1537182</v>
      </c>
      <c r="C127" s="20" t="n">
        <v>0</v>
      </c>
      <c r="D127" s="20" t="inlineStr">
        <is>
          <t>0.000060</t>
        </is>
      </c>
      <c r="E127" s="20" t="inlineStr">
        <is>
          <t>0.104 SOL</t>
        </is>
      </c>
      <c r="F127" s="20" t="inlineStr">
        <is>
          <t>0.000 SOL</t>
        </is>
      </c>
      <c r="G127" s="17" t="inlineStr">
        <is>
          <t>-0.104 SOL</t>
        </is>
      </c>
      <c r="H127" s="17" t="inlineStr">
        <is>
          <t>0.00%</t>
        </is>
      </c>
      <c r="I127" s="20" t="inlineStr">
        <is>
          <t>1,537,182</t>
        </is>
      </c>
      <c r="J127" s="20" t="n">
        <v>1</v>
      </c>
      <c r="K127" s="20" t="n">
        <v>0</v>
      </c>
      <c r="L127" s="20" t="inlineStr">
        <is>
          <t>27.10.2024 01:44:33</t>
        </is>
      </c>
      <c r="M127" s="18" t="inlineStr">
        <is>
          <t>0 sec</t>
        </is>
      </c>
      <c r="N127" s="20" t="inlineStr">
        <is>
          <t xml:space="preserve">         12K            12K             5K</t>
        </is>
      </c>
      <c r="O127" s="20" t="inlineStr">
        <is>
          <t>AfwwNNsrDKMxujntsvaKG6XoWpz5gqiE2YXXM4Gpump</t>
        </is>
      </c>
      <c r="P127" s="20">
        <f>HYPERLINK("https://photon-sol.tinyastro.io/en/lp/AfwwNNsrDKMxujntsvaKG6XoWpz5gqiE2YXXM4Gpump?handle=676050794bc1b1657a56b", "View")</f>
        <v/>
      </c>
    </row>
    <row r="128">
      <c r="A128" s="15" t="inlineStr">
        <is>
          <t>PHEI</t>
        </is>
      </c>
      <c r="B128" s="16" t="n">
        <v>197701</v>
      </c>
      <c r="C128" s="16" t="n">
        <v>98850</v>
      </c>
      <c r="D128" s="16" t="inlineStr">
        <is>
          <t>0.000110</t>
        </is>
      </c>
      <c r="E128" s="16" t="inlineStr">
        <is>
          <t>0.100 SOL</t>
        </is>
      </c>
      <c r="F128" s="16" t="inlineStr">
        <is>
          <t>0.089 SOL</t>
        </is>
      </c>
      <c r="G128" s="21" t="inlineStr">
        <is>
          <t>-0.011 SOL</t>
        </is>
      </c>
      <c r="H128" s="21" t="inlineStr">
        <is>
          <t>-11.01%</t>
        </is>
      </c>
      <c r="I128" s="16" t="inlineStr">
        <is>
          <t>N/A</t>
        </is>
      </c>
      <c r="J128" s="16" t="n">
        <v>1</v>
      </c>
      <c r="K128" s="16" t="n">
        <v>1</v>
      </c>
      <c r="L128" s="16" t="inlineStr">
        <is>
          <t>27.10.2024 01:43:48</t>
        </is>
      </c>
      <c r="M128" s="16" t="inlineStr">
        <is>
          <t>15 min</t>
        </is>
      </c>
      <c r="N128" s="16" t="inlineStr">
        <is>
          <t xml:space="preserve">         90K           158K             4K</t>
        </is>
      </c>
      <c r="O128" s="16" t="inlineStr">
        <is>
          <t>95uzY9RSBZHwexTcLXrf9DZNao2JUVxakWWhpUxGpump</t>
        </is>
      </c>
      <c r="P128" s="16">
        <f>HYPERLINK("https://dexscreener.com/solana/95uzY9RSBZHwexTcLXrf9DZNao2JUVxakWWhpUxGpump", "View")</f>
        <v/>
      </c>
    </row>
    <row r="129">
      <c r="A129" s="19" t="inlineStr">
        <is>
          <t>ERROR</t>
        </is>
      </c>
      <c r="B129" s="20" t="n">
        <v>2214265</v>
      </c>
      <c r="C129" s="20" t="n">
        <v>2214265</v>
      </c>
      <c r="D129" s="20" t="inlineStr">
        <is>
          <t>0.000160</t>
        </is>
      </c>
      <c r="E129" s="20" t="inlineStr">
        <is>
          <t>0.200 SOL</t>
        </is>
      </c>
      <c r="F129" s="20" t="inlineStr">
        <is>
          <t>0.051 SOL</t>
        </is>
      </c>
      <c r="G129" s="24" t="inlineStr">
        <is>
          <t>-0.149 SOL</t>
        </is>
      </c>
      <c r="H129" s="24" t="inlineStr">
        <is>
          <t>-74.33%</t>
        </is>
      </c>
      <c r="I129" s="20" t="inlineStr">
        <is>
          <t>N/A</t>
        </is>
      </c>
      <c r="J129" s="20" t="n">
        <v>2</v>
      </c>
      <c r="K129" s="20" t="n">
        <v>1</v>
      </c>
      <c r="L129" s="20" t="inlineStr">
        <is>
          <t>27.10.2024 01:12:54</t>
        </is>
      </c>
      <c r="M129" s="20" t="inlineStr">
        <is>
          <t>11 hours</t>
        </is>
      </c>
      <c r="N129" s="20" t="inlineStr">
        <is>
          <t xml:space="preserve">         14K            14K             4K</t>
        </is>
      </c>
      <c r="O129" s="20" t="inlineStr">
        <is>
          <t>4Cr1JQHduEPaVN9qE9PiErfNaqwZjLyg3QmegBLGpump</t>
        </is>
      </c>
      <c r="P129" s="20">
        <f>HYPERLINK("https://dexscreener.com/solana/4Cr1JQHduEPaVN9qE9PiErfNaqwZjLyg3QmegBLGpump", "View")</f>
        <v/>
      </c>
    </row>
    <row r="130">
      <c r="A130" s="15" t="inlineStr">
        <is>
          <t>Dan</t>
        </is>
      </c>
      <c r="B130" s="16" t="n">
        <v>438214</v>
      </c>
      <c r="C130" s="16" t="n">
        <v>0</v>
      </c>
      <c r="D130" s="16" t="inlineStr">
        <is>
          <t>0.000060</t>
        </is>
      </c>
      <c r="E130" s="16" t="inlineStr">
        <is>
          <t>0.104 SOL</t>
        </is>
      </c>
      <c r="F130" s="16" t="inlineStr">
        <is>
          <t>0.000 SOL</t>
        </is>
      </c>
      <c r="G130" s="17" t="inlineStr">
        <is>
          <t>-0.104 SOL</t>
        </is>
      </c>
      <c r="H130" s="17" t="inlineStr">
        <is>
          <t>0.00%</t>
        </is>
      </c>
      <c r="I130" s="16" t="inlineStr">
        <is>
          <t>438,214</t>
        </is>
      </c>
      <c r="J130" s="16" t="n">
        <v>1</v>
      </c>
      <c r="K130" s="16" t="n">
        <v>0</v>
      </c>
      <c r="L130" s="16" t="inlineStr">
        <is>
          <t>26.10.2024 14:50:14</t>
        </is>
      </c>
      <c r="M130" s="18" t="inlineStr">
        <is>
          <t>0 sec</t>
        </is>
      </c>
      <c r="N130" s="16" t="inlineStr">
        <is>
          <t xml:space="preserve">         42K            42K             7K</t>
        </is>
      </c>
      <c r="O130" s="16" t="inlineStr">
        <is>
          <t>HE99z2j6EDKzMnscbxbYdipiWQyRDkx8kyDcpWKSUWSm</t>
        </is>
      </c>
      <c r="P130" s="16">
        <f>HYPERLINK("https://photon-sol.tinyastro.io/en/lp/HE99z2j6EDKzMnscbxbYdipiWQyRDkx8kyDcpWKSUWSm?handle=676050794bc1b1657a56b", "View")</f>
        <v/>
      </c>
    </row>
    <row r="131">
      <c r="A131" s="19" t="inlineStr">
        <is>
          <t>Pan</t>
        </is>
      </c>
      <c r="B131" s="20" t="n">
        <v>95454</v>
      </c>
      <c r="C131" s="20" t="n">
        <v>0</v>
      </c>
      <c r="D131" s="20" t="inlineStr">
        <is>
          <t>0.000060</t>
        </is>
      </c>
      <c r="E131" s="20" t="inlineStr">
        <is>
          <t>0.100 SOL</t>
        </is>
      </c>
      <c r="F131" s="20" t="inlineStr">
        <is>
          <t>0.000 SOL</t>
        </is>
      </c>
      <c r="G131" s="17" t="inlineStr">
        <is>
          <t>-0.100 SOL</t>
        </is>
      </c>
      <c r="H131" s="17" t="inlineStr">
        <is>
          <t>0.00%</t>
        </is>
      </c>
      <c r="I131" s="20" t="inlineStr">
        <is>
          <t>95,454</t>
        </is>
      </c>
      <c r="J131" s="20" t="n">
        <v>1</v>
      </c>
      <c r="K131" s="20" t="n">
        <v>0</v>
      </c>
      <c r="L131" s="20" t="inlineStr">
        <is>
          <t>26.10.2024 14:44:16</t>
        </is>
      </c>
      <c r="M131" s="18" t="inlineStr">
        <is>
          <t>0 sec</t>
        </is>
      </c>
      <c r="N131" s="20" t="inlineStr">
        <is>
          <t xml:space="preserve">        184K           184K            14K</t>
        </is>
      </c>
      <c r="O131" s="20" t="inlineStr">
        <is>
          <t>9JLsnxCqZju5ymLhMkTW6acnUxgrARqz5NAR7Acdpump</t>
        </is>
      </c>
      <c r="P131" s="20">
        <f>HYPERLINK("https://dexscreener.com/solana/9JLsnxCqZju5ymLhMkTW6acnUxgrARqz5NAR7Acdpump", "View")</f>
        <v/>
      </c>
    </row>
    <row r="132">
      <c r="A132" s="15" t="inlineStr">
        <is>
          <t>Van</t>
        </is>
      </c>
      <c r="B132" s="16" t="n">
        <v>113278</v>
      </c>
      <c r="C132" s="16" t="n">
        <v>0</v>
      </c>
      <c r="D132" s="16" t="inlineStr">
        <is>
          <t>0.000060</t>
        </is>
      </c>
      <c r="E132" s="16" t="inlineStr">
        <is>
          <t>0.100 SOL</t>
        </is>
      </c>
      <c r="F132" s="16" t="inlineStr">
        <is>
          <t>0.000 SOL</t>
        </is>
      </c>
      <c r="G132" s="17" t="inlineStr">
        <is>
          <t>-0.100 SOL</t>
        </is>
      </c>
      <c r="H132" s="17" t="inlineStr">
        <is>
          <t>0.00%</t>
        </is>
      </c>
      <c r="I132" s="16" t="inlineStr">
        <is>
          <t>113,278</t>
        </is>
      </c>
      <c r="J132" s="16" t="n">
        <v>1</v>
      </c>
      <c r="K132" s="16" t="n">
        <v>0</v>
      </c>
      <c r="L132" s="16" t="inlineStr">
        <is>
          <t>26.10.2024 14:28:21</t>
        </is>
      </c>
      <c r="M132" s="18" t="inlineStr">
        <is>
          <t>0 sec</t>
        </is>
      </c>
      <c r="N132" s="16" t="inlineStr">
        <is>
          <t xml:space="preserve">        155K           155K            20K</t>
        </is>
      </c>
      <c r="O132" s="16" t="inlineStr">
        <is>
          <t>3kq81R8jQ2njDUB5sX46WPDmamgJbNUfZf2h1DsYpump</t>
        </is>
      </c>
      <c r="P132" s="16">
        <f>HYPERLINK("https://dexscreener.com/solana/3kq81R8jQ2njDUB5sX46WPDmamgJbNUfZf2h1DsYpump", "View")</f>
        <v/>
      </c>
    </row>
    <row r="133">
      <c r="A133" s="19" t="inlineStr">
        <is>
          <t>Comedian</t>
        </is>
      </c>
      <c r="B133" s="20" t="n">
        <v>139942</v>
      </c>
      <c r="C133" s="20" t="n">
        <v>0</v>
      </c>
      <c r="D133" s="20" t="inlineStr">
        <is>
          <t>0.000060</t>
        </is>
      </c>
      <c r="E133" s="20" t="inlineStr">
        <is>
          <t>0.100 SOL</t>
        </is>
      </c>
      <c r="F133" s="20" t="inlineStr">
        <is>
          <t>0.000 SOL</t>
        </is>
      </c>
      <c r="G133" s="17" t="inlineStr">
        <is>
          <t>-0.100 SOL</t>
        </is>
      </c>
      <c r="H133" s="17" t="inlineStr">
        <is>
          <t>0.00%</t>
        </is>
      </c>
      <c r="I133" s="20" t="inlineStr">
        <is>
          <t>139,942</t>
        </is>
      </c>
      <c r="J133" s="20" t="n">
        <v>1</v>
      </c>
      <c r="K133" s="20" t="n">
        <v>0</v>
      </c>
      <c r="L133" s="20" t="inlineStr">
        <is>
          <t>26.10.2024 14:25:59</t>
        </is>
      </c>
      <c r="M133" s="18" t="inlineStr">
        <is>
          <t>0 sec</t>
        </is>
      </c>
      <c r="N133" s="20" t="inlineStr">
        <is>
          <t xml:space="preserve">        125K           125K            15K</t>
        </is>
      </c>
      <c r="O133" s="20" t="inlineStr">
        <is>
          <t>BpqXJMguKsS8azKaVy4tZ4Ysm2e2f2zygZKHx8VKGKBA</t>
        </is>
      </c>
      <c r="P133" s="20">
        <f>HYPERLINK("https://dexscreener.com/solana/BpqXJMguKsS8azKaVy4tZ4Ysm2e2f2zygZKHx8VKGKBA", "View")</f>
        <v/>
      </c>
    </row>
    <row r="134">
      <c r="A134" s="15" t="inlineStr">
        <is>
          <t>ELEGANS</t>
        </is>
      </c>
      <c r="B134" s="16" t="n">
        <v>190131</v>
      </c>
      <c r="C134" s="16" t="n">
        <v>0</v>
      </c>
      <c r="D134" s="16" t="inlineStr">
        <is>
          <t>0.000060</t>
        </is>
      </c>
      <c r="E134" s="16" t="inlineStr">
        <is>
          <t>0.100 SOL</t>
        </is>
      </c>
      <c r="F134" s="16" t="inlineStr">
        <is>
          <t>0.000 SOL</t>
        </is>
      </c>
      <c r="G134" s="17" t="inlineStr">
        <is>
          <t>-0.100 SOL</t>
        </is>
      </c>
      <c r="H134" s="17" t="inlineStr">
        <is>
          <t>0.00%</t>
        </is>
      </c>
      <c r="I134" s="16" t="inlineStr">
        <is>
          <t>190,131</t>
        </is>
      </c>
      <c r="J134" s="16" t="n">
        <v>1</v>
      </c>
      <c r="K134" s="16" t="n">
        <v>0</v>
      </c>
      <c r="L134" s="16" t="inlineStr">
        <is>
          <t>26.10.2024 14:05:01</t>
        </is>
      </c>
      <c r="M134" s="18" t="inlineStr">
        <is>
          <t>0 sec</t>
        </is>
      </c>
      <c r="N134" s="16" t="inlineStr">
        <is>
          <t xml:space="preserve">         79K            79K             5K</t>
        </is>
      </c>
      <c r="O134" s="16" t="inlineStr">
        <is>
          <t>FaK5G1HPUDxs5guJoQnfDa64R3EMwTJ6qAByoymbpump</t>
        </is>
      </c>
      <c r="P134" s="16">
        <f>HYPERLINK("https://dexscreener.com/solana/FaK5G1HPUDxs5guJoQnfDa64R3EMwTJ6qAByoymbpump", "View")</f>
        <v/>
      </c>
    </row>
    <row r="135">
      <c r="A135" s="19" t="inlineStr">
        <is>
          <t>KTVGIRL</t>
        </is>
      </c>
      <c r="B135" s="20" t="n">
        <v>236726</v>
      </c>
      <c r="C135" s="20" t="n">
        <v>0</v>
      </c>
      <c r="D135" s="20" t="inlineStr">
        <is>
          <t>0.000060</t>
        </is>
      </c>
      <c r="E135" s="20" t="inlineStr">
        <is>
          <t>0.100 SOL</t>
        </is>
      </c>
      <c r="F135" s="20" t="inlineStr">
        <is>
          <t>0.000 SOL</t>
        </is>
      </c>
      <c r="G135" s="17" t="inlineStr">
        <is>
          <t>-0.100 SOL</t>
        </is>
      </c>
      <c r="H135" s="17" t="inlineStr">
        <is>
          <t>0.00%</t>
        </is>
      </c>
      <c r="I135" s="20" t="inlineStr">
        <is>
          <t>236,726</t>
        </is>
      </c>
      <c r="J135" s="20" t="n">
        <v>1</v>
      </c>
      <c r="K135" s="20" t="n">
        <v>0</v>
      </c>
      <c r="L135" s="20" t="inlineStr">
        <is>
          <t>26.10.2024 14:00:15</t>
        </is>
      </c>
      <c r="M135" s="18" t="inlineStr">
        <is>
          <t>0 sec</t>
        </is>
      </c>
      <c r="N135" s="20" t="inlineStr">
        <is>
          <t xml:space="preserve">         74K            74K             3K</t>
        </is>
      </c>
      <c r="O135" s="20" t="inlineStr">
        <is>
          <t>4XudNQkZ6TkE6qwT1z9pZUfUCMw9xPrZZVDWmfntpump</t>
        </is>
      </c>
      <c r="P135" s="20">
        <f>HYPERLINK("https://dexscreener.com/solana/4XudNQkZ6TkE6qwT1z9pZUfUCMw9xPrZZVDWmfntpump", "View")</f>
        <v/>
      </c>
    </row>
    <row r="136">
      <c r="A136" s="15" t="inlineStr">
        <is>
          <t>FATCOIN</t>
        </is>
      </c>
      <c r="B136" s="16" t="n">
        <v>171088</v>
      </c>
      <c r="C136" s="16" t="n">
        <v>0</v>
      </c>
      <c r="D136" s="16" t="inlineStr">
        <is>
          <t>0.000060</t>
        </is>
      </c>
      <c r="E136" s="16" t="inlineStr">
        <is>
          <t>0.100 SOL</t>
        </is>
      </c>
      <c r="F136" s="16" t="inlineStr">
        <is>
          <t>0.000 SOL</t>
        </is>
      </c>
      <c r="G136" s="17" t="inlineStr">
        <is>
          <t>-0.100 SOL</t>
        </is>
      </c>
      <c r="H136" s="17" t="inlineStr">
        <is>
          <t>0.00%</t>
        </is>
      </c>
      <c r="I136" s="16" t="inlineStr">
        <is>
          <t>171,088</t>
        </is>
      </c>
      <c r="J136" s="16" t="n">
        <v>1</v>
      </c>
      <c r="K136" s="16" t="n">
        <v>0</v>
      </c>
      <c r="L136" s="16" t="inlineStr">
        <is>
          <t>26.10.2024 13:54:51</t>
        </is>
      </c>
      <c r="M136" s="18" t="inlineStr">
        <is>
          <t>0 sec</t>
        </is>
      </c>
      <c r="N136" s="16" t="inlineStr">
        <is>
          <t xml:space="preserve">        102K           102K             4K</t>
        </is>
      </c>
      <c r="O136" s="16" t="inlineStr">
        <is>
          <t>2ZmaFdN4ZiHCE2S7MrxmftJpCWK3qKL3FQyPjXcWpump</t>
        </is>
      </c>
      <c r="P136" s="16">
        <f>HYPERLINK("https://dexscreener.com/solana/2ZmaFdN4ZiHCE2S7MrxmftJpCWK3qKL3FQyPjXcWpump", "View")</f>
        <v/>
      </c>
    </row>
    <row r="137">
      <c r="A137" s="19" t="inlineStr">
        <is>
          <t>KYUUJA</t>
        </is>
      </c>
      <c r="B137" s="20" t="n">
        <v>478565</v>
      </c>
      <c r="C137" s="20" t="n">
        <v>239283</v>
      </c>
      <c r="D137" s="20" t="inlineStr">
        <is>
          <t>0.000110</t>
        </is>
      </c>
      <c r="E137" s="20" t="inlineStr">
        <is>
          <t>0.150 SOL</t>
        </is>
      </c>
      <c r="F137" s="20" t="inlineStr">
        <is>
          <t>0.070 SOL</t>
        </is>
      </c>
      <c r="G137" s="24" t="inlineStr">
        <is>
          <t>-0.080 SOL</t>
        </is>
      </c>
      <c r="H137" s="24" t="inlineStr">
        <is>
          <t>-53.30%</t>
        </is>
      </c>
      <c r="I137" s="20" t="inlineStr">
        <is>
          <t>N/A</t>
        </is>
      </c>
      <c r="J137" s="20" t="n">
        <v>1</v>
      </c>
      <c r="K137" s="20" t="n">
        <v>1</v>
      </c>
      <c r="L137" s="20" t="inlineStr">
        <is>
          <t>26.10.2024 04:51:15</t>
        </is>
      </c>
      <c r="M137" s="20" t="inlineStr">
        <is>
          <t>1 min</t>
        </is>
      </c>
      <c r="N137" s="20" t="inlineStr">
        <is>
          <t xml:space="preserve">         54K            51K            13K</t>
        </is>
      </c>
      <c r="O137" s="20" t="inlineStr">
        <is>
          <t>6BbsRCdCSN5ta2MaFmfuzsbu7FKrNHTvT656Bntzpump</t>
        </is>
      </c>
      <c r="P137" s="20">
        <f>HYPERLINK("https://dexscreener.com/solana/6BbsRCdCSN5ta2MaFmfuzsbu7FKrNHTvT656Bntzpump", "View")</f>
        <v/>
      </c>
    </row>
    <row r="138">
      <c r="A138" s="15" t="inlineStr">
        <is>
          <t>BOD</t>
        </is>
      </c>
      <c r="B138" s="16" t="n">
        <v>328745</v>
      </c>
      <c r="C138" s="16" t="n">
        <v>328745</v>
      </c>
      <c r="D138" s="16" t="inlineStr">
        <is>
          <t>0.000160</t>
        </is>
      </c>
      <c r="E138" s="16" t="inlineStr">
        <is>
          <t>0.150 SOL</t>
        </is>
      </c>
      <c r="F138" s="16" t="inlineStr">
        <is>
          <t>0.829 SOL</t>
        </is>
      </c>
      <c r="G138" s="23" t="inlineStr">
        <is>
          <t>0.679 SOL</t>
        </is>
      </c>
      <c r="H138" s="23" t="inlineStr">
        <is>
          <t>452.35%</t>
        </is>
      </c>
      <c r="I138" s="16" t="inlineStr">
        <is>
          <t>N/A</t>
        </is>
      </c>
      <c r="J138" s="16" t="n">
        <v>1</v>
      </c>
      <c r="K138" s="16" t="n">
        <v>2</v>
      </c>
      <c r="L138" s="16" t="inlineStr">
        <is>
          <t>26.10.2024 04:38:36</t>
        </is>
      </c>
      <c r="M138" s="16" t="inlineStr">
        <is>
          <t>1 hours</t>
        </is>
      </c>
      <c r="N138" s="16" t="inlineStr">
        <is>
          <t xml:space="preserve">         81K           643K             6K</t>
        </is>
      </c>
      <c r="O138" s="16" t="inlineStr">
        <is>
          <t>De46TR1cNTF5D4GxVHMQkTnmZ6oUXHyXkxqWvUdwpump</t>
        </is>
      </c>
      <c r="P138" s="16">
        <f>HYPERLINK("https://dexscreener.com/solana/De46TR1cNTF5D4GxVHMQkTnmZ6oUXHyXkxqWvUdwpump", "View")</f>
        <v/>
      </c>
    </row>
    <row r="139">
      <c r="A139" s="19" t="inlineStr">
        <is>
          <t>DOLPH</t>
        </is>
      </c>
      <c r="B139" s="20" t="n">
        <v>109918</v>
      </c>
      <c r="C139" s="20" t="n">
        <v>109918</v>
      </c>
      <c r="D139" s="20" t="inlineStr">
        <is>
          <t>0.000220</t>
        </is>
      </c>
      <c r="E139" s="20" t="inlineStr">
        <is>
          <t>0.200 SOL</t>
        </is>
      </c>
      <c r="F139" s="20" t="inlineStr">
        <is>
          <t>0.261 SOL</t>
        </is>
      </c>
      <c r="G139" s="22" t="inlineStr">
        <is>
          <t>0.061 SOL</t>
        </is>
      </c>
      <c r="H139" s="22" t="inlineStr">
        <is>
          <t>30.59%</t>
        </is>
      </c>
      <c r="I139" s="20" t="inlineStr">
        <is>
          <t>N/A</t>
        </is>
      </c>
      <c r="J139" s="20" t="n">
        <v>1</v>
      </c>
      <c r="K139" s="20" t="n">
        <v>3</v>
      </c>
      <c r="L139" s="20" t="inlineStr">
        <is>
          <t>26.10.2024 04:34:12</t>
        </is>
      </c>
      <c r="M139" s="20" t="inlineStr">
        <is>
          <t>1 hours</t>
        </is>
      </c>
      <c r="N139" s="20" t="inlineStr">
        <is>
          <t xml:space="preserve">        319K           541K             7K</t>
        </is>
      </c>
      <c r="O139" s="20" t="inlineStr">
        <is>
          <t>BJowxCMNHdXzchdKJaVWHUrQAZekpWMqUUgMMHqopump</t>
        </is>
      </c>
      <c r="P139" s="20">
        <f>HYPERLINK("https://dexscreener.com/solana/BJowxCMNHdXzchdKJaVWHUrQAZekpWMqUUgMMHqopump", "View")</f>
        <v/>
      </c>
    </row>
    <row r="140">
      <c r="A140" s="15" t="inlineStr">
        <is>
          <t>gerber</t>
        </is>
      </c>
      <c r="B140" s="16" t="n">
        <v>280481</v>
      </c>
      <c r="C140" s="16" t="n">
        <v>140241</v>
      </c>
      <c r="D140" s="16" t="inlineStr">
        <is>
          <t>0.000110</t>
        </is>
      </c>
      <c r="E140" s="16" t="inlineStr">
        <is>
          <t>0.100 SOL</t>
        </is>
      </c>
      <c r="F140" s="16" t="inlineStr">
        <is>
          <t>0.097 SOL</t>
        </is>
      </c>
      <c r="G140" s="21" t="inlineStr">
        <is>
          <t>-0.003 SOL</t>
        </is>
      </c>
      <c r="H140" s="21" t="inlineStr">
        <is>
          <t>-3.46%</t>
        </is>
      </c>
      <c r="I140" s="16" t="inlineStr">
        <is>
          <t>N/A</t>
        </is>
      </c>
      <c r="J140" s="16" t="n">
        <v>1</v>
      </c>
      <c r="K140" s="16" t="n">
        <v>1</v>
      </c>
      <c r="L140" s="16" t="inlineStr">
        <is>
          <t>26.10.2024 04:24:59</t>
        </is>
      </c>
      <c r="M140" s="16" t="inlineStr">
        <is>
          <t>10 min</t>
        </is>
      </c>
      <c r="N140" s="16" t="inlineStr">
        <is>
          <t xml:space="preserve">         63K           121K             5K</t>
        </is>
      </c>
      <c r="O140" s="16" t="inlineStr">
        <is>
          <t>BhPngtgrDBdpmZrjfKBtcmQSP4RBmhzA1pAyUe3Kpump</t>
        </is>
      </c>
      <c r="P140" s="16">
        <f>HYPERLINK("https://dexscreener.com/solana/BhPngtgrDBdpmZrjfKBtcmQSP4RBmhzA1pAyUe3Kpump", "View")</f>
        <v/>
      </c>
    </row>
    <row r="141">
      <c r="A141" s="19" t="inlineStr">
        <is>
          <t>PS5</t>
        </is>
      </c>
      <c r="B141" s="20" t="n">
        <v>465384</v>
      </c>
      <c r="C141" s="20" t="n">
        <v>0</v>
      </c>
      <c r="D141" s="20" t="inlineStr">
        <is>
          <t>0.000060</t>
        </is>
      </c>
      <c r="E141" s="20" t="inlineStr">
        <is>
          <t>0.150 SOL</t>
        </is>
      </c>
      <c r="F141" s="20" t="inlineStr">
        <is>
          <t>0.000 SOL</t>
        </is>
      </c>
      <c r="G141" s="17" t="inlineStr">
        <is>
          <t>-0.150 SOL</t>
        </is>
      </c>
      <c r="H141" s="17" t="inlineStr">
        <is>
          <t>0.00%</t>
        </is>
      </c>
      <c r="I141" s="20" t="inlineStr">
        <is>
          <t>465,384</t>
        </is>
      </c>
      <c r="J141" s="20" t="n">
        <v>1</v>
      </c>
      <c r="K141" s="20" t="n">
        <v>0</v>
      </c>
      <c r="L141" s="20" t="inlineStr">
        <is>
          <t>26.10.2024 03:28:08</t>
        </is>
      </c>
      <c r="M141" s="18" t="inlineStr">
        <is>
          <t>0 sec</t>
        </is>
      </c>
      <c r="N141" s="20" t="inlineStr">
        <is>
          <t xml:space="preserve">         56K            56K             3K</t>
        </is>
      </c>
      <c r="O141" s="20" t="inlineStr">
        <is>
          <t>APiR8o9A1884CLLRAqoj6q1JEHyd415upTkL7HH8pump</t>
        </is>
      </c>
      <c r="P141" s="20">
        <f>HYPERLINK("https://dexscreener.com/solana/APiR8o9A1884CLLRAqoj6q1JEHyd415upTkL7HH8pump", "View")</f>
        <v/>
      </c>
    </row>
    <row r="142">
      <c r="A142" s="15" t="inlineStr">
        <is>
          <t>Ralof</t>
        </is>
      </c>
      <c r="B142" s="16" t="n">
        <v>642448</v>
      </c>
      <c r="C142" s="16" t="n">
        <v>0</v>
      </c>
      <c r="D142" s="16" t="inlineStr">
        <is>
          <t>0.000060</t>
        </is>
      </c>
      <c r="E142" s="16" t="inlineStr">
        <is>
          <t>0.100 SOL</t>
        </is>
      </c>
      <c r="F142" s="16" t="inlineStr">
        <is>
          <t>0.000 SOL</t>
        </is>
      </c>
      <c r="G142" s="17" t="inlineStr">
        <is>
          <t>-0.100 SOL</t>
        </is>
      </c>
      <c r="H142" s="17" t="inlineStr">
        <is>
          <t>0.00%</t>
        </is>
      </c>
      <c r="I142" s="16" t="inlineStr">
        <is>
          <t>642,448</t>
        </is>
      </c>
      <c r="J142" s="16" t="n">
        <v>1</v>
      </c>
      <c r="K142" s="16" t="n">
        <v>0</v>
      </c>
      <c r="L142" s="16" t="inlineStr">
        <is>
          <t>26.10.2024 03:24:32</t>
        </is>
      </c>
      <c r="M142" s="18" t="inlineStr">
        <is>
          <t>0 sec</t>
        </is>
      </c>
      <c r="N142" s="16" t="inlineStr">
        <is>
          <t xml:space="preserve">         28K            28K             3K</t>
        </is>
      </c>
      <c r="O142" s="16" t="inlineStr">
        <is>
          <t>4ZkPRpZESieCSmBonquEQyK4L4f3PMhsjgu6yGTTpump</t>
        </is>
      </c>
      <c r="P142" s="16">
        <f>HYPERLINK("https://dexscreener.com/solana/4ZkPRpZESieCSmBonquEQyK4L4f3PMhsjgu6yGTTpump", "View")</f>
        <v/>
      </c>
    </row>
    <row r="143">
      <c r="A143" s="19" t="inlineStr">
        <is>
          <t>EVIL</t>
        </is>
      </c>
      <c r="B143" s="20" t="n">
        <v>621495</v>
      </c>
      <c r="C143" s="20" t="n">
        <v>621495</v>
      </c>
      <c r="D143" s="20" t="inlineStr">
        <is>
          <t>0.000160</t>
        </is>
      </c>
      <c r="E143" s="20" t="inlineStr">
        <is>
          <t>0.100 SOL</t>
        </is>
      </c>
      <c r="F143" s="20" t="inlineStr">
        <is>
          <t>0.163 SOL</t>
        </is>
      </c>
      <c r="G143" s="23" t="inlineStr">
        <is>
          <t>0.063 SOL</t>
        </is>
      </c>
      <c r="H143" s="23" t="inlineStr">
        <is>
          <t>62.96%</t>
        </is>
      </c>
      <c r="I143" s="20" t="inlineStr">
        <is>
          <t>N/A</t>
        </is>
      </c>
      <c r="J143" s="20" t="n">
        <v>1</v>
      </c>
      <c r="K143" s="20" t="n">
        <v>2</v>
      </c>
      <c r="L143" s="20" t="inlineStr">
        <is>
          <t>26.10.2024 03:16:57</t>
        </is>
      </c>
      <c r="M143" s="20" t="inlineStr">
        <is>
          <t>1 days</t>
        </is>
      </c>
      <c r="N143" s="20" t="inlineStr">
        <is>
          <t xml:space="preserve">         28K            28K             3K</t>
        </is>
      </c>
      <c r="O143" s="20" t="inlineStr">
        <is>
          <t>14LtyH1iZc9SkXJEvCSyzqb9iRHrSo3bBj8tu7m8pump</t>
        </is>
      </c>
      <c r="P143" s="20">
        <f>HYPERLINK("https://dexscreener.com/solana/14LtyH1iZc9SkXJEvCSyzqb9iRHrSo3bBj8tu7m8pump", "View")</f>
        <v/>
      </c>
    </row>
    <row r="144">
      <c r="A144" s="15" t="inlineStr">
        <is>
          <t>WHISPER</t>
        </is>
      </c>
      <c r="B144" s="16" t="n">
        <v>13579</v>
      </c>
      <c r="C144" s="16" t="n">
        <v>6789</v>
      </c>
      <c r="D144" s="16" t="inlineStr">
        <is>
          <t>0.000110</t>
        </is>
      </c>
      <c r="E144" s="16" t="inlineStr">
        <is>
          <t>0.100 SOL</t>
        </is>
      </c>
      <c r="F144" s="16" t="inlineStr">
        <is>
          <t>0.106 SOL</t>
        </is>
      </c>
      <c r="G144" s="22" t="inlineStr">
        <is>
          <t>0.006 SOL</t>
        </is>
      </c>
      <c r="H144" s="22" t="inlineStr">
        <is>
          <t>6.24%</t>
        </is>
      </c>
      <c r="I144" s="16" t="inlineStr">
        <is>
          <t>N/A</t>
        </is>
      </c>
      <c r="J144" s="16" t="n">
        <v>1</v>
      </c>
      <c r="K144" s="16" t="n">
        <v>1</v>
      </c>
      <c r="L144" s="16" t="inlineStr">
        <is>
          <t>26.10.2024 03:09:52</t>
        </is>
      </c>
      <c r="M144" s="16" t="inlineStr">
        <is>
          <t>4 min</t>
        </is>
      </c>
      <c r="N144" s="16" t="inlineStr">
        <is>
          <t xml:space="preserve">          1M             3M             4K</t>
        </is>
      </c>
      <c r="O144" s="16" t="inlineStr">
        <is>
          <t>BjkLiXHxastxjBQiJn9cmJFQqNBM8HdRcYPPrUSMpump</t>
        </is>
      </c>
      <c r="P144" s="16">
        <f>HYPERLINK("https://dexscreener.com/solana/BjkLiXHxastxjBQiJn9cmJFQqNBM8HdRcYPPrUSMpump", "View")</f>
        <v/>
      </c>
    </row>
    <row r="145">
      <c r="A145" s="19" t="inlineStr">
        <is>
          <t>RICHI</t>
        </is>
      </c>
      <c r="B145" s="20" t="n">
        <v>385854</v>
      </c>
      <c r="C145" s="20" t="n">
        <v>0</v>
      </c>
      <c r="D145" s="20" t="inlineStr">
        <is>
          <t>0.000060</t>
        </is>
      </c>
      <c r="E145" s="20" t="inlineStr">
        <is>
          <t>0.100 SOL</t>
        </is>
      </c>
      <c r="F145" s="20" t="inlineStr">
        <is>
          <t>0.000 SOL</t>
        </is>
      </c>
      <c r="G145" s="17" t="inlineStr">
        <is>
          <t>-0.100 SOL</t>
        </is>
      </c>
      <c r="H145" s="17" t="inlineStr">
        <is>
          <t>0.00%</t>
        </is>
      </c>
      <c r="I145" s="20" t="inlineStr">
        <is>
          <t>385,854</t>
        </is>
      </c>
      <c r="J145" s="20" t="n">
        <v>1</v>
      </c>
      <c r="K145" s="20" t="n">
        <v>0</v>
      </c>
      <c r="L145" s="20" t="inlineStr">
        <is>
          <t>26.10.2024 03:07:47</t>
        </is>
      </c>
      <c r="M145" s="18" t="inlineStr">
        <is>
          <t>0 sec</t>
        </is>
      </c>
      <c r="N145" s="20" t="inlineStr">
        <is>
          <t xml:space="preserve">         46K            46K             5K</t>
        </is>
      </c>
      <c r="O145" s="20" t="inlineStr">
        <is>
          <t>8bwRUtqWF56c75rjqBt95V3zHELpF5E9THk1YCNKpump</t>
        </is>
      </c>
      <c r="P145" s="20">
        <f>HYPERLINK("https://dexscreener.com/solana/8bwRUtqWF56c75rjqBt95V3zHELpF5E9THk1YCNKpump", "View")</f>
        <v/>
      </c>
    </row>
    <row r="146">
      <c r="A146" s="15" t="inlineStr">
        <is>
          <t>Doge</t>
        </is>
      </c>
      <c r="B146" s="16" t="n">
        <v>171244</v>
      </c>
      <c r="C146" s="16" t="n">
        <v>0</v>
      </c>
      <c r="D146" s="16" t="inlineStr">
        <is>
          <t>0.000060</t>
        </is>
      </c>
      <c r="E146" s="16" t="inlineStr">
        <is>
          <t>0.100 SOL</t>
        </is>
      </c>
      <c r="F146" s="16" t="inlineStr">
        <is>
          <t>0.000 SOL</t>
        </is>
      </c>
      <c r="G146" s="17" t="inlineStr">
        <is>
          <t>-0.100 SOL</t>
        </is>
      </c>
      <c r="H146" s="17" t="inlineStr">
        <is>
          <t>0.00%</t>
        </is>
      </c>
      <c r="I146" s="16" t="inlineStr">
        <is>
          <t>171,244</t>
        </is>
      </c>
      <c r="J146" s="16" t="n">
        <v>1</v>
      </c>
      <c r="K146" s="16" t="n">
        <v>0</v>
      </c>
      <c r="L146" s="16" t="inlineStr">
        <is>
          <t>26.10.2024 02:42:22</t>
        </is>
      </c>
      <c r="M146" s="18" t="inlineStr">
        <is>
          <t>0 sec</t>
        </is>
      </c>
      <c r="N146" s="16" t="inlineStr">
        <is>
          <t xml:space="preserve">        102K           102K             3K</t>
        </is>
      </c>
      <c r="O146" s="16" t="inlineStr">
        <is>
          <t>7FDm8kuQZRNs1QWma5jHPrJFZZWhiZGUKTYaPPLZgUKM</t>
        </is>
      </c>
      <c r="P146" s="16">
        <f>HYPERLINK("https://dexscreener.com/solana/7FDm8kuQZRNs1QWma5jHPrJFZZWhiZGUKTYaPPLZgUKM", "View")</f>
        <v/>
      </c>
    </row>
    <row r="147">
      <c r="A147" s="19" t="inlineStr">
        <is>
          <t>Tchoupie</t>
        </is>
      </c>
      <c r="B147" s="20" t="n">
        <v>666278</v>
      </c>
      <c r="C147" s="20" t="n">
        <v>0</v>
      </c>
      <c r="D147" s="20" t="inlineStr">
        <is>
          <t>0.000060</t>
        </is>
      </c>
      <c r="E147" s="20" t="inlineStr">
        <is>
          <t>0.100 SOL</t>
        </is>
      </c>
      <c r="F147" s="20" t="inlineStr">
        <is>
          <t>0.000 SOL</t>
        </is>
      </c>
      <c r="G147" s="17" t="inlineStr">
        <is>
          <t>-0.100 SOL</t>
        </is>
      </c>
      <c r="H147" s="17" t="inlineStr">
        <is>
          <t>0.00%</t>
        </is>
      </c>
      <c r="I147" s="20" t="inlineStr">
        <is>
          <t>666,278</t>
        </is>
      </c>
      <c r="J147" s="20" t="n">
        <v>1</v>
      </c>
      <c r="K147" s="20" t="n">
        <v>0</v>
      </c>
      <c r="L147" s="20" t="inlineStr">
        <is>
          <t>25.10.2024 16:04:49</t>
        </is>
      </c>
      <c r="M147" s="18" t="inlineStr">
        <is>
          <t>0 sec</t>
        </is>
      </c>
      <c r="N147" s="20" t="inlineStr">
        <is>
          <t xml:space="preserve">         26K            26K            11K</t>
        </is>
      </c>
      <c r="O147" s="20" t="inlineStr">
        <is>
          <t>74Yhhcbga2N1TTw87rNb8C3p8iHxyGEUKGhjFjkgpump</t>
        </is>
      </c>
      <c r="P147" s="20">
        <f>HYPERLINK("https://dexscreener.com/solana/74Yhhcbga2N1TTw87rNb8C3p8iHxyGEUKGhjFjkgpump", "View")</f>
        <v/>
      </c>
    </row>
    <row r="148">
      <c r="A148" s="15" t="inlineStr">
        <is>
          <t>dola</t>
        </is>
      </c>
      <c r="B148" s="16" t="n">
        <v>312177</v>
      </c>
      <c r="C148" s="16" t="n">
        <v>0</v>
      </c>
      <c r="D148" s="16" t="inlineStr">
        <is>
          <t>0.000060</t>
        </is>
      </c>
      <c r="E148" s="16" t="inlineStr">
        <is>
          <t>0.150 SOL</t>
        </is>
      </c>
      <c r="F148" s="16" t="inlineStr">
        <is>
          <t>0.000 SOL</t>
        </is>
      </c>
      <c r="G148" s="17" t="inlineStr">
        <is>
          <t>-0.150 SOL</t>
        </is>
      </c>
      <c r="H148" s="17" t="inlineStr">
        <is>
          <t>0.00%</t>
        </is>
      </c>
      <c r="I148" s="16" t="inlineStr">
        <is>
          <t>312,177</t>
        </is>
      </c>
      <c r="J148" s="16" t="n">
        <v>1</v>
      </c>
      <c r="K148" s="16" t="n">
        <v>0</v>
      </c>
      <c r="L148" s="16" t="inlineStr">
        <is>
          <t>25.10.2024 15:03:16</t>
        </is>
      </c>
      <c r="M148" s="18" t="inlineStr">
        <is>
          <t>0 sec</t>
        </is>
      </c>
      <c r="N148" s="16" t="inlineStr">
        <is>
          <t xml:space="preserve">         84K            84K             3K</t>
        </is>
      </c>
      <c r="O148" s="16" t="inlineStr">
        <is>
          <t>3A5ZHYwLj7mRWbb2eMvXxPyFQwYhrprnnXyB2HiSpump</t>
        </is>
      </c>
      <c r="P148" s="16">
        <f>HYPERLINK("https://dexscreener.com/solana/3A5ZHYwLj7mRWbb2eMvXxPyFQwYhrprnnXyB2HiSpump", "View")</f>
        <v/>
      </c>
    </row>
    <row r="149">
      <c r="A149" s="19" t="inlineStr">
        <is>
          <t>mint</t>
        </is>
      </c>
      <c r="B149" s="20" t="n">
        <v>70537</v>
      </c>
      <c r="C149" s="20" t="n">
        <v>35269</v>
      </c>
      <c r="D149" s="20" t="inlineStr">
        <is>
          <t>0.000110</t>
        </is>
      </c>
      <c r="E149" s="20" t="inlineStr">
        <is>
          <t>0.100 SOL</t>
        </is>
      </c>
      <c r="F149" s="20" t="inlineStr">
        <is>
          <t>0.093 SOL</t>
        </is>
      </c>
      <c r="G149" s="21" t="inlineStr">
        <is>
          <t>-0.007 SOL</t>
        </is>
      </c>
      <c r="H149" s="21" t="inlineStr">
        <is>
          <t>-6.64%</t>
        </is>
      </c>
      <c r="I149" s="20" t="inlineStr">
        <is>
          <t>N/A</t>
        </is>
      </c>
      <c r="J149" s="20" t="n">
        <v>1</v>
      </c>
      <c r="K149" s="20" t="n">
        <v>1</v>
      </c>
      <c r="L149" s="20" t="inlineStr">
        <is>
          <t>25.10.2024 14:15:09</t>
        </is>
      </c>
      <c r="M149" s="20" t="inlineStr">
        <is>
          <t>6 min</t>
        </is>
      </c>
      <c r="N149" s="20" t="inlineStr">
        <is>
          <t xml:space="preserve">        249K           465K            12K</t>
        </is>
      </c>
      <c r="O149" s="20" t="inlineStr">
        <is>
          <t>2TXwAQ3jCicGS4SdoS1huXT3hEk64ybREaqT1jtkpump</t>
        </is>
      </c>
      <c r="P149" s="20">
        <f>HYPERLINK("https://dexscreener.com/solana/2TXwAQ3jCicGS4SdoS1huXT3hEk64ybREaqT1jtkpump", "View")</f>
        <v/>
      </c>
    </row>
    <row r="150">
      <c r="A150" s="15" t="inlineStr">
        <is>
          <t>SNOWY</t>
        </is>
      </c>
      <c r="B150" s="16" t="n">
        <v>646577</v>
      </c>
      <c r="C150" s="16" t="n">
        <v>0</v>
      </c>
      <c r="D150" s="16" t="inlineStr">
        <is>
          <t>0.000060</t>
        </is>
      </c>
      <c r="E150" s="16" t="inlineStr">
        <is>
          <t>0.100 SOL</t>
        </is>
      </c>
      <c r="F150" s="16" t="inlineStr">
        <is>
          <t>0.000 SOL</t>
        </is>
      </c>
      <c r="G150" s="17" t="inlineStr">
        <is>
          <t>-0.100 SOL</t>
        </is>
      </c>
      <c r="H150" s="17" t="inlineStr">
        <is>
          <t>0.00%</t>
        </is>
      </c>
      <c r="I150" s="16" t="inlineStr">
        <is>
          <t>646,577</t>
        </is>
      </c>
      <c r="J150" s="16" t="n">
        <v>1</v>
      </c>
      <c r="K150" s="16" t="n">
        <v>0</v>
      </c>
      <c r="L150" s="16" t="inlineStr">
        <is>
          <t>25.10.2024 14:05:09</t>
        </is>
      </c>
      <c r="M150" s="18" t="inlineStr">
        <is>
          <t>0 sec</t>
        </is>
      </c>
      <c r="N150" s="16" t="inlineStr">
        <is>
          <t xml:space="preserve">         26K            26K             3K</t>
        </is>
      </c>
      <c r="O150" s="16" t="inlineStr">
        <is>
          <t>DDtTW7vqbhVnjN6mW2ihgqMYY9zCJt9hnaKBH66Tpump</t>
        </is>
      </c>
      <c r="P150" s="16">
        <f>HYPERLINK("https://dexscreener.com/solana/DDtTW7vqbhVnjN6mW2ihgqMYY9zCJt9hnaKBH66Tpump", "View")</f>
        <v/>
      </c>
    </row>
    <row r="151">
      <c r="A151" s="19" t="inlineStr">
        <is>
          <t>anatta</t>
        </is>
      </c>
      <c r="B151" s="20" t="n">
        <v>185780</v>
      </c>
      <c r="C151" s="20" t="n">
        <v>92890</v>
      </c>
      <c r="D151" s="20" t="inlineStr">
        <is>
          <t>0.000110</t>
        </is>
      </c>
      <c r="E151" s="20" t="inlineStr">
        <is>
          <t>0.100 SOL</t>
        </is>
      </c>
      <c r="F151" s="20" t="inlineStr">
        <is>
          <t>0.100 SOL</t>
        </is>
      </c>
      <c r="G151" s="21" t="inlineStr">
        <is>
          <t>-0.000 SOL</t>
        </is>
      </c>
      <c r="H151" s="21" t="inlineStr">
        <is>
          <t>-0.48%</t>
        </is>
      </c>
      <c r="I151" s="20" t="inlineStr">
        <is>
          <t>N/A</t>
        </is>
      </c>
      <c r="J151" s="20" t="n">
        <v>1</v>
      </c>
      <c r="K151" s="20" t="n">
        <v>1</v>
      </c>
      <c r="L151" s="20" t="inlineStr">
        <is>
          <t>25.10.2024 14:03:13</t>
        </is>
      </c>
      <c r="M151" s="20" t="inlineStr">
        <is>
          <t>14 min</t>
        </is>
      </c>
      <c r="N151" s="20" t="inlineStr">
        <is>
          <t xml:space="preserve">         95K            95K             7K</t>
        </is>
      </c>
      <c r="O151" s="20" t="inlineStr">
        <is>
          <t>3D1JFwhsrhm1TXBj2gkeY3KE3FTDRnVcNHweZrc7pump</t>
        </is>
      </c>
      <c r="P151" s="20">
        <f>HYPERLINK("https://dexscreener.com/solana/3D1JFwhsrhm1TXBj2gkeY3KE3FTDRnVcNHweZrc7pump", "View")</f>
        <v/>
      </c>
    </row>
    <row r="152">
      <c r="A152" s="15" t="inlineStr">
        <is>
          <t>TOA</t>
        </is>
      </c>
      <c r="B152" s="16" t="n">
        <v>196437</v>
      </c>
      <c r="C152" s="16" t="n">
        <v>98218</v>
      </c>
      <c r="D152" s="16" t="inlineStr">
        <is>
          <t>0.000110</t>
        </is>
      </c>
      <c r="E152" s="16" t="inlineStr">
        <is>
          <t>0.100 SOL</t>
        </is>
      </c>
      <c r="F152" s="16" t="inlineStr">
        <is>
          <t>0.192 SOL</t>
        </is>
      </c>
      <c r="G152" s="23" t="inlineStr">
        <is>
          <t>0.092 SOL</t>
        </is>
      </c>
      <c r="H152" s="23" t="inlineStr">
        <is>
          <t>92.14%</t>
        </is>
      </c>
      <c r="I152" s="16" t="inlineStr">
        <is>
          <t>N/A</t>
        </is>
      </c>
      <c r="J152" s="16" t="n">
        <v>1</v>
      </c>
      <c r="K152" s="16" t="n">
        <v>1</v>
      </c>
      <c r="L152" s="16" t="inlineStr">
        <is>
          <t>25.10.2024 13:55:18</t>
        </is>
      </c>
      <c r="M152" s="16" t="inlineStr">
        <is>
          <t>1 min</t>
        </is>
      </c>
      <c r="N152" s="16" t="inlineStr">
        <is>
          <t xml:space="preserve">         89K           343K             4K</t>
        </is>
      </c>
      <c r="O152" s="16" t="inlineStr">
        <is>
          <t>Bj3ZTeAaSeukvvNDbTVRZpb8MtVKa31nirA5pWyppump</t>
        </is>
      </c>
      <c r="P152" s="16">
        <f>HYPERLINK("https://dexscreener.com/solana/Bj3ZTeAaSeukvvNDbTVRZpb8MtVKa31nirA5pWyppump", "View")</f>
        <v/>
      </c>
    </row>
    <row r="153">
      <c r="A153" s="19" t="inlineStr">
        <is>
          <t>Sol ai</t>
        </is>
      </c>
      <c r="B153" s="20" t="n">
        <v>94516</v>
      </c>
      <c r="C153" s="20" t="n">
        <v>47258</v>
      </c>
      <c r="D153" s="20" t="inlineStr">
        <is>
          <t>0.000110</t>
        </is>
      </c>
      <c r="E153" s="20" t="inlineStr">
        <is>
          <t>0.100 SOL</t>
        </is>
      </c>
      <c r="F153" s="20" t="inlineStr">
        <is>
          <t>0.096 SOL</t>
        </is>
      </c>
      <c r="G153" s="21" t="inlineStr">
        <is>
          <t>-0.004 SOL</t>
        </is>
      </c>
      <c r="H153" s="21" t="inlineStr">
        <is>
          <t>-3.98%</t>
        </is>
      </c>
      <c r="I153" s="20" t="inlineStr">
        <is>
          <t>N/A</t>
        </is>
      </c>
      <c r="J153" s="20" t="n">
        <v>1</v>
      </c>
      <c r="K153" s="20" t="n">
        <v>1</v>
      </c>
      <c r="L153" s="20" t="inlineStr">
        <is>
          <t>25.10.2024 13:43:36</t>
        </is>
      </c>
      <c r="M153" s="20" t="inlineStr">
        <is>
          <t>1 min</t>
        </is>
      </c>
      <c r="N153" s="20" t="inlineStr">
        <is>
          <t xml:space="preserve">        186K           357K             4K</t>
        </is>
      </c>
      <c r="O153" s="20" t="inlineStr">
        <is>
          <t>AxQFgQFSThwMcYRb19sauF4G9uD8f8i2YS2KBS2Apump</t>
        </is>
      </c>
      <c r="P153" s="20">
        <f>HYPERLINK("https://dexscreener.com/solana/AxQFgQFSThwMcYRb19sauF4G9uD8f8i2YS2KBS2Apump", "View")</f>
        <v/>
      </c>
    </row>
    <row r="154">
      <c r="A154" s="15" t="inlineStr">
        <is>
          <t>🐸</t>
        </is>
      </c>
      <c r="B154" s="16" t="n">
        <v>79713</v>
      </c>
      <c r="C154" s="16" t="n">
        <v>0</v>
      </c>
      <c r="D154" s="16" t="inlineStr">
        <is>
          <t>0.000160</t>
        </is>
      </c>
      <c r="E154" s="16" t="inlineStr">
        <is>
          <t>0.300 SOL</t>
        </is>
      </c>
      <c r="F154" s="16" t="inlineStr">
        <is>
          <t>0.000 SOL</t>
        </is>
      </c>
      <c r="G154" s="17" t="inlineStr">
        <is>
          <t>-0.300 SOL</t>
        </is>
      </c>
      <c r="H154" s="17" t="inlineStr">
        <is>
          <t>0.00%</t>
        </is>
      </c>
      <c r="I154" s="16" t="inlineStr">
        <is>
          <t>79,713</t>
        </is>
      </c>
      <c r="J154" s="16" t="n">
        <v>3</v>
      </c>
      <c r="K154" s="16" t="n">
        <v>0</v>
      </c>
      <c r="L154" s="16" t="inlineStr">
        <is>
          <t>25.10.2024 09:45:08</t>
        </is>
      </c>
      <c r="M154" s="16" t="inlineStr">
        <is>
          <t>12 days</t>
        </is>
      </c>
      <c r="N154" s="16" t="inlineStr">
        <is>
          <t xml:space="preserve">        325K           933K           212K</t>
        </is>
      </c>
      <c r="O154" s="16" t="inlineStr">
        <is>
          <t>9WwQBoPS38sv5ZPXaGy6kTzdYbNeHZzm27hkfXrJpump</t>
        </is>
      </c>
      <c r="P154" s="16">
        <f>HYPERLINK("https://dexscreener.com/solana/9WwQBoPS38sv5ZPXaGy6kTzdYbNeHZzm27hkfXrJpump", "View")</f>
        <v/>
      </c>
    </row>
    <row r="155">
      <c r="A155" s="19" t="inlineStr">
        <is>
          <t>Mini</t>
        </is>
      </c>
      <c r="B155" s="20" t="n">
        <v>478467</v>
      </c>
      <c r="C155" s="20" t="n">
        <v>358850</v>
      </c>
      <c r="D155" s="20" t="inlineStr">
        <is>
          <t>0.000160</t>
        </is>
      </c>
      <c r="E155" s="20" t="inlineStr">
        <is>
          <t>0.200 SOL</t>
        </is>
      </c>
      <c r="F155" s="20" t="inlineStr">
        <is>
          <t>0.461 SOL</t>
        </is>
      </c>
      <c r="G155" s="23" t="inlineStr">
        <is>
          <t>0.261 SOL</t>
        </is>
      </c>
      <c r="H155" s="23" t="inlineStr">
        <is>
          <t>130.47%</t>
        </is>
      </c>
      <c r="I155" s="20" t="inlineStr">
        <is>
          <t>N/A</t>
        </is>
      </c>
      <c r="J155" s="20" t="n">
        <v>1</v>
      </c>
      <c r="K155" s="20" t="n">
        <v>2</v>
      </c>
      <c r="L155" s="20" t="inlineStr">
        <is>
          <t>25.10.2024 09:17:33</t>
        </is>
      </c>
      <c r="M155" s="20" t="inlineStr">
        <is>
          <t>25 min</t>
        </is>
      </c>
      <c r="N155" s="20" t="inlineStr">
        <is>
          <t xml:space="preserve">         74K           379K             6K</t>
        </is>
      </c>
      <c r="O155" s="20" t="inlineStr">
        <is>
          <t>FNLCYiZzc6dcpNNekZyMUpmQNQLx4LscTi7h5mCYpump</t>
        </is>
      </c>
      <c r="P155" s="20">
        <f>HYPERLINK("https://dexscreener.com/solana/FNLCYiZzc6dcpNNekZyMUpmQNQLx4LscTi7h5mCYpump", "View")</f>
        <v/>
      </c>
    </row>
    <row r="156">
      <c r="A156" s="15" t="inlineStr">
        <is>
          <t>MEMES</t>
        </is>
      </c>
      <c r="B156" s="16" t="n">
        <v>457438</v>
      </c>
      <c r="C156" s="16" t="n">
        <v>343078</v>
      </c>
      <c r="D156" s="16" t="inlineStr">
        <is>
          <t>0.000160</t>
        </is>
      </c>
      <c r="E156" s="16" t="inlineStr">
        <is>
          <t>0.200 SOL</t>
        </is>
      </c>
      <c r="F156" s="16" t="inlineStr">
        <is>
          <t>0.537 SOL</t>
        </is>
      </c>
      <c r="G156" s="23" t="inlineStr">
        <is>
          <t>0.337 SOL</t>
        </is>
      </c>
      <c r="H156" s="23" t="inlineStr">
        <is>
          <t>168.46%</t>
        </is>
      </c>
      <c r="I156" s="16" t="inlineStr">
        <is>
          <t>N/A</t>
        </is>
      </c>
      <c r="J156" s="16" t="n">
        <v>1</v>
      </c>
      <c r="K156" s="16" t="n">
        <v>2</v>
      </c>
      <c r="L156" s="16" t="inlineStr">
        <is>
          <t>25.10.2024 09:16:51</t>
        </is>
      </c>
      <c r="M156" s="16" t="inlineStr">
        <is>
          <t>17 min</t>
        </is>
      </c>
      <c r="N156" s="16" t="inlineStr">
        <is>
          <t xml:space="preserve">         77K           485K             4K</t>
        </is>
      </c>
      <c r="O156" s="16" t="inlineStr">
        <is>
          <t>3ng7uAiJ1vehnAiPi2JWUPNJANRhpcGf8dpiiQsjpump</t>
        </is>
      </c>
      <c r="P156" s="16">
        <f>HYPERLINK("https://dexscreener.com/solana/3ng7uAiJ1vehnAiPi2JWUPNJANRhpcGf8dpiiQsjpump", "View")</f>
        <v/>
      </c>
    </row>
    <row r="157">
      <c r="A157" s="19" t="inlineStr">
        <is>
          <t>randoms</t>
        </is>
      </c>
      <c r="B157" s="20" t="n">
        <v>386434</v>
      </c>
      <c r="C157" s="20" t="n">
        <v>0</v>
      </c>
      <c r="D157" s="20" t="inlineStr">
        <is>
          <t>0.000060</t>
        </is>
      </c>
      <c r="E157" s="20" t="inlineStr">
        <is>
          <t>0.200 SOL</t>
        </is>
      </c>
      <c r="F157" s="20" t="inlineStr">
        <is>
          <t>0.000 SOL</t>
        </is>
      </c>
      <c r="G157" s="17" t="inlineStr">
        <is>
          <t>-0.200 SOL</t>
        </is>
      </c>
      <c r="H157" s="17" t="inlineStr">
        <is>
          <t>0.00%</t>
        </is>
      </c>
      <c r="I157" s="20" t="inlineStr">
        <is>
          <t>386,434</t>
        </is>
      </c>
      <c r="J157" s="20" t="n">
        <v>1</v>
      </c>
      <c r="K157" s="20" t="n">
        <v>0</v>
      </c>
      <c r="L157" s="20" t="inlineStr">
        <is>
          <t>25.10.2024 09:02:37</t>
        </is>
      </c>
      <c r="M157" s="18" t="inlineStr">
        <is>
          <t>0 sec</t>
        </is>
      </c>
      <c r="N157" s="20" t="inlineStr">
        <is>
          <t xml:space="preserve">         91K            91K             3K</t>
        </is>
      </c>
      <c r="O157" s="20" t="inlineStr">
        <is>
          <t>E6v2M1AXZbiPGb1PsppeoF1fiHA6UqzweTjUZcJApump</t>
        </is>
      </c>
      <c r="P157" s="20">
        <f>HYPERLINK("https://dexscreener.com/solana/E6v2M1AXZbiPGb1PsppeoF1fiHA6UqzweTjUZcJApump", "View")</f>
        <v/>
      </c>
    </row>
    <row r="158">
      <c r="A158" s="15" t="inlineStr">
        <is>
          <t>DBUFF</t>
        </is>
      </c>
      <c r="B158" s="16" t="n">
        <v>618786</v>
      </c>
      <c r="C158" s="16" t="n">
        <v>309393</v>
      </c>
      <c r="D158" s="16" t="inlineStr">
        <is>
          <t>0.000160</t>
        </is>
      </c>
      <c r="E158" s="16" t="inlineStr">
        <is>
          <t>0.400 SOL</t>
        </is>
      </c>
      <c r="F158" s="16" t="inlineStr">
        <is>
          <t>0.182 SOL</t>
        </is>
      </c>
      <c r="G158" s="24" t="inlineStr">
        <is>
          <t>-0.218 SOL</t>
        </is>
      </c>
      <c r="H158" s="24" t="inlineStr">
        <is>
          <t>-54.44%</t>
        </is>
      </c>
      <c r="I158" s="16" t="inlineStr">
        <is>
          <t>N/A</t>
        </is>
      </c>
      <c r="J158" s="16" t="n">
        <v>2</v>
      </c>
      <c r="K158" s="16" t="n">
        <v>1</v>
      </c>
      <c r="L158" s="16" t="inlineStr">
        <is>
          <t>25.10.2024 08:36:40</t>
        </is>
      </c>
      <c r="M158" s="16" t="inlineStr">
        <is>
          <t>1 min</t>
        </is>
      </c>
      <c r="N158" s="16" t="inlineStr">
        <is>
          <t xml:space="preserve">        112K           104K             3K</t>
        </is>
      </c>
      <c r="O158" s="16" t="inlineStr">
        <is>
          <t>DxfMrEKo2YTJv4KvevybmutjUTcQybAe9ULZxJ5Npump</t>
        </is>
      </c>
      <c r="P158" s="16">
        <f>HYPERLINK("https://dexscreener.com/solana/DxfMrEKo2YTJv4KvevybmutjUTcQybAe9ULZxJ5Npump", "View")</f>
        <v/>
      </c>
    </row>
    <row r="159">
      <c r="A159" s="19" t="inlineStr">
        <is>
          <t>MAI</t>
        </is>
      </c>
      <c r="B159" s="20" t="n">
        <v>390757</v>
      </c>
      <c r="C159" s="20" t="n">
        <v>293068</v>
      </c>
      <c r="D159" s="20" t="inlineStr">
        <is>
          <t>0.000160</t>
        </is>
      </c>
      <c r="E159" s="20" t="inlineStr">
        <is>
          <t>0.200 SOL</t>
        </is>
      </c>
      <c r="F159" s="20" t="inlineStr">
        <is>
          <t>0.309 SOL</t>
        </is>
      </c>
      <c r="G159" s="23" t="inlineStr">
        <is>
          <t>0.109 SOL</t>
        </is>
      </c>
      <c r="H159" s="23" t="inlineStr">
        <is>
          <t>54.28%</t>
        </is>
      </c>
      <c r="I159" s="20" t="inlineStr">
        <is>
          <t>N/A</t>
        </is>
      </c>
      <c r="J159" s="20" t="n">
        <v>1</v>
      </c>
      <c r="K159" s="20" t="n">
        <v>2</v>
      </c>
      <c r="L159" s="20" t="inlineStr">
        <is>
          <t>25.10.2024 08:19:06</t>
        </is>
      </c>
      <c r="M159" s="20" t="inlineStr">
        <is>
          <t>16 min</t>
        </is>
      </c>
      <c r="N159" s="20" t="inlineStr">
        <is>
          <t xml:space="preserve">         90K            90K             4K</t>
        </is>
      </c>
      <c r="O159" s="20" t="inlineStr">
        <is>
          <t>Ge8HiSKhq5YRDX9XBVdcdTSF5KTA7hr5M5qk9b99pump</t>
        </is>
      </c>
      <c r="P159" s="20">
        <f>HYPERLINK("https://dexscreener.com/solana/Ge8HiSKhq5YRDX9XBVdcdTSF5KTA7hr5M5qk9b99pump", "View")</f>
        <v/>
      </c>
    </row>
    <row r="160">
      <c r="A160" s="15" t="inlineStr">
        <is>
          <t>THEO</t>
        </is>
      </c>
      <c r="B160" s="16" t="n">
        <v>455466</v>
      </c>
      <c r="C160" s="16" t="n">
        <v>341599</v>
      </c>
      <c r="D160" s="16" t="inlineStr">
        <is>
          <t>0.000160</t>
        </is>
      </c>
      <c r="E160" s="16" t="inlineStr">
        <is>
          <t>0.200 SOL</t>
        </is>
      </c>
      <c r="F160" s="16" t="inlineStr">
        <is>
          <t>0.508 SOL</t>
        </is>
      </c>
      <c r="G160" s="23" t="inlineStr">
        <is>
          <t>0.308 SOL</t>
        </is>
      </c>
      <c r="H160" s="23" t="inlineStr">
        <is>
          <t>153.69%</t>
        </is>
      </c>
      <c r="I160" s="16" t="inlineStr">
        <is>
          <t>N/A</t>
        </is>
      </c>
      <c r="J160" s="16" t="n">
        <v>1</v>
      </c>
      <c r="K160" s="16" t="n">
        <v>2</v>
      </c>
      <c r="L160" s="16" t="inlineStr">
        <is>
          <t>25.10.2024 08:04:58</t>
        </is>
      </c>
      <c r="M160" s="16" t="inlineStr">
        <is>
          <t>5 hours</t>
        </is>
      </c>
      <c r="N160" s="16" t="inlineStr">
        <is>
          <t xml:space="preserve">         77K           176K            11K</t>
        </is>
      </c>
      <c r="O160" s="16" t="inlineStr">
        <is>
          <t>BZW215nxTGpbw87TUQJJpABGTBXeXqfjxjDYyrjCpump</t>
        </is>
      </c>
      <c r="P160" s="16">
        <f>HYPERLINK("https://dexscreener.com/solana/BZW215nxTGpbw87TUQJJpABGTBXeXqfjxjDYyrjCpump", "View")</f>
        <v/>
      </c>
    </row>
    <row r="161">
      <c r="A161" s="19" t="inlineStr">
        <is>
          <t>YURI</t>
        </is>
      </c>
      <c r="B161" s="20" t="n">
        <v>155290</v>
      </c>
      <c r="C161" s="20" t="n">
        <v>77645</v>
      </c>
      <c r="D161" s="20" t="inlineStr">
        <is>
          <t>0.000110</t>
        </is>
      </c>
      <c r="E161" s="20" t="inlineStr">
        <is>
          <t>0.100 SOL</t>
        </is>
      </c>
      <c r="F161" s="20" t="inlineStr">
        <is>
          <t>0.089 SOL</t>
        </is>
      </c>
      <c r="G161" s="21" t="inlineStr">
        <is>
          <t>-0.012 SOL</t>
        </is>
      </c>
      <c r="H161" s="21" t="inlineStr">
        <is>
          <t>-11.54%</t>
        </is>
      </c>
      <c r="I161" s="20" t="inlineStr">
        <is>
          <t>N/A</t>
        </is>
      </c>
      <c r="J161" s="20" t="n">
        <v>1</v>
      </c>
      <c r="K161" s="20" t="n">
        <v>1</v>
      </c>
      <c r="L161" s="20" t="inlineStr">
        <is>
          <t>25.10.2024 06:28:20</t>
        </is>
      </c>
      <c r="M161" s="20" t="inlineStr">
        <is>
          <t>5 hours</t>
        </is>
      </c>
      <c r="N161" s="20" t="inlineStr">
        <is>
          <t xml:space="preserve">        112K           112K             6K</t>
        </is>
      </c>
      <c r="O161" s="20" t="inlineStr">
        <is>
          <t>9zGjSYsr44zi6kjYbSoKsPx9YQ5y6xFZRhj2nignpump</t>
        </is>
      </c>
      <c r="P161" s="20">
        <f>HYPERLINK("https://dexscreener.com/solana/9zGjSYsr44zi6kjYbSoKsPx9YQ5y6xFZRhj2nignpump", "View")</f>
        <v/>
      </c>
    </row>
    <row r="162">
      <c r="A162" s="15" t="inlineStr">
        <is>
          <t>AICAT</t>
        </is>
      </c>
      <c r="B162" s="16" t="n">
        <v>241419</v>
      </c>
      <c r="C162" s="16" t="n">
        <v>0</v>
      </c>
      <c r="D162" s="16" t="inlineStr">
        <is>
          <t>0.000060</t>
        </is>
      </c>
      <c r="E162" s="16" t="inlineStr">
        <is>
          <t>0.100 SOL</t>
        </is>
      </c>
      <c r="F162" s="16" t="inlineStr">
        <is>
          <t>0.000 SOL</t>
        </is>
      </c>
      <c r="G162" s="17" t="inlineStr">
        <is>
          <t>-0.100 SOL</t>
        </is>
      </c>
      <c r="H162" s="17" t="inlineStr">
        <is>
          <t>0.00%</t>
        </is>
      </c>
      <c r="I162" s="16" t="inlineStr">
        <is>
          <t>241,419</t>
        </is>
      </c>
      <c r="J162" s="16" t="n">
        <v>1</v>
      </c>
      <c r="K162" s="16" t="n">
        <v>0</v>
      </c>
      <c r="L162" s="16" t="inlineStr">
        <is>
          <t>25.10.2024 03:25:13</t>
        </is>
      </c>
      <c r="M162" s="18" t="inlineStr">
        <is>
          <t>0 sec</t>
        </is>
      </c>
      <c r="N162" s="16" t="inlineStr">
        <is>
          <t xml:space="preserve">         72K            72K             6K</t>
        </is>
      </c>
      <c r="O162" s="16" t="inlineStr">
        <is>
          <t>LbX8DLypZ9DwUBJKHvzsKphx3CCatsCSTAT8wympump</t>
        </is>
      </c>
      <c r="P162" s="16">
        <f>HYPERLINK("https://dexscreener.com/solana/LbX8DLypZ9DwUBJKHvzsKphx3CCatsCSTAT8wympump", "View")</f>
        <v/>
      </c>
    </row>
    <row r="163">
      <c r="A163" s="19" t="inlineStr">
        <is>
          <t>TRUESPACE</t>
        </is>
      </c>
      <c r="B163" s="20" t="n">
        <v>264138</v>
      </c>
      <c r="C163" s="20" t="n">
        <v>0</v>
      </c>
      <c r="D163" s="20" t="inlineStr">
        <is>
          <t>0.000060</t>
        </is>
      </c>
      <c r="E163" s="20" t="inlineStr">
        <is>
          <t>0.200 SOL</t>
        </is>
      </c>
      <c r="F163" s="20" t="inlineStr">
        <is>
          <t>0.000 SOL</t>
        </is>
      </c>
      <c r="G163" s="17" t="inlineStr">
        <is>
          <t>-0.200 SOL</t>
        </is>
      </c>
      <c r="H163" s="17" t="inlineStr">
        <is>
          <t>0.00%</t>
        </is>
      </c>
      <c r="I163" s="20" t="inlineStr">
        <is>
          <t>264,138</t>
        </is>
      </c>
      <c r="J163" s="20" t="n">
        <v>1</v>
      </c>
      <c r="K163" s="20" t="n">
        <v>0</v>
      </c>
      <c r="L163" s="20" t="inlineStr">
        <is>
          <t>25.10.2024 02:22:56</t>
        </is>
      </c>
      <c r="M163" s="18" t="inlineStr">
        <is>
          <t>0 sec</t>
        </is>
      </c>
      <c r="N163" s="20" t="inlineStr">
        <is>
          <t xml:space="preserve">        133K           133K             4K</t>
        </is>
      </c>
      <c r="O163" s="20" t="inlineStr">
        <is>
          <t>FQFVPBxDLDpXorBrgoLcvEWhGg6NxLhcE2q93pGtpump</t>
        </is>
      </c>
      <c r="P163" s="20">
        <f>HYPERLINK("https://dexscreener.com/solana/FQFVPBxDLDpXorBrgoLcvEWhGg6NxLhcE2q93pGtpump", "View")</f>
        <v/>
      </c>
    </row>
    <row r="164">
      <c r="A164" s="15" t="inlineStr">
        <is>
          <t>TrueSpace</t>
        </is>
      </c>
      <c r="B164" s="16" t="n">
        <v>427479</v>
      </c>
      <c r="C164" s="16" t="n">
        <v>0</v>
      </c>
      <c r="D164" s="16" t="inlineStr">
        <is>
          <t>0.000060</t>
        </is>
      </c>
      <c r="E164" s="16" t="inlineStr">
        <is>
          <t>0.200 SOL</t>
        </is>
      </c>
      <c r="F164" s="16" t="inlineStr">
        <is>
          <t>0.000 SOL</t>
        </is>
      </c>
      <c r="G164" s="17" t="inlineStr">
        <is>
          <t>-0.200 SOL</t>
        </is>
      </c>
      <c r="H164" s="17" t="inlineStr">
        <is>
          <t>0.00%</t>
        </is>
      </c>
      <c r="I164" s="16" t="inlineStr">
        <is>
          <t>427,479</t>
        </is>
      </c>
      <c r="J164" s="16" t="n">
        <v>1</v>
      </c>
      <c r="K164" s="16" t="n">
        <v>0</v>
      </c>
      <c r="L164" s="16" t="inlineStr">
        <is>
          <t>25.10.2024 02:19:52</t>
        </is>
      </c>
      <c r="M164" s="18" t="inlineStr">
        <is>
          <t>0 sec</t>
        </is>
      </c>
      <c r="N164" s="16" t="inlineStr">
        <is>
          <t xml:space="preserve">         82K            82K             6K</t>
        </is>
      </c>
      <c r="O164" s="16" t="inlineStr">
        <is>
          <t>2j48qpWJpWNHoWhsmWsdmaA1wKP7qaoYJfwhAbrkpump</t>
        </is>
      </c>
      <c r="P164" s="16">
        <f>HYPERLINK("https://dexscreener.com/solana/2j48qpWJpWNHoWhsmWsdmaA1wKP7qaoYJfwhAbrkpump", "View")</f>
        <v/>
      </c>
    </row>
    <row r="165">
      <c r="A165" s="19" t="inlineStr">
        <is>
          <t xml:space="preserve">Kira </t>
        </is>
      </c>
      <c r="B165" s="20" t="n">
        <v>146501</v>
      </c>
      <c r="C165" s="20" t="n">
        <v>109875</v>
      </c>
      <c r="D165" s="20" t="inlineStr">
        <is>
          <t>0.000160</t>
        </is>
      </c>
      <c r="E165" s="20" t="inlineStr">
        <is>
          <t>0.100 SOL</t>
        </is>
      </c>
      <c r="F165" s="20" t="inlineStr">
        <is>
          <t>0.360 SOL</t>
        </is>
      </c>
      <c r="G165" s="23" t="inlineStr">
        <is>
          <t>0.260 SOL</t>
        </is>
      </c>
      <c r="H165" s="23" t="inlineStr">
        <is>
          <t>259.34%</t>
        </is>
      </c>
      <c r="I165" s="20" t="inlineStr">
        <is>
          <t>N/A</t>
        </is>
      </c>
      <c r="J165" s="20" t="n">
        <v>1</v>
      </c>
      <c r="K165" s="20" t="n">
        <v>2</v>
      </c>
      <c r="L165" s="20" t="inlineStr">
        <is>
          <t>25.10.2024 02:08:03</t>
        </is>
      </c>
      <c r="M165" s="20" t="inlineStr">
        <is>
          <t>20 min</t>
        </is>
      </c>
      <c r="N165" s="20" t="inlineStr">
        <is>
          <t xml:space="preserve">        116K             1M            12K</t>
        </is>
      </c>
      <c r="O165" s="20" t="inlineStr">
        <is>
          <t>wpU56BR9qLyA9bxxF2uLtULERVZFvtuLtcXdL9xpump</t>
        </is>
      </c>
      <c r="P165" s="20">
        <f>HYPERLINK("https://dexscreener.com/solana/wpU56BR9qLyA9bxxF2uLtULERVZFvtuLtcXdL9xpump", "View")</f>
        <v/>
      </c>
    </row>
    <row r="166">
      <c r="A166" s="15" t="inlineStr">
        <is>
          <t>AURORA</t>
        </is>
      </c>
      <c r="B166" s="16" t="n">
        <v>161932</v>
      </c>
      <c r="C166" s="16" t="n">
        <v>0</v>
      </c>
      <c r="D166" s="16" t="inlineStr">
        <is>
          <t>0.000060</t>
        </is>
      </c>
      <c r="E166" s="16" t="inlineStr">
        <is>
          <t>0.100 SOL</t>
        </is>
      </c>
      <c r="F166" s="16" t="inlineStr">
        <is>
          <t>0.000 SOL</t>
        </is>
      </c>
      <c r="G166" s="17" t="inlineStr">
        <is>
          <t>-0.100 SOL</t>
        </is>
      </c>
      <c r="H166" s="17" t="inlineStr">
        <is>
          <t>0.00%</t>
        </is>
      </c>
      <c r="I166" s="16" t="inlineStr">
        <is>
          <t>161,932</t>
        </is>
      </c>
      <c r="J166" s="16" t="n">
        <v>1</v>
      </c>
      <c r="K166" s="16" t="n">
        <v>0</v>
      </c>
      <c r="L166" s="16" t="inlineStr">
        <is>
          <t>25.10.2024 01:39:49</t>
        </is>
      </c>
      <c r="M166" s="18" t="inlineStr">
        <is>
          <t>0 sec</t>
        </is>
      </c>
      <c r="N166" s="16" t="inlineStr">
        <is>
          <t xml:space="preserve">        109K           109K             3K</t>
        </is>
      </c>
      <c r="O166" s="16" t="inlineStr">
        <is>
          <t>14NcHGnyF7eF4ydW9AhFnCiUNsXZkUbuSNTZxYRvpump</t>
        </is>
      </c>
      <c r="P166" s="16">
        <f>HYPERLINK("https://dexscreener.com/solana/14NcHGnyF7eF4ydW9AhFnCiUNsXZkUbuSNTZxYRvpump", "View")</f>
        <v/>
      </c>
    </row>
    <row r="167">
      <c r="A167" s="19" t="inlineStr">
        <is>
          <t>noPets</t>
        </is>
      </c>
      <c r="B167" s="20" t="n">
        <v>435695</v>
      </c>
      <c r="C167" s="20" t="n">
        <v>217848</v>
      </c>
      <c r="D167" s="20" t="inlineStr">
        <is>
          <t>0.000110</t>
        </is>
      </c>
      <c r="E167" s="20" t="inlineStr">
        <is>
          <t>0.100 SOL</t>
        </is>
      </c>
      <c r="F167" s="20" t="inlineStr">
        <is>
          <t>0.101 SOL</t>
        </is>
      </c>
      <c r="G167" s="22" t="inlineStr">
        <is>
          <t>0.001 SOL</t>
        </is>
      </c>
      <c r="H167" s="22" t="inlineStr">
        <is>
          <t>1.05%</t>
        </is>
      </c>
      <c r="I167" s="20" t="inlineStr">
        <is>
          <t>N/A</t>
        </is>
      </c>
      <c r="J167" s="20" t="n">
        <v>1</v>
      </c>
      <c r="K167" s="20" t="n">
        <v>1</v>
      </c>
      <c r="L167" s="20" t="inlineStr">
        <is>
          <t>25.10.2024 01:28:50</t>
        </is>
      </c>
      <c r="M167" s="20" t="inlineStr">
        <is>
          <t>2 min</t>
        </is>
      </c>
      <c r="N167" s="20" t="inlineStr">
        <is>
          <t xml:space="preserve">         40K            81K             4K</t>
        </is>
      </c>
      <c r="O167" s="20" t="inlineStr">
        <is>
          <t>Hb2vZbkeZA8woGeH7gUpuqMeQj5vWD9Nnj7C9KYhe4y5</t>
        </is>
      </c>
      <c r="P167" s="20">
        <f>HYPERLINK("https://dexscreener.com/solana/Hb2vZbkeZA8woGeH7gUpuqMeQj5vWD9Nnj7C9KYhe4y5", "View")</f>
        <v/>
      </c>
    </row>
    <row r="168">
      <c r="A168" s="15" t="inlineStr">
        <is>
          <t>theoracle</t>
        </is>
      </c>
      <c r="B168" s="16" t="n">
        <v>269961</v>
      </c>
      <c r="C168" s="16" t="n">
        <v>0</v>
      </c>
      <c r="D168" s="16" t="inlineStr">
        <is>
          <t>0.000060</t>
        </is>
      </c>
      <c r="E168" s="16" t="inlineStr">
        <is>
          <t>0.100 SOL</t>
        </is>
      </c>
      <c r="F168" s="16" t="inlineStr">
        <is>
          <t>0.000 SOL</t>
        </is>
      </c>
      <c r="G168" s="17" t="inlineStr">
        <is>
          <t>-0.100 SOL</t>
        </is>
      </c>
      <c r="H168" s="17" t="inlineStr">
        <is>
          <t>0.00%</t>
        </is>
      </c>
      <c r="I168" s="16" t="inlineStr">
        <is>
          <t>269,961</t>
        </is>
      </c>
      <c r="J168" s="16" t="n">
        <v>1</v>
      </c>
      <c r="K168" s="16" t="n">
        <v>0</v>
      </c>
      <c r="L168" s="16" t="inlineStr">
        <is>
          <t>25.10.2024 01:09:48</t>
        </is>
      </c>
      <c r="M168" s="18" t="inlineStr">
        <is>
          <t>0 sec</t>
        </is>
      </c>
      <c r="N168" s="16" t="inlineStr">
        <is>
          <t xml:space="preserve">         63K            63K             3K</t>
        </is>
      </c>
      <c r="O168" s="16" t="inlineStr">
        <is>
          <t>BLthhcBfFJrySVhK7oSJrCfNJ6TnUEVfG7s3Ek8spump</t>
        </is>
      </c>
      <c r="P168" s="16">
        <f>HYPERLINK("https://dexscreener.com/solana/BLthhcBfFJrySVhK7oSJrCfNJ6TnUEVfG7s3Ek8spump", "View")</f>
        <v/>
      </c>
    </row>
    <row r="169">
      <c r="A169" s="19" t="inlineStr">
        <is>
          <t>flora</t>
        </is>
      </c>
      <c r="B169" s="20" t="n">
        <v>1987044</v>
      </c>
      <c r="C169" s="20" t="n">
        <v>0</v>
      </c>
      <c r="D169" s="20" t="inlineStr">
        <is>
          <t>0.000110</t>
        </is>
      </c>
      <c r="E169" s="20" t="inlineStr">
        <is>
          <t>0.200 SOL</t>
        </is>
      </c>
      <c r="F169" s="20" t="inlineStr">
        <is>
          <t>0.000 SOL</t>
        </is>
      </c>
      <c r="G169" s="17" t="inlineStr">
        <is>
          <t>-0.200 SOL</t>
        </is>
      </c>
      <c r="H169" s="17" t="inlineStr">
        <is>
          <t>0.00%</t>
        </is>
      </c>
      <c r="I169" s="20" t="inlineStr">
        <is>
          <t>1,987,044</t>
        </is>
      </c>
      <c r="J169" s="20" t="n">
        <v>2</v>
      </c>
      <c r="K169" s="20" t="n">
        <v>0</v>
      </c>
      <c r="L169" s="20" t="inlineStr">
        <is>
          <t>25.10.2024 00:16:54</t>
        </is>
      </c>
      <c r="M169" s="18" t="inlineStr">
        <is>
          <t>17 sec</t>
        </is>
      </c>
      <c r="N169" s="20" t="inlineStr">
        <is>
          <t xml:space="preserve">         16K            21K             3K</t>
        </is>
      </c>
      <c r="O169" s="20" t="inlineStr">
        <is>
          <t>ATvnHoe4Gt7rGRWoqkstSTwpbuF6ni3sUfxYkrNJpump</t>
        </is>
      </c>
      <c r="P169" s="20">
        <f>HYPERLINK("https://dexscreener.com/solana/ATvnHoe4Gt7rGRWoqkstSTwpbuF6ni3sUfxYkrNJpump", "View")</f>
        <v/>
      </c>
    </row>
    <row r="170">
      <c r="A170" s="15" t="inlineStr">
        <is>
          <t>ChatGPT</t>
        </is>
      </c>
      <c r="B170" s="16" t="n">
        <v>397005</v>
      </c>
      <c r="C170" s="16" t="n">
        <v>0</v>
      </c>
      <c r="D170" s="16" t="inlineStr">
        <is>
          <t>0.000060</t>
        </is>
      </c>
      <c r="E170" s="16" t="inlineStr">
        <is>
          <t>0.200 SOL</t>
        </is>
      </c>
      <c r="F170" s="16" t="inlineStr">
        <is>
          <t>0.000 SOL</t>
        </is>
      </c>
      <c r="G170" s="17" t="inlineStr">
        <is>
          <t>-0.200 SOL</t>
        </is>
      </c>
      <c r="H170" s="17" t="inlineStr">
        <is>
          <t>0.00%</t>
        </is>
      </c>
      <c r="I170" s="16" t="inlineStr">
        <is>
          <t>397,005</t>
        </is>
      </c>
      <c r="J170" s="16" t="n">
        <v>1</v>
      </c>
      <c r="K170" s="16" t="n">
        <v>0</v>
      </c>
      <c r="L170" s="16" t="inlineStr">
        <is>
          <t>25.10.2024 00:13:42</t>
        </is>
      </c>
      <c r="M170" s="18" t="inlineStr">
        <is>
          <t>0 sec</t>
        </is>
      </c>
      <c r="N170" s="16" t="inlineStr">
        <is>
          <t xml:space="preserve">         88K            88K             3K</t>
        </is>
      </c>
      <c r="O170" s="16" t="inlineStr">
        <is>
          <t>EQsug4jsK5gZBYuiTTa6XSubCHCMjJouxRLSqR8spump</t>
        </is>
      </c>
      <c r="P170" s="16">
        <f>HYPERLINK("https://dexscreener.com/solana/EQsug4jsK5gZBYuiTTa6XSubCHCMjJouxRLSqR8spump", "View")</f>
        <v/>
      </c>
    </row>
    <row r="171">
      <c r="A171" s="19" t="inlineStr">
        <is>
          <t>APEIN</t>
        </is>
      </c>
      <c r="B171" s="20" t="n">
        <v>184202</v>
      </c>
      <c r="C171" s="20" t="n">
        <v>0</v>
      </c>
      <c r="D171" s="20" t="inlineStr">
        <is>
          <t>0.000060</t>
        </is>
      </c>
      <c r="E171" s="20" t="inlineStr">
        <is>
          <t>0.200 SOL</t>
        </is>
      </c>
      <c r="F171" s="20" t="inlineStr">
        <is>
          <t>0.000 SOL</t>
        </is>
      </c>
      <c r="G171" s="17" t="inlineStr">
        <is>
          <t>-0.200 SOL</t>
        </is>
      </c>
      <c r="H171" s="17" t="inlineStr">
        <is>
          <t>0.00%</t>
        </is>
      </c>
      <c r="I171" s="20" t="inlineStr">
        <is>
          <t>184,202</t>
        </is>
      </c>
      <c r="J171" s="20" t="n">
        <v>1</v>
      </c>
      <c r="K171" s="20" t="n">
        <v>0</v>
      </c>
      <c r="L171" s="20" t="inlineStr">
        <is>
          <t>24.10.2024 23:52:07</t>
        </is>
      </c>
      <c r="M171" s="18" t="inlineStr">
        <is>
          <t>0 sec</t>
        </is>
      </c>
      <c r="N171" s="20" t="inlineStr">
        <is>
          <t xml:space="preserve">        191K           191K             4K</t>
        </is>
      </c>
      <c r="O171" s="20" t="inlineStr">
        <is>
          <t>E4JQwDUmokvkWz7Q9XJb7ZKXUWLoZQteSt6Ekmedpump</t>
        </is>
      </c>
      <c r="P171" s="20">
        <f>HYPERLINK("https://dexscreener.com/solana/E4JQwDUmokvkWz7Q9XJb7ZKXUWLoZQteSt6Ekmedpump", "View")</f>
        <v/>
      </c>
    </row>
    <row r="172">
      <c r="A172" s="15" t="inlineStr">
        <is>
          <t>FATAO</t>
        </is>
      </c>
      <c r="B172" s="16" t="n">
        <v>642147</v>
      </c>
      <c r="C172" s="16" t="n">
        <v>321073</v>
      </c>
      <c r="D172" s="16" t="inlineStr">
        <is>
          <t>0.000110</t>
        </is>
      </c>
      <c r="E172" s="16" t="inlineStr">
        <is>
          <t>0.100 SOL</t>
        </is>
      </c>
      <c r="F172" s="16" t="inlineStr">
        <is>
          <t>0.099 SOL</t>
        </is>
      </c>
      <c r="G172" s="21" t="inlineStr">
        <is>
          <t>-0.001 SOL</t>
        </is>
      </c>
      <c r="H172" s="21" t="inlineStr">
        <is>
          <t>-1.20%</t>
        </is>
      </c>
      <c r="I172" s="16" t="inlineStr">
        <is>
          <t>N/A</t>
        </is>
      </c>
      <c r="J172" s="16" t="n">
        <v>1</v>
      </c>
      <c r="K172" s="16" t="n">
        <v>1</v>
      </c>
      <c r="L172" s="16" t="inlineStr">
        <is>
          <t>24.10.2024 23:49:28</t>
        </is>
      </c>
      <c r="M172" s="18" t="inlineStr">
        <is>
          <t>26 sec</t>
        </is>
      </c>
      <c r="N172" s="16" t="inlineStr">
        <is>
          <t xml:space="preserve">         28K            54K             3K</t>
        </is>
      </c>
      <c r="O172" s="16" t="inlineStr">
        <is>
          <t>9oCqvUkK7W9ViGZuQCJ6LzL7718EWLwKuVSW7kJpump</t>
        </is>
      </c>
      <c r="P172" s="16">
        <f>HYPERLINK("https://dexscreener.com/solana/9oCqvUkK7W9ViGZuQCJ6LzL7718EWLwKuVSW7kJpump", "View")</f>
        <v/>
      </c>
    </row>
    <row r="173">
      <c r="A173" s="19" t="inlineStr">
        <is>
          <t>DOG</t>
        </is>
      </c>
      <c r="B173" s="20" t="n">
        <v>702916</v>
      </c>
      <c r="C173" s="20" t="n">
        <v>0</v>
      </c>
      <c r="D173" s="20" t="inlineStr">
        <is>
          <t>0.000110</t>
        </is>
      </c>
      <c r="E173" s="20" t="inlineStr">
        <is>
          <t>0.200 SOL</t>
        </is>
      </c>
      <c r="F173" s="20" t="inlineStr">
        <is>
          <t>0.000 SOL</t>
        </is>
      </c>
      <c r="G173" s="17" t="inlineStr">
        <is>
          <t>-0.200 SOL</t>
        </is>
      </c>
      <c r="H173" s="17" t="inlineStr">
        <is>
          <t>0.00%</t>
        </is>
      </c>
      <c r="I173" s="20" t="inlineStr">
        <is>
          <t>702,916</t>
        </is>
      </c>
      <c r="J173" s="20" t="n">
        <v>2</v>
      </c>
      <c r="K173" s="20" t="n">
        <v>0</v>
      </c>
      <c r="L173" s="20" t="inlineStr">
        <is>
          <t>24.10.2024 23:43:08</t>
        </is>
      </c>
      <c r="M173" s="18" t="inlineStr">
        <is>
          <t>5 sec</t>
        </is>
      </c>
      <c r="N173" s="20" t="inlineStr">
        <is>
          <t xml:space="preserve">         39K            69K             3K</t>
        </is>
      </c>
      <c r="O173" s="20" t="inlineStr">
        <is>
          <t>Fpp6L1ehDxTbzVcEtqdb59wQH4ozREX7NowYscnupump</t>
        </is>
      </c>
      <c r="P173" s="20">
        <f>HYPERLINK("https://dexscreener.com/solana/Fpp6L1ehDxTbzVcEtqdb59wQH4ozREX7NowYscnupump", "View")</f>
        <v/>
      </c>
    </row>
    <row r="174">
      <c r="A174" s="15" t="inlineStr">
        <is>
          <t>Project89</t>
        </is>
      </c>
      <c r="B174" s="16" t="n">
        <v>171033</v>
      </c>
      <c r="C174" s="16" t="n">
        <v>171033</v>
      </c>
      <c r="D174" s="16" t="inlineStr">
        <is>
          <t>0.000220</t>
        </is>
      </c>
      <c r="E174" s="16" t="inlineStr">
        <is>
          <t>0.100 SOL</t>
        </is>
      </c>
      <c r="F174" s="16" t="inlineStr">
        <is>
          <t>4.603 SOL</t>
        </is>
      </c>
      <c r="G174" s="23" t="inlineStr">
        <is>
          <t>4.503 SOL</t>
        </is>
      </c>
      <c r="H174" s="23" t="inlineStr">
        <is>
          <t>4493.21%</t>
        </is>
      </c>
      <c r="I174" s="16" t="inlineStr">
        <is>
          <t>N/A</t>
        </is>
      </c>
      <c r="J174" s="16" t="n">
        <v>1</v>
      </c>
      <c r="K174" s="16" t="n">
        <v>3</v>
      </c>
      <c r="L174" s="16" t="inlineStr">
        <is>
          <t>24.10.2024 23:33:45</t>
        </is>
      </c>
      <c r="M174" s="16" t="inlineStr">
        <is>
          <t>10 hours</t>
        </is>
      </c>
      <c r="N174" s="16" t="inlineStr">
        <is>
          <t xml:space="preserve">        102K             1M             8M</t>
        </is>
      </c>
      <c r="O174" s="16" t="inlineStr">
        <is>
          <t>Bz4MhmVRQENiCou7ZpJ575wpjNFjBjVBSiVhuNg1pump</t>
        </is>
      </c>
      <c r="P174" s="16">
        <f>HYPERLINK("https://dexscreener.com/solana/Bz4MhmVRQENiCou7ZpJ575wpjNFjBjVBSiVhuNg1pump", "View")</f>
        <v/>
      </c>
    </row>
    <row r="175">
      <c r="A175" s="19" t="inlineStr">
        <is>
          <t>Nig</t>
        </is>
      </c>
      <c r="B175" s="20" t="n">
        <v>28009</v>
      </c>
      <c r="C175" s="20" t="n">
        <v>14005</v>
      </c>
      <c r="D175" s="20" t="inlineStr">
        <is>
          <t>0.000110</t>
        </is>
      </c>
      <c r="E175" s="20" t="inlineStr">
        <is>
          <t>0.100 SOL</t>
        </is>
      </c>
      <c r="F175" s="20" t="inlineStr">
        <is>
          <t>0.123 SOL</t>
        </is>
      </c>
      <c r="G175" s="22" t="inlineStr">
        <is>
          <t>0.022 SOL</t>
        </is>
      </c>
      <c r="H175" s="22" t="inlineStr">
        <is>
          <t>22.44%</t>
        </is>
      </c>
      <c r="I175" s="20" t="inlineStr">
        <is>
          <t>N/A</t>
        </is>
      </c>
      <c r="J175" s="20" t="n">
        <v>1</v>
      </c>
      <c r="K175" s="20" t="n">
        <v>1</v>
      </c>
      <c r="L175" s="20" t="inlineStr">
        <is>
          <t>24.10.2024 19:32:05</t>
        </is>
      </c>
      <c r="M175" s="20" t="inlineStr">
        <is>
          <t>9 hours</t>
        </is>
      </c>
      <c r="N175" s="20" t="inlineStr">
        <is>
          <t xml:space="preserve">        627K           627K            53K</t>
        </is>
      </c>
      <c r="O175" s="20" t="inlineStr">
        <is>
          <t>46KirRwaHxiVhLCapkqPj1M7urYChzmkGLRNyuuzpump</t>
        </is>
      </c>
      <c r="P175" s="20">
        <f>HYPERLINK("https://dexscreener.com/solana/46KirRwaHxiVhLCapkqPj1M7urYChzmkGLRNyuuzpump", "View")</f>
        <v/>
      </c>
    </row>
    <row r="176">
      <c r="A176" s="15" t="inlineStr">
        <is>
          <t>HYPR</t>
        </is>
      </c>
      <c r="B176" s="16" t="n">
        <v>83885</v>
      </c>
      <c r="C176" s="16" t="n">
        <v>0</v>
      </c>
      <c r="D176" s="16" t="inlineStr">
        <is>
          <t>0.000060</t>
        </is>
      </c>
      <c r="E176" s="16" t="inlineStr">
        <is>
          <t>0.100 SOL</t>
        </is>
      </c>
      <c r="F176" s="16" t="inlineStr">
        <is>
          <t>0.000 SOL</t>
        </is>
      </c>
      <c r="G176" s="17" t="inlineStr">
        <is>
          <t>-0.100 SOL</t>
        </is>
      </c>
      <c r="H176" s="17" t="inlineStr">
        <is>
          <t>0.00%</t>
        </is>
      </c>
      <c r="I176" s="16" t="inlineStr">
        <is>
          <t>83,885</t>
        </is>
      </c>
      <c r="J176" s="16" t="n">
        <v>1</v>
      </c>
      <c r="K176" s="16" t="n">
        <v>0</v>
      </c>
      <c r="L176" s="16" t="inlineStr">
        <is>
          <t>24.10.2024 15:58:49</t>
        </is>
      </c>
      <c r="M176" s="18" t="inlineStr">
        <is>
          <t>0 sec</t>
        </is>
      </c>
      <c r="N176" s="16" t="inlineStr">
        <is>
          <t xml:space="preserve">        209K           209K            14K</t>
        </is>
      </c>
      <c r="O176" s="16" t="inlineStr">
        <is>
          <t>BSpYpMSwubM9uRNRqX4n8vedvGJ1pij8dFc5aZeqpump</t>
        </is>
      </c>
      <c r="P176" s="16">
        <f>HYPERLINK("https://dexscreener.com/solana/BSpYpMSwubM9uRNRqX4n8vedvGJ1pij8dFc5aZeqpump", "View")</f>
        <v/>
      </c>
    </row>
    <row r="177">
      <c r="A177" s="19" t="inlineStr">
        <is>
          <t>KIRA</t>
        </is>
      </c>
      <c r="B177" s="20" t="n">
        <v>428808</v>
      </c>
      <c r="C177" s="20" t="n">
        <v>0</v>
      </c>
      <c r="D177" s="20" t="inlineStr">
        <is>
          <t>0.000060</t>
        </is>
      </c>
      <c r="E177" s="20" t="inlineStr">
        <is>
          <t>0.150 SOL</t>
        </is>
      </c>
      <c r="F177" s="20" t="inlineStr">
        <is>
          <t>0.000 SOL</t>
        </is>
      </c>
      <c r="G177" s="17" t="inlineStr">
        <is>
          <t>-0.150 SOL</t>
        </is>
      </c>
      <c r="H177" s="17" t="inlineStr">
        <is>
          <t>0.00%</t>
        </is>
      </c>
      <c r="I177" s="20" t="inlineStr">
        <is>
          <t>428,808</t>
        </is>
      </c>
      <c r="J177" s="20" t="n">
        <v>1</v>
      </c>
      <c r="K177" s="20" t="n">
        <v>0</v>
      </c>
      <c r="L177" s="20" t="inlineStr">
        <is>
          <t>24.10.2024 15:54:50</t>
        </is>
      </c>
      <c r="M177" s="18" t="inlineStr">
        <is>
          <t>0 sec</t>
        </is>
      </c>
      <c r="N177" s="20" t="inlineStr">
        <is>
          <t xml:space="preserve">         61K            61K             3K</t>
        </is>
      </c>
      <c r="O177" s="20" t="inlineStr">
        <is>
          <t>8E2M2Hdt31sANJpBFSAKU42erpKLrEYQyyapsUbApump</t>
        </is>
      </c>
      <c r="P177" s="20">
        <f>HYPERLINK("https://dexscreener.com/solana/8E2M2Hdt31sANJpBFSAKU42erpKLrEYQyyapsUbApump", "View")</f>
        <v/>
      </c>
    </row>
    <row r="178">
      <c r="A178" s="15" t="inlineStr">
        <is>
          <t>JIZZCOIN</t>
        </is>
      </c>
      <c r="B178" s="16" t="n">
        <v>83079</v>
      </c>
      <c r="C178" s="16" t="n">
        <v>0</v>
      </c>
      <c r="D178" s="16" t="inlineStr">
        <is>
          <t>0.000060</t>
        </is>
      </c>
      <c r="E178" s="16" t="inlineStr">
        <is>
          <t>0.100 SOL</t>
        </is>
      </c>
      <c r="F178" s="16" t="inlineStr">
        <is>
          <t>0.000 SOL</t>
        </is>
      </c>
      <c r="G178" s="17" t="inlineStr">
        <is>
          <t>-0.100 SOL</t>
        </is>
      </c>
      <c r="H178" s="17" t="inlineStr">
        <is>
          <t>0.00%</t>
        </is>
      </c>
      <c r="I178" s="16" t="inlineStr">
        <is>
          <t>83,079</t>
        </is>
      </c>
      <c r="J178" s="16" t="n">
        <v>1</v>
      </c>
      <c r="K178" s="16" t="n">
        <v>0</v>
      </c>
      <c r="L178" s="16" t="inlineStr">
        <is>
          <t>24.10.2024 15:11:22</t>
        </is>
      </c>
      <c r="M178" s="18" t="inlineStr">
        <is>
          <t>0 sec</t>
        </is>
      </c>
      <c r="N178" s="16" t="inlineStr">
        <is>
          <t xml:space="preserve">        211K           211K             5K</t>
        </is>
      </c>
      <c r="O178" s="16" t="inlineStr">
        <is>
          <t>3qrEHV8zMR8BySfkQUCVQRnqjSDaCr9str6gRgRspump</t>
        </is>
      </c>
      <c r="P178" s="16">
        <f>HYPERLINK("https://dexscreener.com/solana/3qrEHV8zMR8BySfkQUCVQRnqjSDaCr9str6gRgRspump", "View")</f>
        <v/>
      </c>
    </row>
    <row r="179">
      <c r="A179" s="19" t="inlineStr">
        <is>
          <t>TOH</t>
        </is>
      </c>
      <c r="B179" s="20" t="n">
        <v>586003</v>
      </c>
      <c r="C179" s="20" t="n">
        <v>439502</v>
      </c>
      <c r="D179" s="20" t="inlineStr">
        <is>
          <t>0.000160</t>
        </is>
      </c>
      <c r="E179" s="20" t="inlineStr">
        <is>
          <t>0.100 SOL</t>
        </is>
      </c>
      <c r="F179" s="20" t="inlineStr">
        <is>
          <t>0.350 SOL</t>
        </is>
      </c>
      <c r="G179" s="23" t="inlineStr">
        <is>
          <t>0.250 SOL</t>
        </is>
      </c>
      <c r="H179" s="23" t="inlineStr">
        <is>
          <t>249.10%</t>
        </is>
      </c>
      <c r="I179" s="20" t="inlineStr">
        <is>
          <t>N/A</t>
        </is>
      </c>
      <c r="J179" s="20" t="n">
        <v>1</v>
      </c>
      <c r="K179" s="20" t="n">
        <v>2</v>
      </c>
      <c r="L179" s="20" t="inlineStr">
        <is>
          <t>24.10.2024 15:10:35</t>
        </is>
      </c>
      <c r="M179" s="20" t="inlineStr">
        <is>
          <t>24 min</t>
        </is>
      </c>
      <c r="N179" s="20" t="inlineStr">
        <is>
          <t xml:space="preserve">         30K           289K             4K</t>
        </is>
      </c>
      <c r="O179" s="20" t="inlineStr">
        <is>
          <t>2aPiXF1oruhA75AJUTUwPE8N5vW2a2sjnMvJdmpopump</t>
        </is>
      </c>
      <c r="P179" s="20">
        <f>HYPERLINK("https://dexscreener.com/solana/2aPiXF1oruhA75AJUTUwPE8N5vW2a2sjnMvJdmpopump", "View")</f>
        <v/>
      </c>
    </row>
    <row r="180">
      <c r="A180" s="15" t="inlineStr">
        <is>
          <t>ANON</t>
        </is>
      </c>
      <c r="B180" s="16" t="n">
        <v>635436</v>
      </c>
      <c r="C180" s="16" t="n">
        <v>0</v>
      </c>
      <c r="D180" s="16" t="inlineStr">
        <is>
          <t>0.000060</t>
        </is>
      </c>
      <c r="E180" s="16" t="inlineStr">
        <is>
          <t>0.100 SOL</t>
        </is>
      </c>
      <c r="F180" s="16" t="inlineStr">
        <is>
          <t>0.000 SOL</t>
        </is>
      </c>
      <c r="G180" s="17" t="inlineStr">
        <is>
          <t>-0.100 SOL</t>
        </is>
      </c>
      <c r="H180" s="17" t="inlineStr">
        <is>
          <t>0.00%</t>
        </is>
      </c>
      <c r="I180" s="16" t="inlineStr">
        <is>
          <t>635,436</t>
        </is>
      </c>
      <c r="J180" s="16" t="n">
        <v>1</v>
      </c>
      <c r="K180" s="16" t="n">
        <v>0</v>
      </c>
      <c r="L180" s="16" t="inlineStr">
        <is>
          <t>24.10.2024 14:58:39</t>
        </is>
      </c>
      <c r="M180" s="18" t="inlineStr">
        <is>
          <t>0 sec</t>
        </is>
      </c>
      <c r="N180" s="16" t="inlineStr">
        <is>
          <t xml:space="preserve">         28K            28K             3K</t>
        </is>
      </c>
      <c r="O180" s="16" t="inlineStr">
        <is>
          <t>wZonEuZGCGT5QXKKvVZs7vu8uH5HKDsnZei9F24pump</t>
        </is>
      </c>
      <c r="P180" s="16">
        <f>HYPERLINK("https://dexscreener.com/solana/wZonEuZGCGT5QXKKvVZs7vu8uH5HKDsnZei9F24pump", "View")</f>
        <v/>
      </c>
    </row>
    <row r="181">
      <c r="A181" s="19" t="inlineStr">
        <is>
          <t>MOMSEUS</t>
        </is>
      </c>
      <c r="B181" s="20" t="n">
        <v>170705</v>
      </c>
      <c r="C181" s="20" t="n">
        <v>128029</v>
      </c>
      <c r="D181" s="20" t="inlineStr">
        <is>
          <t>0.000160</t>
        </is>
      </c>
      <c r="E181" s="20" t="inlineStr">
        <is>
          <t>0.100 SOL</t>
        </is>
      </c>
      <c r="F181" s="20" t="inlineStr">
        <is>
          <t>0.460 SOL</t>
        </is>
      </c>
      <c r="G181" s="23" t="inlineStr">
        <is>
          <t>0.359 SOL</t>
        </is>
      </c>
      <c r="H181" s="23" t="inlineStr">
        <is>
          <t>358.86%</t>
        </is>
      </c>
      <c r="I181" s="20" t="inlineStr">
        <is>
          <t>N/A</t>
        </is>
      </c>
      <c r="J181" s="20" t="n">
        <v>1</v>
      </c>
      <c r="K181" s="20" t="n">
        <v>2</v>
      </c>
      <c r="L181" s="20" t="inlineStr">
        <is>
          <t>24.10.2024 14:50:26</t>
        </is>
      </c>
      <c r="M181" s="20" t="inlineStr">
        <is>
          <t>4 hours</t>
        </is>
      </c>
      <c r="N181" s="20" t="inlineStr">
        <is>
          <t xml:space="preserve">        104K           104K             4K</t>
        </is>
      </c>
      <c r="O181" s="20" t="inlineStr">
        <is>
          <t>2CiAmompjNUhCMv4snMMVu55g1CFzNuqbrbaYVnCpump</t>
        </is>
      </c>
      <c r="P181" s="20">
        <f>HYPERLINK("https://dexscreener.com/solana/2CiAmompjNUhCMv4snMMVu55g1CFzNuqbrbaYVnCpump", "View")</f>
        <v/>
      </c>
    </row>
    <row r="182">
      <c r="A182" s="15" t="inlineStr">
        <is>
          <t>luna</t>
        </is>
      </c>
      <c r="B182" s="16" t="n">
        <v>472774</v>
      </c>
      <c r="C182" s="16" t="n">
        <v>236387</v>
      </c>
      <c r="D182" s="16" t="inlineStr">
        <is>
          <t>0.000110</t>
        </is>
      </c>
      <c r="E182" s="16" t="inlineStr">
        <is>
          <t>0.100 SOL</t>
        </is>
      </c>
      <c r="F182" s="16" t="inlineStr">
        <is>
          <t>0.079 SOL</t>
        </is>
      </c>
      <c r="G182" s="21" t="inlineStr">
        <is>
          <t>-0.021 SOL</t>
        </is>
      </c>
      <c r="H182" s="21" t="inlineStr">
        <is>
          <t>-21.11%</t>
        </is>
      </c>
      <c r="I182" s="16" t="inlineStr">
        <is>
          <t>N/A</t>
        </is>
      </c>
      <c r="J182" s="16" t="n">
        <v>1</v>
      </c>
      <c r="K182" s="16" t="n">
        <v>1</v>
      </c>
      <c r="L182" s="16" t="inlineStr">
        <is>
          <t>24.10.2024 14:41:58</t>
        </is>
      </c>
      <c r="M182" s="16" t="inlineStr">
        <is>
          <t>16 min</t>
        </is>
      </c>
      <c r="N182" s="16" t="inlineStr">
        <is>
          <t xml:space="preserve">         37K            58K             4K</t>
        </is>
      </c>
      <c r="O182" s="16" t="inlineStr">
        <is>
          <t>7iPV4Q6RpvjY1jNx9brKV3R8UiYr6MXfLrbah7Krpump</t>
        </is>
      </c>
      <c r="P182" s="16">
        <f>HYPERLINK("https://dexscreener.com/solana/7iPV4Q6RpvjY1jNx9brKV3R8UiYr6MXfLrbah7Krpump", "View")</f>
        <v/>
      </c>
    </row>
    <row r="183">
      <c r="A183" s="19" t="inlineStr">
        <is>
          <t>GIGAI</t>
        </is>
      </c>
      <c r="B183" s="20" t="n">
        <v>299621</v>
      </c>
      <c r="C183" s="20" t="n">
        <v>0</v>
      </c>
      <c r="D183" s="20" t="inlineStr">
        <is>
          <t>0.000060</t>
        </is>
      </c>
      <c r="E183" s="20" t="inlineStr">
        <is>
          <t>0.100 SOL</t>
        </is>
      </c>
      <c r="F183" s="20" t="inlineStr">
        <is>
          <t>0.000 SOL</t>
        </is>
      </c>
      <c r="G183" s="17" t="inlineStr">
        <is>
          <t>-0.100 SOL</t>
        </is>
      </c>
      <c r="H183" s="17" t="inlineStr">
        <is>
          <t>0.00%</t>
        </is>
      </c>
      <c r="I183" s="20" t="inlineStr">
        <is>
          <t>299,621</t>
        </is>
      </c>
      <c r="J183" s="20" t="n">
        <v>1</v>
      </c>
      <c r="K183" s="20" t="n">
        <v>0</v>
      </c>
      <c r="L183" s="20" t="inlineStr">
        <is>
          <t>24.10.2024 14:36:32</t>
        </is>
      </c>
      <c r="M183" s="18" t="inlineStr">
        <is>
          <t>0 sec</t>
        </is>
      </c>
      <c r="N183" s="20" t="inlineStr">
        <is>
          <t xml:space="preserve">         58K            58K             6K</t>
        </is>
      </c>
      <c r="O183" s="20" t="inlineStr">
        <is>
          <t>fqrLRxCe1j5c44WJzLQnMcsjSNivwgTdvoAu9J3pump</t>
        </is>
      </c>
      <c r="P183" s="20">
        <f>HYPERLINK("https://dexscreener.com/solana/fqrLRxCe1j5c44WJzLQnMcsjSNivwgTdvoAu9J3pump", "View")</f>
        <v/>
      </c>
    </row>
    <row r="184">
      <c r="A184" s="15" t="inlineStr">
        <is>
          <t>🇺🇸</t>
        </is>
      </c>
      <c r="B184" s="16" t="n">
        <v>1720259</v>
      </c>
      <c r="C184" s="16" t="n">
        <v>929659</v>
      </c>
      <c r="D184" s="16" t="inlineStr">
        <is>
          <t>0.000160</t>
        </is>
      </c>
      <c r="E184" s="16" t="inlineStr">
        <is>
          <t>2.100 SOL</t>
        </is>
      </c>
      <c r="F184" s="16" t="inlineStr">
        <is>
          <t>2.343 SOL</t>
        </is>
      </c>
      <c r="G184" s="22" t="inlineStr">
        <is>
          <t>0.243 SOL</t>
        </is>
      </c>
      <c r="H184" s="22" t="inlineStr">
        <is>
          <t>11.57%</t>
        </is>
      </c>
      <c r="I184" s="16" t="inlineStr">
        <is>
          <t>N/A</t>
        </is>
      </c>
      <c r="J184" s="16" t="n">
        <v>2</v>
      </c>
      <c r="K184" s="16" t="n">
        <v>1</v>
      </c>
      <c r="L184" s="16" t="inlineStr">
        <is>
          <t>24.10.2024 14:31:09</t>
        </is>
      </c>
      <c r="M184" s="16" t="inlineStr">
        <is>
          <t>20 days</t>
        </is>
      </c>
      <c r="N184" s="16" t="inlineStr">
        <is>
          <t xml:space="preserve">        431K            19K           362K</t>
        </is>
      </c>
      <c r="O184" s="16" t="inlineStr">
        <is>
          <t>GSXvsGygcMcbByTnGZqBtML9Ntj373bJtNXEfRrppump</t>
        </is>
      </c>
      <c r="P184" s="16">
        <f>HYPERLINK("https://dexscreener.com/solana/GSXvsGygcMcbByTnGZqBtML9Ntj373bJtNXEfRrppump", "View")</f>
        <v/>
      </c>
    </row>
    <row r="185">
      <c r="A185" s="19" t="inlineStr">
        <is>
          <t>RNT-AI</t>
        </is>
      </c>
      <c r="B185" s="20" t="n">
        <v>323376</v>
      </c>
      <c r="C185" s="20" t="n">
        <v>323376</v>
      </c>
      <c r="D185" s="20" t="inlineStr">
        <is>
          <t>0.000160</t>
        </is>
      </c>
      <c r="E185" s="20" t="inlineStr">
        <is>
          <t>0.100 SOL</t>
        </is>
      </c>
      <c r="F185" s="20" t="inlineStr">
        <is>
          <t>0.166 SOL</t>
        </is>
      </c>
      <c r="G185" s="23" t="inlineStr">
        <is>
          <t>0.066 SOL</t>
        </is>
      </c>
      <c r="H185" s="23" t="inlineStr">
        <is>
          <t>65.72%</t>
        </is>
      </c>
      <c r="I185" s="20" t="inlineStr">
        <is>
          <t>N/A</t>
        </is>
      </c>
      <c r="J185" s="20" t="n">
        <v>1</v>
      </c>
      <c r="K185" s="20" t="n">
        <v>2</v>
      </c>
      <c r="L185" s="20" t="inlineStr">
        <is>
          <t>24.10.2024 14:24:07</t>
        </is>
      </c>
      <c r="M185" s="20" t="inlineStr">
        <is>
          <t>3 hours</t>
        </is>
      </c>
      <c r="N185" s="20" t="inlineStr">
        <is>
          <t xml:space="preserve">         54K           123K            10K</t>
        </is>
      </c>
      <c r="O185" s="20" t="inlineStr">
        <is>
          <t>CeDdQ9q6wXQiRWKQBvoY2sF6hQn3r2AKq1TGHFFgWbPn</t>
        </is>
      </c>
      <c r="P185" s="20">
        <f>HYPERLINK("https://dexscreener.com/solana/CeDdQ9q6wXQiRWKQBvoY2sF6hQn3r2AKq1TGHFFgWbPn", "View")</f>
        <v/>
      </c>
    </row>
    <row r="186">
      <c r="A186" s="15" t="inlineStr">
        <is>
          <t>JOI</t>
        </is>
      </c>
      <c r="B186" s="16" t="n">
        <v>885081</v>
      </c>
      <c r="C186" s="16" t="n">
        <v>885081</v>
      </c>
      <c r="D186" s="16" t="inlineStr">
        <is>
          <t>0.000110</t>
        </is>
      </c>
      <c r="E186" s="16" t="inlineStr">
        <is>
          <t>0.100 SOL</t>
        </is>
      </c>
      <c r="F186" s="16" t="inlineStr">
        <is>
          <t>0.028 SOL</t>
        </is>
      </c>
      <c r="G186" s="24" t="inlineStr">
        <is>
          <t>-0.072 SOL</t>
        </is>
      </c>
      <c r="H186" s="24" t="inlineStr">
        <is>
          <t>-71.99%</t>
        </is>
      </c>
      <c r="I186" s="16" t="inlineStr">
        <is>
          <t>N/A</t>
        </is>
      </c>
      <c r="J186" s="16" t="n">
        <v>1</v>
      </c>
      <c r="K186" s="16" t="n">
        <v>1</v>
      </c>
      <c r="L186" s="16" t="inlineStr">
        <is>
          <t>24.10.2024 14:23:58</t>
        </is>
      </c>
      <c r="M186" s="16" t="inlineStr">
        <is>
          <t>15 min</t>
        </is>
      </c>
      <c r="N186" s="16" t="inlineStr">
        <is>
          <t xml:space="preserve">         19K             5K             3K</t>
        </is>
      </c>
      <c r="O186" s="16" t="inlineStr">
        <is>
          <t>2jdDQocnt8CXbavdx5CLWgf3M8wzVGijKt22hwgspump</t>
        </is>
      </c>
      <c r="P186" s="16">
        <f>HYPERLINK("https://dexscreener.com/solana/2jdDQocnt8CXbavdx5CLWgf3M8wzVGijKt22hwgspump", "View")</f>
        <v/>
      </c>
    </row>
    <row r="187">
      <c r="A187" s="19" t="inlineStr">
        <is>
          <t>HELGA</t>
        </is>
      </c>
      <c r="B187" s="20" t="n">
        <v>210106</v>
      </c>
      <c r="C187" s="20" t="n">
        <v>210106</v>
      </c>
      <c r="D187" s="20" t="inlineStr">
        <is>
          <t>0.000160</t>
        </is>
      </c>
      <c r="E187" s="20" t="inlineStr">
        <is>
          <t>0.100 SOL</t>
        </is>
      </c>
      <c r="F187" s="20" t="inlineStr">
        <is>
          <t>0.135 SOL</t>
        </is>
      </c>
      <c r="G187" s="22" t="inlineStr">
        <is>
          <t>0.035 SOL</t>
        </is>
      </c>
      <c r="H187" s="22" t="inlineStr">
        <is>
          <t>34.47%</t>
        </is>
      </c>
      <c r="I187" s="20" t="inlineStr">
        <is>
          <t>N/A</t>
        </is>
      </c>
      <c r="J187" s="20" t="n">
        <v>1</v>
      </c>
      <c r="K187" s="20" t="n">
        <v>2</v>
      </c>
      <c r="L187" s="20" t="inlineStr">
        <is>
          <t>24.10.2024 14:23:47</t>
        </is>
      </c>
      <c r="M187" s="20" t="inlineStr">
        <is>
          <t>3 hours</t>
        </is>
      </c>
      <c r="N187" s="20" t="inlineStr">
        <is>
          <t xml:space="preserve">         84K           174K             4K</t>
        </is>
      </c>
      <c r="O187" s="20" t="inlineStr">
        <is>
          <t>EijUb7SgZgoyCe2KF8BzTsyrPH7DrAaZYNVD67SGpump</t>
        </is>
      </c>
      <c r="P187" s="20">
        <f>HYPERLINK("https://dexscreener.com/solana/EijUb7SgZgoyCe2KF8BzTsyrPH7DrAaZYNVD67SGpump", "View")</f>
        <v/>
      </c>
    </row>
    <row r="188">
      <c r="A188" s="15" t="inlineStr">
        <is>
          <t>3300</t>
        </is>
      </c>
      <c r="B188" s="16" t="n">
        <v>197788</v>
      </c>
      <c r="C188" s="16" t="n">
        <v>98894</v>
      </c>
      <c r="D188" s="16" t="inlineStr">
        <is>
          <t>0.000110</t>
        </is>
      </c>
      <c r="E188" s="16" t="inlineStr">
        <is>
          <t>0.100 SOL</t>
        </is>
      </c>
      <c r="F188" s="16" t="inlineStr">
        <is>
          <t>0.097 SOL</t>
        </is>
      </c>
      <c r="G188" s="21" t="inlineStr">
        <is>
          <t>-0.003 SOL</t>
        </is>
      </c>
      <c r="H188" s="21" t="inlineStr">
        <is>
          <t>-2.90%</t>
        </is>
      </c>
      <c r="I188" s="16" t="inlineStr">
        <is>
          <t>N/A</t>
        </is>
      </c>
      <c r="J188" s="16" t="n">
        <v>1</v>
      </c>
      <c r="K188" s="16" t="n">
        <v>1</v>
      </c>
      <c r="L188" s="16" t="inlineStr">
        <is>
          <t>24.10.2024 10:51:24</t>
        </is>
      </c>
      <c r="M188" s="16" t="inlineStr">
        <is>
          <t>4 min</t>
        </is>
      </c>
      <c r="N188" s="16" t="inlineStr">
        <is>
          <t xml:space="preserve">         90K           172K             7K</t>
        </is>
      </c>
      <c r="O188" s="16" t="inlineStr">
        <is>
          <t>DMro6sb9KXzRsHo4qqxiTQweTLcapHYFvAeDzqYBpump</t>
        </is>
      </c>
      <c r="P188" s="16">
        <f>HYPERLINK("https://dexscreener.com/solana/DMro6sb9KXzRsHo4qqxiTQweTLcapHYFvAeDzqYBpump", "View")</f>
        <v/>
      </c>
    </row>
    <row r="189">
      <c r="A189" s="19" t="inlineStr">
        <is>
          <t xml:space="preserve">Bats </t>
        </is>
      </c>
      <c r="B189" s="20" t="n">
        <v>156706</v>
      </c>
      <c r="C189" s="20" t="n">
        <v>0</v>
      </c>
      <c r="D189" s="20" t="inlineStr">
        <is>
          <t>0.000060</t>
        </is>
      </c>
      <c r="E189" s="20" t="inlineStr">
        <is>
          <t>0.100 SOL</t>
        </is>
      </c>
      <c r="F189" s="20" t="inlineStr">
        <is>
          <t>0.000 SOL</t>
        </is>
      </c>
      <c r="G189" s="17" t="inlineStr">
        <is>
          <t>-0.100 SOL</t>
        </is>
      </c>
      <c r="H189" s="17" t="inlineStr">
        <is>
          <t>0.00%</t>
        </is>
      </c>
      <c r="I189" s="20" t="inlineStr">
        <is>
          <t>156,706</t>
        </is>
      </c>
      <c r="J189" s="20" t="n">
        <v>1</v>
      </c>
      <c r="K189" s="20" t="n">
        <v>0</v>
      </c>
      <c r="L189" s="20" t="inlineStr">
        <is>
          <t>24.10.2024 10:39:03</t>
        </is>
      </c>
      <c r="M189" s="18" t="inlineStr">
        <is>
          <t>0 sec</t>
        </is>
      </c>
      <c r="N189" s="20" t="inlineStr">
        <is>
          <t xml:space="preserve">        112K           112K             3K</t>
        </is>
      </c>
      <c r="O189" s="20" t="inlineStr">
        <is>
          <t>H1tqLeomYW71YgHa9Zsm5DDnHnCngGAmkejVMHT7pump</t>
        </is>
      </c>
      <c r="P189" s="20">
        <f>HYPERLINK("https://dexscreener.com/solana/H1tqLeomYW71YgHa9Zsm5DDnHnCngGAmkejVMHT7pump", "View")</f>
        <v/>
      </c>
    </row>
    <row r="190">
      <c r="A190" s="15" t="inlineStr">
        <is>
          <t>EMILIA</t>
        </is>
      </c>
      <c r="B190" s="16" t="n">
        <v>224302</v>
      </c>
      <c r="C190" s="16" t="n">
        <v>112151</v>
      </c>
      <c r="D190" s="16" t="inlineStr">
        <is>
          <t>0.000110</t>
        </is>
      </c>
      <c r="E190" s="16" t="inlineStr">
        <is>
          <t>0.100 SOL</t>
        </is>
      </c>
      <c r="F190" s="16" t="inlineStr">
        <is>
          <t>0.116 SOL</t>
        </is>
      </c>
      <c r="G190" s="22" t="inlineStr">
        <is>
          <t>0.015 SOL</t>
        </is>
      </c>
      <c r="H190" s="22" t="inlineStr">
        <is>
          <t>15.40%</t>
        </is>
      </c>
      <c r="I190" s="16" t="inlineStr">
        <is>
          <t>N/A</t>
        </is>
      </c>
      <c r="J190" s="16" t="n">
        <v>1</v>
      </c>
      <c r="K190" s="16" t="n">
        <v>1</v>
      </c>
      <c r="L190" s="16" t="inlineStr">
        <is>
          <t>24.10.2024 10:38:26</t>
        </is>
      </c>
      <c r="M190" s="16" t="inlineStr">
        <is>
          <t>2 min</t>
        </is>
      </c>
      <c r="N190" s="16" t="inlineStr">
        <is>
          <t xml:space="preserve">         79K           181K             4K</t>
        </is>
      </c>
      <c r="O190" s="16" t="inlineStr">
        <is>
          <t>DiVdD5yfwQ3v2aHwUU6VUQEaLn89BpPWXaveMY1Wpump</t>
        </is>
      </c>
      <c r="P190" s="16">
        <f>HYPERLINK("https://dexscreener.com/solana/DiVdD5yfwQ3v2aHwUU6VUQEaLn89BpPWXaveMY1Wpump", "View")</f>
        <v/>
      </c>
    </row>
    <row r="191">
      <c r="A191" s="19" t="inlineStr">
        <is>
          <t>DaddyAI</t>
        </is>
      </c>
      <c r="B191" s="20" t="n">
        <v>199694</v>
      </c>
      <c r="C191" s="20" t="n">
        <v>199694</v>
      </c>
      <c r="D191" s="20" t="inlineStr">
        <is>
          <t>0.000160</t>
        </is>
      </c>
      <c r="E191" s="20" t="inlineStr">
        <is>
          <t>0.100 SOL</t>
        </is>
      </c>
      <c r="F191" s="20" t="inlineStr">
        <is>
          <t>0.406 SOL</t>
        </is>
      </c>
      <c r="G191" s="23" t="inlineStr">
        <is>
          <t>0.306 SOL</t>
        </is>
      </c>
      <c r="H191" s="23" t="inlineStr">
        <is>
          <t>305.55%</t>
        </is>
      </c>
      <c r="I191" s="20" t="inlineStr">
        <is>
          <t>N/A</t>
        </is>
      </c>
      <c r="J191" s="20" t="n">
        <v>1</v>
      </c>
      <c r="K191" s="20" t="n">
        <v>2</v>
      </c>
      <c r="L191" s="20" t="inlineStr">
        <is>
          <t>24.10.2024 10:34:40</t>
        </is>
      </c>
      <c r="M191" s="20" t="inlineStr">
        <is>
          <t>56 min</t>
        </is>
      </c>
      <c r="N191" s="20" t="inlineStr">
        <is>
          <t xml:space="preserve">         88K           218K            16K</t>
        </is>
      </c>
      <c r="O191" s="20" t="inlineStr">
        <is>
          <t>BxJ1rwhiiLfWQ9DFfsu8DVUHLkfkW3VH1hnJQP1xDcpq</t>
        </is>
      </c>
      <c r="P191" s="20">
        <f>HYPERLINK("https://dexscreener.com/solana/BxJ1rwhiiLfWQ9DFfsu8DVUHLkfkW3VH1hnJQP1xDcpq", "View")</f>
        <v/>
      </c>
    </row>
    <row r="192">
      <c r="A192" s="15" t="inlineStr">
        <is>
          <t>TATERM</t>
        </is>
      </c>
      <c r="B192" s="16" t="n">
        <v>283722</v>
      </c>
      <c r="C192" s="16" t="n">
        <v>0</v>
      </c>
      <c r="D192" s="16" t="inlineStr">
        <is>
          <t>0.000060</t>
        </is>
      </c>
      <c r="E192" s="16" t="inlineStr">
        <is>
          <t>0.100 SOL</t>
        </is>
      </c>
      <c r="F192" s="16" t="inlineStr">
        <is>
          <t>0.000 SOL</t>
        </is>
      </c>
      <c r="G192" s="17" t="inlineStr">
        <is>
          <t>-0.100 SOL</t>
        </is>
      </c>
      <c r="H192" s="17" t="inlineStr">
        <is>
          <t>0.00%</t>
        </is>
      </c>
      <c r="I192" s="16" t="inlineStr">
        <is>
          <t>283,722</t>
        </is>
      </c>
      <c r="J192" s="16" t="n">
        <v>1</v>
      </c>
      <c r="K192" s="16" t="n">
        <v>0</v>
      </c>
      <c r="L192" s="16" t="inlineStr">
        <is>
          <t>24.10.2024 10:13:08</t>
        </is>
      </c>
      <c r="M192" s="18" t="inlineStr">
        <is>
          <t>0 sec</t>
        </is>
      </c>
      <c r="N192" s="16" t="inlineStr">
        <is>
          <t xml:space="preserve">         61K            61K             3K</t>
        </is>
      </c>
      <c r="O192" s="16" t="inlineStr">
        <is>
          <t>6Zscc1zS3YemZMCx1QmUoQKmX7V5oZJ9MZ5vZb7Xpump</t>
        </is>
      </c>
      <c r="P192" s="16">
        <f>HYPERLINK("https://dexscreener.com/solana/6Zscc1zS3YemZMCx1QmUoQKmX7V5oZJ9MZ5vZb7Xpump", "View")</f>
        <v/>
      </c>
    </row>
    <row r="193">
      <c r="A193" s="19" t="inlineStr">
        <is>
          <t>TT</t>
        </is>
      </c>
      <c r="B193" s="20" t="n">
        <v>42066</v>
      </c>
      <c r="C193" s="20" t="n">
        <v>42066</v>
      </c>
      <c r="D193" s="20" t="inlineStr">
        <is>
          <t>0.000160</t>
        </is>
      </c>
      <c r="E193" s="20" t="inlineStr">
        <is>
          <t>0.100 SOL</t>
        </is>
      </c>
      <c r="F193" s="20" t="inlineStr">
        <is>
          <t>0.321 SOL</t>
        </is>
      </c>
      <c r="G193" s="23" t="inlineStr">
        <is>
          <t>0.221 SOL</t>
        </is>
      </c>
      <c r="H193" s="23" t="inlineStr">
        <is>
          <t>220.69%</t>
        </is>
      </c>
      <c r="I193" s="20" t="inlineStr">
        <is>
          <t>N/A</t>
        </is>
      </c>
      <c r="J193" s="20" t="n">
        <v>1</v>
      </c>
      <c r="K193" s="20" t="n">
        <v>2</v>
      </c>
      <c r="L193" s="20" t="inlineStr">
        <is>
          <t>24.10.2024 09:52:20</t>
        </is>
      </c>
      <c r="M193" s="20" t="inlineStr">
        <is>
          <t>1 hours</t>
        </is>
      </c>
      <c r="N193" s="20" t="inlineStr">
        <is>
          <t xml:space="preserve">        418K             1M            41K</t>
        </is>
      </c>
      <c r="O193" s="20" t="inlineStr">
        <is>
          <t>B2tekTmmhg9vQt5fofya5qP3j4CXsC26TFnez5Wnpump</t>
        </is>
      </c>
      <c r="P193" s="20">
        <f>HYPERLINK("https://dexscreener.com/solana/B2tekTmmhg9vQt5fofya5qP3j4CXsC26TFnez5Wnpump", "View")</f>
        <v/>
      </c>
    </row>
    <row r="194">
      <c r="A194" s="15" t="inlineStr">
        <is>
          <t>BONGO</t>
        </is>
      </c>
      <c r="B194" s="16" t="n">
        <v>211145</v>
      </c>
      <c r="C194" s="16" t="n">
        <v>0</v>
      </c>
      <c r="D194" s="16" t="inlineStr">
        <is>
          <t>0.000060</t>
        </is>
      </c>
      <c r="E194" s="16" t="inlineStr">
        <is>
          <t>0.100 SOL</t>
        </is>
      </c>
      <c r="F194" s="16" t="inlineStr">
        <is>
          <t>0.000 SOL</t>
        </is>
      </c>
      <c r="G194" s="17" t="inlineStr">
        <is>
          <t>-0.100 SOL</t>
        </is>
      </c>
      <c r="H194" s="17" t="inlineStr">
        <is>
          <t>0.00%</t>
        </is>
      </c>
      <c r="I194" s="16" t="inlineStr">
        <is>
          <t>211,145</t>
        </is>
      </c>
      <c r="J194" s="16" t="n">
        <v>1</v>
      </c>
      <c r="K194" s="16" t="n">
        <v>0</v>
      </c>
      <c r="L194" s="16" t="inlineStr">
        <is>
          <t>24.10.2024 08:37:02</t>
        </is>
      </c>
      <c r="M194" s="18" t="inlineStr">
        <is>
          <t>0 sec</t>
        </is>
      </c>
      <c r="N194" s="16" t="inlineStr">
        <is>
          <t xml:space="preserve">         83K            83K             3K</t>
        </is>
      </c>
      <c r="O194" s="16" t="inlineStr">
        <is>
          <t>6LzfE2aoeKqz1BWCv1CWW8hZx992dEEKHbtjNLVJpump</t>
        </is>
      </c>
      <c r="P194" s="16">
        <f>HYPERLINK("https://dexscreener.com/solana/6LzfE2aoeKqz1BWCv1CWW8hZx992dEEKHbtjNLVJpump", "View")</f>
        <v/>
      </c>
    </row>
    <row r="195">
      <c r="A195" s="19" t="inlineStr">
        <is>
          <t>TATE</t>
        </is>
      </c>
      <c r="B195" s="20" t="n">
        <v>440866</v>
      </c>
      <c r="C195" s="20" t="n">
        <v>0</v>
      </c>
      <c r="D195" s="20" t="inlineStr">
        <is>
          <t>0.000060</t>
        </is>
      </c>
      <c r="E195" s="20" t="inlineStr">
        <is>
          <t>0.105 SOL</t>
        </is>
      </c>
      <c r="F195" s="20" t="inlineStr">
        <is>
          <t>0.000 SOL</t>
        </is>
      </c>
      <c r="G195" s="17" t="inlineStr">
        <is>
          <t>-0.105 SOL</t>
        </is>
      </c>
      <c r="H195" s="17" t="inlineStr">
        <is>
          <t>0.00%</t>
        </is>
      </c>
      <c r="I195" s="20" t="inlineStr">
        <is>
          <t>440,866</t>
        </is>
      </c>
      <c r="J195" s="20" t="n">
        <v>1</v>
      </c>
      <c r="K195" s="20" t="n">
        <v>0</v>
      </c>
      <c r="L195" s="20" t="inlineStr">
        <is>
          <t>24.10.2024 08:27:06</t>
        </is>
      </c>
      <c r="M195" s="18" t="inlineStr">
        <is>
          <t>0 sec</t>
        </is>
      </c>
      <c r="N195" s="20" t="inlineStr">
        <is>
          <t xml:space="preserve">         42K            42K             5K</t>
        </is>
      </c>
      <c r="O195" s="20" t="inlineStr">
        <is>
          <t>Mj8x7aV7bwrkZ4fLr3gC4MJmq8jmMyMCJLHCBbFpump</t>
        </is>
      </c>
      <c r="P195" s="20">
        <f>HYPERLINK("https://photon-sol.tinyastro.io/en/lp/Mj8x7aV7bwrkZ4fLr3gC4MJmq8jmMyMCJLHCBbFpump?handle=676050794bc1b1657a56b", "View")</f>
        <v/>
      </c>
    </row>
    <row r="196">
      <c r="A196" s="15" t="inlineStr">
        <is>
          <t>🇨🇳</t>
        </is>
      </c>
      <c r="B196" s="16" t="n">
        <v>1751257</v>
      </c>
      <c r="C196" s="16" t="n">
        <v>1340348</v>
      </c>
      <c r="D196" s="16" t="inlineStr">
        <is>
          <t>0.000280</t>
        </is>
      </c>
      <c r="E196" s="16" t="inlineStr">
        <is>
          <t>0.300 SOL</t>
        </is>
      </c>
      <c r="F196" s="16" t="inlineStr">
        <is>
          <t>0.302 SOL</t>
        </is>
      </c>
      <c r="G196" s="22" t="inlineStr">
        <is>
          <t>0.001 SOL</t>
        </is>
      </c>
      <c r="H196" s="22" t="inlineStr">
        <is>
          <t>0.46%</t>
        </is>
      </c>
      <c r="I196" s="16" t="inlineStr">
        <is>
          <t>N/A</t>
        </is>
      </c>
      <c r="J196" s="16" t="n">
        <v>3</v>
      </c>
      <c r="K196" s="16" t="n">
        <v>2</v>
      </c>
      <c r="L196" s="16" t="inlineStr">
        <is>
          <t>24.10.2024 06:58:21</t>
        </is>
      </c>
      <c r="M196" s="16" t="inlineStr">
        <is>
          <t>17 days</t>
        </is>
      </c>
      <c r="N196" s="16" t="inlineStr">
        <is>
          <t xml:space="preserve">         42K            26K            43K</t>
        </is>
      </c>
      <c r="O196" s="16" t="inlineStr">
        <is>
          <t>H4as6Btk8xycJSSES4hhLEYvcbEnHiqD1xGsMU8Bpump</t>
        </is>
      </c>
      <c r="P196" s="16">
        <f>HYPERLINK("https://dexscreener.com/solana/H4as6Btk8xycJSSES4hhLEYvcbEnHiqD1xGsMU8Bpump", "View")</f>
        <v/>
      </c>
    </row>
    <row r="197">
      <c r="A197" s="19" t="inlineStr">
        <is>
          <t>PLAYFUL</t>
        </is>
      </c>
      <c r="B197" s="20" t="n">
        <v>1113509</v>
      </c>
      <c r="C197" s="20" t="n">
        <v>1113509</v>
      </c>
      <c r="D197" s="20" t="inlineStr">
        <is>
          <t>0.000220</t>
        </is>
      </c>
      <c r="E197" s="20" t="inlineStr">
        <is>
          <t>0.210 SOL</t>
        </is>
      </c>
      <c r="F197" s="20" t="inlineStr">
        <is>
          <t>0.114 SOL</t>
        </is>
      </c>
      <c r="G197" s="21" t="inlineStr">
        <is>
          <t>-0.096 SOL</t>
        </is>
      </c>
      <c r="H197" s="21" t="inlineStr">
        <is>
          <t>-45.65%</t>
        </is>
      </c>
      <c r="I197" s="20" t="inlineStr">
        <is>
          <t>N/A</t>
        </is>
      </c>
      <c r="J197" s="20" t="n">
        <v>2</v>
      </c>
      <c r="K197" s="20" t="n">
        <v>2</v>
      </c>
      <c r="L197" s="20" t="inlineStr">
        <is>
          <t>24.10.2024 00:50:23</t>
        </is>
      </c>
      <c r="M197" s="20" t="inlineStr">
        <is>
          <t>18 hours</t>
        </is>
      </c>
      <c r="N197" s="20" t="inlineStr">
        <is>
          <t xml:space="preserve">        N/A           N/A           N/A</t>
        </is>
      </c>
      <c r="O197" s="20" t="inlineStr">
        <is>
          <t>uFFzWZ9t9D5VECS291E6QHR4MygbCJTjtaDyDgwpump</t>
        </is>
      </c>
      <c r="P197" s="20">
        <f>HYPERLINK("https://photon-sol.tinyastro.io/en/lp/uFFzWZ9t9D5VECS291E6QHR4MygbCJTjtaDyDgwpump?handle=676050794bc1b1657a56b", "View")</f>
        <v/>
      </c>
    </row>
    <row r="198">
      <c r="A198" s="15" t="inlineStr">
        <is>
          <t>sophia</t>
        </is>
      </c>
      <c r="B198" s="16" t="n">
        <v>622411</v>
      </c>
      <c r="C198" s="16" t="n">
        <v>622411</v>
      </c>
      <c r="D198" s="16" t="inlineStr">
        <is>
          <t>0.000110</t>
        </is>
      </c>
      <c r="E198" s="16" t="inlineStr">
        <is>
          <t>0.100 SOL</t>
        </is>
      </c>
      <c r="F198" s="16" t="inlineStr">
        <is>
          <t>0.069 SOL</t>
        </is>
      </c>
      <c r="G198" s="21" t="inlineStr">
        <is>
          <t>-0.031 SOL</t>
        </is>
      </c>
      <c r="H198" s="21" t="inlineStr">
        <is>
          <t>-31.11%</t>
        </is>
      </c>
      <c r="I198" s="16" t="inlineStr">
        <is>
          <t>N/A</t>
        </is>
      </c>
      <c r="J198" s="16" t="n">
        <v>1</v>
      </c>
      <c r="K198" s="16" t="n">
        <v>1</v>
      </c>
      <c r="L198" s="16" t="inlineStr">
        <is>
          <t>24.10.2024 00:50:08</t>
        </is>
      </c>
      <c r="M198" s="16" t="inlineStr">
        <is>
          <t>16 hours</t>
        </is>
      </c>
      <c r="N198" s="16" t="inlineStr">
        <is>
          <t xml:space="preserve">         28K            19K             7K</t>
        </is>
      </c>
      <c r="O198" s="16" t="inlineStr">
        <is>
          <t>7DssKRwQJyyu93pwzMYA1bYMU7fTjbtkKQyLCdpppump</t>
        </is>
      </c>
      <c r="P198" s="16">
        <f>HYPERLINK("https://dexscreener.com/solana/7DssKRwQJyyu93pwzMYA1bYMU7fTjbtkKQyLCdpppump", "View")</f>
        <v/>
      </c>
    </row>
    <row r="199">
      <c r="A199" s="19" t="inlineStr">
        <is>
          <t>DOTTIE</t>
        </is>
      </c>
      <c r="B199" s="20" t="n">
        <v>169201</v>
      </c>
      <c r="C199" s="20" t="n">
        <v>169201</v>
      </c>
      <c r="D199" s="20" t="inlineStr">
        <is>
          <t>0.000110</t>
        </is>
      </c>
      <c r="E199" s="20" t="inlineStr">
        <is>
          <t>0.100 SOL</t>
        </is>
      </c>
      <c r="F199" s="20" t="inlineStr">
        <is>
          <t>0.032 SOL</t>
        </is>
      </c>
      <c r="G199" s="24" t="inlineStr">
        <is>
          <t>-0.068 SOL</t>
        </is>
      </c>
      <c r="H199" s="24" t="inlineStr">
        <is>
          <t>-67.64%</t>
        </is>
      </c>
      <c r="I199" s="20" t="inlineStr">
        <is>
          <t>N/A</t>
        </is>
      </c>
      <c r="J199" s="20" t="n">
        <v>1</v>
      </c>
      <c r="K199" s="20" t="n">
        <v>1</v>
      </c>
      <c r="L199" s="20" t="inlineStr">
        <is>
          <t>23.10.2024 08:31:44</t>
        </is>
      </c>
      <c r="M199" s="20" t="inlineStr">
        <is>
          <t>33 min</t>
        </is>
      </c>
      <c r="N199" s="20" t="inlineStr">
        <is>
          <t xml:space="preserve">        104K            33K             5K</t>
        </is>
      </c>
      <c r="O199" s="20" t="inlineStr">
        <is>
          <t>fXrocZXTrfUQ6ocGbM2z89ZXSZ5k6nxqM3Np1pZpump</t>
        </is>
      </c>
      <c r="P199" s="20">
        <f>HYPERLINK("https://dexscreener.com/solana/fXrocZXTrfUQ6ocGbM2z89ZXSZ5k6nxqM3Np1pZpump", "View")</f>
        <v/>
      </c>
    </row>
    <row r="200">
      <c r="A200" s="15" t="inlineStr">
        <is>
          <t>Katsuaki</t>
        </is>
      </c>
      <c r="B200" s="16" t="n">
        <v>339815</v>
      </c>
      <c r="C200" s="16" t="n">
        <v>339815</v>
      </c>
      <c r="D200" s="16" t="inlineStr">
        <is>
          <t>0.000110</t>
        </is>
      </c>
      <c r="E200" s="16" t="inlineStr">
        <is>
          <t>0.104 SOL</t>
        </is>
      </c>
      <c r="F200" s="16" t="inlineStr">
        <is>
          <t>0.081 SOL</t>
        </is>
      </c>
      <c r="G200" s="21" t="inlineStr">
        <is>
          <t>-0.023 SOL</t>
        </is>
      </c>
      <c r="H200" s="21" t="inlineStr">
        <is>
          <t>-21.86%</t>
        </is>
      </c>
      <c r="I200" s="16" t="inlineStr">
        <is>
          <t>N/A</t>
        </is>
      </c>
      <c r="J200" s="16" t="n">
        <v>1</v>
      </c>
      <c r="K200" s="16" t="n">
        <v>1</v>
      </c>
      <c r="L200" s="16" t="inlineStr">
        <is>
          <t>23.10.2024 08:26:31</t>
        </is>
      </c>
      <c r="M200" s="16" t="inlineStr">
        <is>
          <t>34 min</t>
        </is>
      </c>
      <c r="N200" s="16" t="inlineStr">
        <is>
          <t xml:space="preserve">         54K            42K             5K</t>
        </is>
      </c>
      <c r="O200" s="16" t="inlineStr">
        <is>
          <t>8xgCqhHtEi5tmd3X6oQ4zcCQjEAnTVazy5UkD5MApump</t>
        </is>
      </c>
      <c r="P200" s="16">
        <f>HYPERLINK("https://photon-sol.tinyastro.io/en/lp/8xgCqhHtEi5tmd3X6oQ4zcCQjEAnTVazy5UkD5MApump?handle=676050794bc1b1657a56b", "View")</f>
        <v/>
      </c>
    </row>
    <row r="201">
      <c r="A201" s="19" t="inlineStr">
        <is>
          <t>VDE</t>
        </is>
      </c>
      <c r="B201" s="20" t="n">
        <v>760224</v>
      </c>
      <c r="C201" s="20" t="n">
        <v>760224</v>
      </c>
      <c r="D201" s="20" t="inlineStr">
        <is>
          <t>0.000110</t>
        </is>
      </c>
      <c r="E201" s="20" t="inlineStr">
        <is>
          <t>0.104 SOL</t>
        </is>
      </c>
      <c r="F201" s="20" t="inlineStr">
        <is>
          <t>0.044 SOL</t>
        </is>
      </c>
      <c r="G201" s="24" t="inlineStr">
        <is>
          <t>-0.060 SOL</t>
        </is>
      </c>
      <c r="H201" s="24" t="inlineStr">
        <is>
          <t>-57.74%</t>
        </is>
      </c>
      <c r="I201" s="20" t="inlineStr">
        <is>
          <t>N/A</t>
        </is>
      </c>
      <c r="J201" s="20" t="n">
        <v>1</v>
      </c>
      <c r="K201" s="20" t="n">
        <v>1</v>
      </c>
      <c r="L201" s="20" t="inlineStr">
        <is>
          <t>23.10.2024 07:52:54</t>
        </is>
      </c>
      <c r="M201" s="20" t="inlineStr">
        <is>
          <t>31 min</t>
        </is>
      </c>
      <c r="N201" s="20" t="inlineStr">
        <is>
          <t xml:space="preserve">        N/A           N/A           N/A</t>
        </is>
      </c>
      <c r="O201" s="20" t="inlineStr">
        <is>
          <t>GSUvDq9EBbPsA58N6BLTBZP6oor96dZSDu2X7Zo4pump</t>
        </is>
      </c>
      <c r="P201" s="20">
        <f>HYPERLINK("https://photon-sol.tinyastro.io/en/lp/GSUvDq9EBbPsA58N6BLTBZP6oor96dZSDu2X7Zo4pump?handle=676050794bc1b1657a56b", "View")</f>
        <v/>
      </c>
    </row>
    <row r="202">
      <c r="A202" s="15" t="inlineStr">
        <is>
          <t>Gebo</t>
        </is>
      </c>
      <c r="B202" s="16" t="n">
        <v>640320</v>
      </c>
      <c r="C202" s="16" t="n">
        <v>640320</v>
      </c>
      <c r="D202" s="16" t="inlineStr">
        <is>
          <t>0.000110</t>
        </is>
      </c>
      <c r="E202" s="16" t="inlineStr">
        <is>
          <t>0.104 SOL</t>
        </is>
      </c>
      <c r="F202" s="16" t="inlineStr">
        <is>
          <t>0.020 SOL</t>
        </is>
      </c>
      <c r="G202" s="24" t="inlineStr">
        <is>
          <t>-0.085 SOL</t>
        </is>
      </c>
      <c r="H202" s="24" t="inlineStr">
        <is>
          <t>-81.21%</t>
        </is>
      </c>
      <c r="I202" s="16" t="inlineStr">
        <is>
          <t>N/A</t>
        </is>
      </c>
      <c r="J202" s="16" t="n">
        <v>1</v>
      </c>
      <c r="K202" s="16" t="n">
        <v>1</v>
      </c>
      <c r="L202" s="16" t="inlineStr">
        <is>
          <t>23.10.2024 06:59:31</t>
        </is>
      </c>
      <c r="M202" s="16" t="inlineStr">
        <is>
          <t>1 days</t>
        </is>
      </c>
      <c r="N202" s="16" t="inlineStr">
        <is>
          <t xml:space="preserve">         28K            28K             5K</t>
        </is>
      </c>
      <c r="O202" s="16" t="inlineStr">
        <is>
          <t>3mkNHqzKhEic7dbqDZeLRdNwxZVKBnP14HSVMVzwpump</t>
        </is>
      </c>
      <c r="P202" s="16">
        <f>HYPERLINK("https://photon-sol.tinyastro.io/en/lp/3mkNHqzKhEic7dbqDZeLRdNwxZVKBnP14HSVMVzwpump?handle=676050794bc1b1657a56b", "View")</f>
        <v/>
      </c>
    </row>
    <row r="203">
      <c r="A203" s="19" t="inlineStr">
        <is>
          <t>88022</t>
        </is>
      </c>
      <c r="B203" s="20" t="n">
        <v>559774</v>
      </c>
      <c r="C203" s="20" t="n">
        <v>559774</v>
      </c>
      <c r="D203" s="20" t="inlineStr">
        <is>
          <t>0.000110</t>
        </is>
      </c>
      <c r="E203" s="20" t="inlineStr">
        <is>
          <t>0.104 SOL</t>
        </is>
      </c>
      <c r="F203" s="20" t="inlineStr">
        <is>
          <t>0.040 SOL</t>
        </is>
      </c>
      <c r="G203" s="24" t="inlineStr">
        <is>
          <t>-0.064 SOL</t>
        </is>
      </c>
      <c r="H203" s="24" t="inlineStr">
        <is>
          <t>-61.49%</t>
        </is>
      </c>
      <c r="I203" s="20" t="inlineStr">
        <is>
          <t>N/A</t>
        </is>
      </c>
      <c r="J203" s="20" t="n">
        <v>1</v>
      </c>
      <c r="K203" s="20" t="n">
        <v>1</v>
      </c>
      <c r="L203" s="20" t="inlineStr">
        <is>
          <t>23.10.2024 06:58:47</t>
        </is>
      </c>
      <c r="M203" s="20" t="inlineStr">
        <is>
          <t>1 hours</t>
        </is>
      </c>
      <c r="N203" s="20" t="inlineStr">
        <is>
          <t xml:space="preserve">        N/A           N/A           N/A</t>
        </is>
      </c>
      <c r="O203" s="20" t="inlineStr">
        <is>
          <t>FXQdys3HGuX1vWwLDivTmBCzpVrsBn3CQdebKVtQpump</t>
        </is>
      </c>
      <c r="P203" s="20">
        <f>HYPERLINK("https://photon-sol.tinyastro.io/en/lp/FXQdys3HGuX1vWwLDivTmBCzpVrsBn3CQdebKVtQpump?handle=676050794bc1b1657a56b", "View")</f>
        <v/>
      </c>
    </row>
    <row r="204">
      <c r="A204" s="15" t="inlineStr">
        <is>
          <t>GJSM</t>
        </is>
      </c>
      <c r="B204" s="16" t="n">
        <v>23435</v>
      </c>
      <c r="C204" s="16" t="n">
        <v>23435</v>
      </c>
      <c r="D204" s="16" t="inlineStr">
        <is>
          <t>0.000110</t>
        </is>
      </c>
      <c r="E204" s="16" t="inlineStr">
        <is>
          <t>0.100 SOL</t>
        </is>
      </c>
      <c r="F204" s="16" t="inlineStr">
        <is>
          <t>0.077 SOL</t>
        </is>
      </c>
      <c r="G204" s="21" t="inlineStr">
        <is>
          <t>-0.023 SOL</t>
        </is>
      </c>
      <c r="H204" s="21" t="inlineStr">
        <is>
          <t>-22.84%</t>
        </is>
      </c>
      <c r="I204" s="16" t="inlineStr">
        <is>
          <t>N/A</t>
        </is>
      </c>
      <c r="J204" s="16" t="n">
        <v>1</v>
      </c>
      <c r="K204" s="16" t="n">
        <v>1</v>
      </c>
      <c r="L204" s="16" t="inlineStr">
        <is>
          <t>23.10.2024 06:58:16</t>
        </is>
      </c>
      <c r="M204" s="16" t="inlineStr">
        <is>
          <t>16 min</t>
        </is>
      </c>
      <c r="N204" s="16" t="inlineStr">
        <is>
          <t xml:space="preserve">        750K           580K            38K</t>
        </is>
      </c>
      <c r="O204" s="16" t="inlineStr">
        <is>
          <t>GDEuw8cG6TyAE3hwbFYmTEGVSHWHohLVPkQ3anTBpump</t>
        </is>
      </c>
      <c r="P204" s="16">
        <f>HYPERLINK("https://dexscreener.com/solana/GDEuw8cG6TyAE3hwbFYmTEGVSHWHohLVPkQ3anTBpump", "View")</f>
        <v/>
      </c>
    </row>
    <row r="205">
      <c r="A205" s="19" t="inlineStr">
        <is>
          <t>ASTROLOGY</t>
        </is>
      </c>
      <c r="B205" s="20" t="n">
        <v>1347882</v>
      </c>
      <c r="C205" s="20" t="n">
        <v>1347882</v>
      </c>
      <c r="D205" s="20" t="inlineStr">
        <is>
          <t>0.000160</t>
        </is>
      </c>
      <c r="E205" s="20" t="inlineStr">
        <is>
          <t>0.111 SOL</t>
        </is>
      </c>
      <c r="F205" s="20" t="inlineStr">
        <is>
          <t>0.520 SOL</t>
        </is>
      </c>
      <c r="G205" s="23" t="inlineStr">
        <is>
          <t>0.409 SOL</t>
        </is>
      </c>
      <c r="H205" s="23" t="inlineStr">
        <is>
          <t>368.51%</t>
        </is>
      </c>
      <c r="I205" s="20" t="inlineStr">
        <is>
          <t>N/A</t>
        </is>
      </c>
      <c r="J205" s="20" t="n">
        <v>1</v>
      </c>
      <c r="K205" s="20" t="n">
        <v>2</v>
      </c>
      <c r="L205" s="20" t="inlineStr">
        <is>
          <t>23.10.2024 04:17:44</t>
        </is>
      </c>
      <c r="M205" s="20" t="inlineStr">
        <is>
          <t>1 hours</t>
        </is>
      </c>
      <c r="N205" s="20" t="inlineStr">
        <is>
          <t xml:space="preserve">         14K            21K             4K</t>
        </is>
      </c>
      <c r="O205" s="20" t="inlineStr">
        <is>
          <t>29Jy4A9X8gS1JDroW21JdGgT4bM4Wv5Q7ydXPZJ9pump</t>
        </is>
      </c>
      <c r="P205" s="20">
        <f>HYPERLINK("https://photon-sol.tinyastro.io/en/lp/29Jy4A9X8gS1JDroW21JdGgT4bM4Wv5Q7ydXPZJ9pump?handle=676050794bc1b1657a56b", "View")</f>
        <v/>
      </c>
    </row>
    <row r="206">
      <c r="A206" s="15" t="inlineStr">
        <is>
          <t>WMM</t>
        </is>
      </c>
      <c r="B206" s="16" t="n">
        <v>4757</v>
      </c>
      <c r="C206" s="16" t="n">
        <v>4757</v>
      </c>
      <c r="D206" s="16" t="inlineStr">
        <is>
          <t>0.000110</t>
        </is>
      </c>
      <c r="E206" s="16" t="inlineStr">
        <is>
          <t>0.100 SOL</t>
        </is>
      </c>
      <c r="F206" s="16" t="inlineStr">
        <is>
          <t>0.154 SOL</t>
        </is>
      </c>
      <c r="G206" s="23" t="inlineStr">
        <is>
          <t>0.054 SOL</t>
        </is>
      </c>
      <c r="H206" s="23" t="inlineStr">
        <is>
          <t>53.70%</t>
        </is>
      </c>
      <c r="I206" s="16" t="inlineStr">
        <is>
          <t>N/A</t>
        </is>
      </c>
      <c r="J206" s="16" t="n">
        <v>1</v>
      </c>
      <c r="K206" s="16" t="n">
        <v>1</v>
      </c>
      <c r="L206" s="16" t="inlineStr">
        <is>
          <t>22.10.2024 23:52:50</t>
        </is>
      </c>
      <c r="M206" s="16" t="inlineStr">
        <is>
          <t>17 hours</t>
        </is>
      </c>
      <c r="N206" s="16" t="inlineStr">
        <is>
          <t xml:space="preserve">          4M             4M             4M</t>
        </is>
      </c>
      <c r="O206" s="16" t="inlineStr">
        <is>
          <t>9pWPUXoZKWNPWyaegPQeR3Kn8aFz9nrGtm5jeAFzpump</t>
        </is>
      </c>
      <c r="P206" s="16">
        <f>HYPERLINK("https://dexscreener.com/solana/9pWPUXoZKWNPWyaegPQeR3Kn8aFz9nrGtm5jeAFzpump", "View")</f>
        <v/>
      </c>
    </row>
    <row r="207">
      <c r="A207" s="19" t="inlineStr">
        <is>
          <t>Dog</t>
        </is>
      </c>
      <c r="B207" s="20" t="n">
        <v>12880</v>
      </c>
      <c r="C207" s="20" t="n">
        <v>12880</v>
      </c>
      <c r="D207" s="20" t="inlineStr">
        <is>
          <t>0.000110</t>
        </is>
      </c>
      <c r="E207" s="20" t="inlineStr">
        <is>
          <t>0.100 SOL</t>
        </is>
      </c>
      <c r="F207" s="20" t="inlineStr">
        <is>
          <t>0.073 SOL</t>
        </is>
      </c>
      <c r="G207" s="21" t="inlineStr">
        <is>
          <t>-0.027 SOL</t>
        </is>
      </c>
      <c r="H207" s="21" t="inlineStr">
        <is>
          <t>-26.88%</t>
        </is>
      </c>
      <c r="I207" s="20" t="inlineStr">
        <is>
          <t>N/A</t>
        </is>
      </c>
      <c r="J207" s="20" t="n">
        <v>1</v>
      </c>
      <c r="K207" s="20" t="n">
        <v>1</v>
      </c>
      <c r="L207" s="20" t="inlineStr">
        <is>
          <t>22.10.2024 06:04:50</t>
        </is>
      </c>
      <c r="M207" s="20" t="inlineStr">
        <is>
          <t>14 min</t>
        </is>
      </c>
      <c r="N207" s="20" t="inlineStr">
        <is>
          <t xml:space="preserve">        N/A           N/A           N/A</t>
        </is>
      </c>
      <c r="O207" s="20" t="inlineStr">
        <is>
          <t>G46yFYDNPDeHsmnJhaZfsYnAm2VEcn6tmPTMHhFgpump</t>
        </is>
      </c>
      <c r="P207" s="20">
        <f>HYPERLINK("https://dexscreener.com/solana/G46yFYDNPDeHsmnJhaZfsYnAm2VEcn6tmPTMHhFgpump", "View")</f>
        <v/>
      </c>
    </row>
    <row r="208">
      <c r="A208" s="15" t="inlineStr">
        <is>
          <t>ILY</t>
        </is>
      </c>
      <c r="B208" s="16" t="n">
        <v>114282</v>
      </c>
      <c r="C208" s="16" t="n">
        <v>0</v>
      </c>
      <c r="D208" s="16" t="inlineStr">
        <is>
          <t>0.000060</t>
        </is>
      </c>
      <c r="E208" s="16" t="inlineStr">
        <is>
          <t>0.100 SOL</t>
        </is>
      </c>
      <c r="F208" s="16" t="inlineStr">
        <is>
          <t>0.000 SOL</t>
        </is>
      </c>
      <c r="G208" s="17" t="inlineStr">
        <is>
          <t>-0.100 SOL</t>
        </is>
      </c>
      <c r="H208" s="17" t="inlineStr">
        <is>
          <t>0.00%</t>
        </is>
      </c>
      <c r="I208" s="16" t="inlineStr">
        <is>
          <t>114,282</t>
        </is>
      </c>
      <c r="J208" s="16" t="n">
        <v>1</v>
      </c>
      <c r="K208" s="16" t="n">
        <v>0</v>
      </c>
      <c r="L208" s="16" t="inlineStr">
        <is>
          <t>22.10.2024 03:06:38</t>
        </is>
      </c>
      <c r="M208" s="18" t="inlineStr">
        <is>
          <t>0 sec</t>
        </is>
      </c>
      <c r="N208" s="16" t="inlineStr">
        <is>
          <t xml:space="preserve">        155K           155K             4K</t>
        </is>
      </c>
      <c r="O208" s="16" t="inlineStr">
        <is>
          <t>BBBgdpBJhdm8qFTAEfyRRaCpmJ9Qecachc7YuqQRpump</t>
        </is>
      </c>
      <c r="P208" s="16">
        <f>HYPERLINK("https://dexscreener.com/solana/BBBgdpBJhdm8qFTAEfyRRaCpmJ9Qecachc7YuqQRpump", "View")</f>
        <v/>
      </c>
    </row>
    <row r="209">
      <c r="A209" s="19" t="inlineStr">
        <is>
          <t>🦛</t>
        </is>
      </c>
      <c r="B209" s="20" t="n">
        <v>618917</v>
      </c>
      <c r="C209" s="20" t="n">
        <v>618917</v>
      </c>
      <c r="D209" s="20" t="inlineStr">
        <is>
          <t>0.000160</t>
        </is>
      </c>
      <c r="E209" s="20" t="inlineStr">
        <is>
          <t>0.200 SOL</t>
        </is>
      </c>
      <c r="F209" s="20" t="inlineStr">
        <is>
          <t>0.154 SOL</t>
        </is>
      </c>
      <c r="G209" s="21" t="inlineStr">
        <is>
          <t>-0.046 SOL</t>
        </is>
      </c>
      <c r="H209" s="21" t="inlineStr">
        <is>
          <t>-23.06%</t>
        </is>
      </c>
      <c r="I209" s="20" t="inlineStr">
        <is>
          <t>N/A</t>
        </is>
      </c>
      <c r="J209" s="20" t="n">
        <v>2</v>
      </c>
      <c r="K209" s="20" t="n">
        <v>1</v>
      </c>
      <c r="L209" s="20" t="inlineStr">
        <is>
          <t>22.10.2024 03:03:46</t>
        </is>
      </c>
      <c r="M209" s="20" t="inlineStr">
        <is>
          <t>8 days</t>
        </is>
      </c>
      <c r="N209" s="20" t="inlineStr">
        <is>
          <t xml:space="preserve">         98K            40K            27K</t>
        </is>
      </c>
      <c r="O209" s="20" t="inlineStr">
        <is>
          <t>5LdiRaZWFwazmYN7KLb1BHk78s6dhjRsnft7Cb5Apump</t>
        </is>
      </c>
      <c r="P209" s="20">
        <f>HYPERLINK("https://dexscreener.com/solana/5LdiRaZWFwazmYN7KLb1BHk78s6dhjRsnft7Cb5Apump", "View")</f>
        <v/>
      </c>
    </row>
    <row r="210">
      <c r="A210" s="15" t="inlineStr">
        <is>
          <t>✨</t>
        </is>
      </c>
      <c r="B210" s="16" t="n">
        <v>283685</v>
      </c>
      <c r="C210" s="16" t="n">
        <v>283685</v>
      </c>
      <c r="D210" s="16" t="inlineStr">
        <is>
          <t>0.000160</t>
        </is>
      </c>
      <c r="E210" s="16" t="inlineStr">
        <is>
          <t>0.200 SOL</t>
        </is>
      </c>
      <c r="F210" s="16" t="inlineStr">
        <is>
          <t>0.056 SOL</t>
        </is>
      </c>
      <c r="G210" s="24" t="inlineStr">
        <is>
          <t>-0.145 SOL</t>
        </is>
      </c>
      <c r="H210" s="24" t="inlineStr">
        <is>
          <t>-72.22%</t>
        </is>
      </c>
      <c r="I210" s="16" t="inlineStr">
        <is>
          <t>N/A</t>
        </is>
      </c>
      <c r="J210" s="16" t="n">
        <v>2</v>
      </c>
      <c r="K210" s="16" t="n">
        <v>1</v>
      </c>
      <c r="L210" s="16" t="inlineStr">
        <is>
          <t>22.10.2024 03:02:48</t>
        </is>
      </c>
      <c r="M210" s="16" t="inlineStr">
        <is>
          <t>7 min</t>
        </is>
      </c>
      <c r="N210" s="16" t="inlineStr">
        <is>
          <t xml:space="preserve">        270K            35K             6K</t>
        </is>
      </c>
      <c r="O210" s="16" t="inlineStr">
        <is>
          <t>CKDnn4zTnfSXdeSmJAEQdUyxHH3Lp3pSpYRzizNbpump</t>
        </is>
      </c>
      <c r="P210" s="16">
        <f>HYPERLINK("https://dexscreener.com/solana/CKDnn4zTnfSXdeSmJAEQdUyxHH3Lp3pSpYRzizNbpump", "View")</f>
        <v/>
      </c>
    </row>
    <row r="211">
      <c r="A211" s="19" t="inlineStr">
        <is>
          <t>🫂</t>
        </is>
      </c>
      <c r="B211" s="20" t="n">
        <v>734912</v>
      </c>
      <c r="C211" s="20" t="n">
        <v>734912</v>
      </c>
      <c r="D211" s="20" t="inlineStr">
        <is>
          <t>0.000110</t>
        </is>
      </c>
      <c r="E211" s="20" t="inlineStr">
        <is>
          <t>0.100 SOL</t>
        </is>
      </c>
      <c r="F211" s="20" t="inlineStr">
        <is>
          <t>0.137 SOL</t>
        </is>
      </c>
      <c r="G211" s="22" t="inlineStr">
        <is>
          <t>0.037 SOL</t>
        </is>
      </c>
      <c r="H211" s="22" t="inlineStr">
        <is>
          <t>36.68%</t>
        </is>
      </c>
      <c r="I211" s="20" t="inlineStr">
        <is>
          <t>N/A</t>
        </is>
      </c>
      <c r="J211" s="20" t="n">
        <v>1</v>
      </c>
      <c r="K211" s="20" t="n">
        <v>1</v>
      </c>
      <c r="L211" s="20" t="inlineStr">
        <is>
          <t>22.10.2024 02:53:56</t>
        </is>
      </c>
      <c r="M211" s="20" t="inlineStr">
        <is>
          <t>15 days</t>
        </is>
      </c>
      <c r="N211" s="20" t="inlineStr">
        <is>
          <t xml:space="preserve">         25K            25K            16K</t>
        </is>
      </c>
      <c r="O211" s="20" t="inlineStr">
        <is>
          <t>HVqkGQhJZdL1NK15TCipwooDV7TQ1mSfjfUW6fMBpump</t>
        </is>
      </c>
      <c r="P211" s="20">
        <f>HYPERLINK("https://dexscreener.com/solana/HVqkGQhJZdL1NK15TCipwooDV7TQ1mSfjfUW6fMBpump", "View")</f>
        <v/>
      </c>
    </row>
    <row r="212">
      <c r="A212" s="15" t="inlineStr">
        <is>
          <t>god</t>
        </is>
      </c>
      <c r="B212" s="16" t="n">
        <v>160455</v>
      </c>
      <c r="C212" s="16" t="n">
        <v>160455</v>
      </c>
      <c r="D212" s="16" t="inlineStr">
        <is>
          <t>0.000110</t>
        </is>
      </c>
      <c r="E212" s="16" t="inlineStr">
        <is>
          <t>0.100 SOL</t>
        </is>
      </c>
      <c r="F212" s="16" t="inlineStr">
        <is>
          <t>0.064 SOL</t>
        </is>
      </c>
      <c r="G212" s="21" t="inlineStr">
        <is>
          <t>-0.036 SOL</t>
        </is>
      </c>
      <c r="H212" s="21" t="inlineStr">
        <is>
          <t>-35.78%</t>
        </is>
      </c>
      <c r="I212" s="16" t="inlineStr">
        <is>
          <t>N/A</t>
        </is>
      </c>
      <c r="J212" s="16" t="n">
        <v>1</v>
      </c>
      <c r="K212" s="16" t="n">
        <v>1</v>
      </c>
      <c r="L212" s="16" t="inlineStr">
        <is>
          <t>22.10.2024 02:53:15</t>
        </is>
      </c>
      <c r="M212" s="16" t="inlineStr">
        <is>
          <t>18 min</t>
        </is>
      </c>
      <c r="N212" s="16" t="inlineStr">
        <is>
          <t xml:space="preserve">        109K            70K             6K</t>
        </is>
      </c>
      <c r="O212" s="16" t="inlineStr">
        <is>
          <t>DUm61kKfaRfeTTUueYyf67ZYWVWKDDiZKxde765ipump</t>
        </is>
      </c>
      <c r="P212" s="16">
        <f>HYPERLINK("https://dexscreener.com/solana/DUm61kKfaRfeTTUueYyf67ZYWVWKDDiZKxde765ipump", "View")</f>
        <v/>
      </c>
    </row>
    <row r="213">
      <c r="A213" s="19" t="inlineStr">
        <is>
          <t>🗿</t>
        </is>
      </c>
      <c r="B213" s="20" t="n">
        <v>714166</v>
      </c>
      <c r="C213" s="20" t="n">
        <v>714166</v>
      </c>
      <c r="D213" s="20" t="inlineStr">
        <is>
          <t>0.000110</t>
        </is>
      </c>
      <c r="E213" s="20" t="inlineStr">
        <is>
          <t>0.100 SOL</t>
        </is>
      </c>
      <c r="F213" s="20" t="inlineStr">
        <is>
          <t>0.065 SOL</t>
        </is>
      </c>
      <c r="G213" s="21" t="inlineStr">
        <is>
          <t>-0.035 SOL</t>
        </is>
      </c>
      <c r="H213" s="21" t="inlineStr">
        <is>
          <t>-35.22%</t>
        </is>
      </c>
      <c r="I213" s="20" t="inlineStr">
        <is>
          <t>N/A</t>
        </is>
      </c>
      <c r="J213" s="20" t="n">
        <v>1</v>
      </c>
      <c r="K213" s="20" t="n">
        <v>1</v>
      </c>
      <c r="L213" s="20" t="inlineStr">
        <is>
          <t>22.10.2024 01:43:29</t>
        </is>
      </c>
      <c r="M213" s="20" t="inlineStr">
        <is>
          <t>3 days</t>
        </is>
      </c>
      <c r="N213" s="20" t="inlineStr">
        <is>
          <t xml:space="preserve">         25K            25K             9K</t>
        </is>
      </c>
      <c r="O213" s="20" t="inlineStr">
        <is>
          <t>4cRkQ2dntpusYag6Zmvco8T78WxK9Jqh1eEZJox8pump</t>
        </is>
      </c>
      <c r="P213" s="20">
        <f>HYPERLINK("https://dexscreener.com/solana/4cRkQ2dntpusYag6Zmvco8T78WxK9Jqh1eEZJox8pump", "View")</f>
        <v/>
      </c>
    </row>
    <row r="214">
      <c r="A214" s="15" t="inlineStr">
        <is>
          <t>McMind</t>
        </is>
      </c>
      <c r="B214" s="16" t="n">
        <v>122970</v>
      </c>
      <c r="C214" s="16" t="n">
        <v>0</v>
      </c>
      <c r="D214" s="16" t="inlineStr">
        <is>
          <t>0.000060</t>
        </is>
      </c>
      <c r="E214" s="16" t="inlineStr">
        <is>
          <t>0.100 SOL</t>
        </is>
      </c>
      <c r="F214" s="16" t="inlineStr">
        <is>
          <t>0.000 SOL</t>
        </is>
      </c>
      <c r="G214" s="17" t="inlineStr">
        <is>
          <t>-0.100 SOL</t>
        </is>
      </c>
      <c r="H214" s="17" t="inlineStr">
        <is>
          <t>0.00%</t>
        </is>
      </c>
      <c r="I214" s="16" t="inlineStr">
        <is>
          <t>122,970</t>
        </is>
      </c>
      <c r="J214" s="16" t="n">
        <v>1</v>
      </c>
      <c r="K214" s="16" t="n">
        <v>0</v>
      </c>
      <c r="L214" s="16" t="inlineStr">
        <is>
          <t>21.10.2024 15:15:45</t>
        </is>
      </c>
      <c r="M214" s="18" t="inlineStr">
        <is>
          <t>0 sec</t>
        </is>
      </c>
      <c r="N214" s="16" t="inlineStr">
        <is>
          <t xml:space="preserve">        142K           142K             5K</t>
        </is>
      </c>
      <c r="O214" s="16" t="inlineStr">
        <is>
          <t>7WKV854wEXTPywYE9UTECtVRLkH9Cqf86PEBzRfgpump</t>
        </is>
      </c>
      <c r="P214" s="16">
        <f>HYPERLINK("https://dexscreener.com/solana/7WKV854wEXTPywYE9UTECtVRLkH9Cqf86PEBzRfgpump", "View")</f>
        <v/>
      </c>
    </row>
    <row r="215">
      <c r="A215" s="19" t="inlineStr">
        <is>
          <t>Q*</t>
        </is>
      </c>
      <c r="B215" s="20" t="n">
        <v>81969</v>
      </c>
      <c r="C215" s="20" t="n">
        <v>0</v>
      </c>
      <c r="D215" s="20" t="inlineStr">
        <is>
          <t>0.000060</t>
        </is>
      </c>
      <c r="E215" s="20" t="inlineStr">
        <is>
          <t>0.100 SOL</t>
        </is>
      </c>
      <c r="F215" s="20" t="inlineStr">
        <is>
          <t>0.000 SOL</t>
        </is>
      </c>
      <c r="G215" s="17" t="inlineStr">
        <is>
          <t>-0.100 SOL</t>
        </is>
      </c>
      <c r="H215" s="17" t="inlineStr">
        <is>
          <t>0.00%</t>
        </is>
      </c>
      <c r="I215" s="20" t="inlineStr">
        <is>
          <t>81,969</t>
        </is>
      </c>
      <c r="J215" s="20" t="n">
        <v>1</v>
      </c>
      <c r="K215" s="20" t="n">
        <v>0</v>
      </c>
      <c r="L215" s="20" t="inlineStr">
        <is>
          <t>21.10.2024 14:56:51</t>
        </is>
      </c>
      <c r="M215" s="18" t="inlineStr">
        <is>
          <t>0 sec</t>
        </is>
      </c>
      <c r="N215" s="20" t="inlineStr">
        <is>
          <t xml:space="preserve">        214K           214K             5K</t>
        </is>
      </c>
      <c r="O215" s="20" t="inlineStr">
        <is>
          <t>4NBfgeyFkYgEB85xKpMJkXUrqLKTxinS2CnvQMrWpump</t>
        </is>
      </c>
      <c r="P215" s="20">
        <f>HYPERLINK("https://dexscreener.com/solana/4NBfgeyFkYgEB85xKpMJkXUrqLKTxinS2CnvQMrWpump", "View")</f>
        <v/>
      </c>
    </row>
    <row r="216">
      <c r="A216" s="15" t="inlineStr">
        <is>
          <t>mcnugget</t>
        </is>
      </c>
      <c r="B216" s="16" t="n">
        <v>597278</v>
      </c>
      <c r="C216" s="16" t="n">
        <v>597278</v>
      </c>
      <c r="D216" s="16" t="inlineStr">
        <is>
          <t>0.000110</t>
        </is>
      </c>
      <c r="E216" s="16" t="inlineStr">
        <is>
          <t>0.100 SOL</t>
        </is>
      </c>
      <c r="F216" s="16" t="inlineStr">
        <is>
          <t>0.064 SOL</t>
        </is>
      </c>
      <c r="G216" s="21" t="inlineStr">
        <is>
          <t>-0.036 SOL</t>
        </is>
      </c>
      <c r="H216" s="21" t="inlineStr">
        <is>
          <t>-36.14%</t>
        </is>
      </c>
      <c r="I216" s="16" t="inlineStr">
        <is>
          <t>N/A</t>
        </is>
      </c>
      <c r="J216" s="16" t="n">
        <v>1</v>
      </c>
      <c r="K216" s="16" t="n">
        <v>1</v>
      </c>
      <c r="L216" s="16" t="inlineStr">
        <is>
          <t>21.10.2024 08:32:29</t>
        </is>
      </c>
      <c r="M216" s="16" t="inlineStr">
        <is>
          <t>6 hours</t>
        </is>
      </c>
      <c r="N216" s="16" t="inlineStr">
        <is>
          <t xml:space="preserve">         28K            18K             4K</t>
        </is>
      </c>
      <c r="O216" s="16" t="inlineStr">
        <is>
          <t>F56CBPrnvvbs88zqnno97r9ybnh58RSeSxz63eoapump</t>
        </is>
      </c>
      <c r="P216" s="16">
        <f>HYPERLINK("https://dexscreener.com/solana/F56CBPrnvvbs88zqnno97r9ybnh58RSeSxz63eoapump", "View")</f>
        <v/>
      </c>
    </row>
    <row r="217">
      <c r="A217" s="19" t="inlineStr">
        <is>
          <t>FLAWED</t>
        </is>
      </c>
      <c r="B217" s="20" t="n">
        <v>347059</v>
      </c>
      <c r="C217" s="20" t="n">
        <v>0</v>
      </c>
      <c r="D217" s="20" t="inlineStr">
        <is>
          <t>0.000060</t>
        </is>
      </c>
      <c r="E217" s="20" t="inlineStr">
        <is>
          <t>0.100 SOL</t>
        </is>
      </c>
      <c r="F217" s="20" t="inlineStr">
        <is>
          <t>0.000 SOL</t>
        </is>
      </c>
      <c r="G217" s="17" t="inlineStr">
        <is>
          <t>-0.100 SOL</t>
        </is>
      </c>
      <c r="H217" s="17" t="inlineStr">
        <is>
          <t>0.00%</t>
        </is>
      </c>
      <c r="I217" s="20" t="inlineStr">
        <is>
          <t>347,059</t>
        </is>
      </c>
      <c r="J217" s="20" t="n">
        <v>1</v>
      </c>
      <c r="K217" s="20" t="n">
        <v>0</v>
      </c>
      <c r="L217" s="20" t="inlineStr">
        <is>
          <t>21.10.2024 08:31:02</t>
        </is>
      </c>
      <c r="M217" s="18" t="inlineStr">
        <is>
          <t>0 sec</t>
        </is>
      </c>
      <c r="N217" s="20" t="inlineStr">
        <is>
          <t xml:space="preserve">         51K            51K             4K</t>
        </is>
      </c>
      <c r="O217" s="20" t="inlineStr">
        <is>
          <t>YcRmYguNXBLH4ZBLGn26MifpEpX3uUcVPnRLmKWpump</t>
        </is>
      </c>
      <c r="P217" s="20">
        <f>HYPERLINK("https://dexscreener.com/solana/YcRmYguNXBLH4ZBLGn26MifpEpX3uUcVPnRLmKWpump", "View")</f>
        <v/>
      </c>
    </row>
    <row r="218">
      <c r="A218" s="15" t="inlineStr">
        <is>
          <t>BULL</t>
        </is>
      </c>
      <c r="B218" s="16" t="n">
        <v>523672</v>
      </c>
      <c r="C218" s="16" t="n">
        <v>0</v>
      </c>
      <c r="D218" s="16" t="inlineStr">
        <is>
          <t>0.000060</t>
        </is>
      </c>
      <c r="E218" s="16" t="inlineStr">
        <is>
          <t>0.104 SOL</t>
        </is>
      </c>
      <c r="F218" s="16" t="inlineStr">
        <is>
          <t>0.000 SOL</t>
        </is>
      </c>
      <c r="G218" s="17" t="inlineStr">
        <is>
          <t>-0.104 SOL</t>
        </is>
      </c>
      <c r="H218" s="17" t="inlineStr">
        <is>
          <t>0.00%</t>
        </is>
      </c>
      <c r="I218" s="16" t="inlineStr">
        <is>
          <t>523,672</t>
        </is>
      </c>
      <c r="J218" s="16" t="n">
        <v>1</v>
      </c>
      <c r="K218" s="16" t="n">
        <v>0</v>
      </c>
      <c r="L218" s="16" t="inlineStr">
        <is>
          <t>21.10.2024 08:10:07</t>
        </is>
      </c>
      <c r="M218" s="18" t="inlineStr">
        <is>
          <t>0 sec</t>
        </is>
      </c>
      <c r="N218" s="16" t="inlineStr">
        <is>
          <t xml:space="preserve">         35K            35K             5K</t>
        </is>
      </c>
      <c r="O218" s="16" t="inlineStr">
        <is>
          <t>vftr14mBtnsH393oS7Zy5M6pyofE7VbeAgnM4GbbuLL</t>
        </is>
      </c>
      <c r="P218" s="16">
        <f>HYPERLINK("https://photon-sol.tinyastro.io/en/lp/vftr14mBtnsH393oS7Zy5M6pyofE7VbeAgnM4GbbuLL?handle=676050794bc1b1657a56b", "View")</f>
        <v/>
      </c>
    </row>
    <row r="219">
      <c r="A219" s="19" t="inlineStr">
        <is>
          <t>CABBAGE</t>
        </is>
      </c>
      <c r="B219" s="20" t="n">
        <v>265697</v>
      </c>
      <c r="C219" s="20" t="n">
        <v>0</v>
      </c>
      <c r="D219" s="20" t="inlineStr">
        <is>
          <t>0.000060</t>
        </is>
      </c>
      <c r="E219" s="20" t="inlineStr">
        <is>
          <t>0.100 SOL</t>
        </is>
      </c>
      <c r="F219" s="20" t="inlineStr">
        <is>
          <t>0.000 SOL</t>
        </is>
      </c>
      <c r="G219" s="17" t="inlineStr">
        <is>
          <t>-0.100 SOL</t>
        </is>
      </c>
      <c r="H219" s="17" t="inlineStr">
        <is>
          <t>0.00%</t>
        </is>
      </c>
      <c r="I219" s="20" t="inlineStr">
        <is>
          <t>265,697</t>
        </is>
      </c>
      <c r="J219" s="20" t="n">
        <v>1</v>
      </c>
      <c r="K219" s="20" t="n">
        <v>0</v>
      </c>
      <c r="L219" s="20" t="inlineStr">
        <is>
          <t>21.10.2024 01:56:08</t>
        </is>
      </c>
      <c r="M219" s="18" t="inlineStr">
        <is>
          <t>0 sec</t>
        </is>
      </c>
      <c r="N219" s="20" t="inlineStr">
        <is>
          <t xml:space="preserve">         67K            67K             3K</t>
        </is>
      </c>
      <c r="O219" s="20" t="inlineStr">
        <is>
          <t>B25eZveFnJds8gkfv8n7YddPVg3qSCRQXMr4cop6pump</t>
        </is>
      </c>
      <c r="P219" s="20">
        <f>HYPERLINK("https://dexscreener.com/solana/B25eZveFnJds8gkfv8n7YddPVg3qSCRQXMr4cop6pump", "View")</f>
        <v/>
      </c>
    </row>
    <row r="220">
      <c r="A220" s="15" t="inlineStr">
        <is>
          <t>FACT</t>
        </is>
      </c>
      <c r="B220" s="16" t="n">
        <v>521075</v>
      </c>
      <c r="C220" s="16" t="n">
        <v>0</v>
      </c>
      <c r="D220" s="16" t="inlineStr">
        <is>
          <t>0.000060</t>
        </is>
      </c>
      <c r="E220" s="16" t="inlineStr">
        <is>
          <t>0.200 SOL</t>
        </is>
      </c>
      <c r="F220" s="16" t="inlineStr">
        <is>
          <t>0.000 SOL</t>
        </is>
      </c>
      <c r="G220" s="17" t="inlineStr">
        <is>
          <t>-0.200 SOL</t>
        </is>
      </c>
      <c r="H220" s="17" t="inlineStr">
        <is>
          <t>0.00%</t>
        </is>
      </c>
      <c r="I220" s="16" t="inlineStr">
        <is>
          <t>521,075</t>
        </is>
      </c>
      <c r="J220" s="16" t="n">
        <v>1</v>
      </c>
      <c r="K220" s="16" t="n">
        <v>0</v>
      </c>
      <c r="L220" s="16" t="inlineStr">
        <is>
          <t>20.10.2024 13:55:15</t>
        </is>
      </c>
      <c r="M220" s="18" t="inlineStr">
        <is>
          <t>0 sec</t>
        </is>
      </c>
      <c r="N220" s="16" t="inlineStr">
        <is>
          <t xml:space="preserve">         67K            67K             4K</t>
        </is>
      </c>
      <c r="O220" s="16" t="inlineStr">
        <is>
          <t>A5WfQoua5C7YRag9BfEsPz9E8K9ctpodiezUabiSpump</t>
        </is>
      </c>
      <c r="P220" s="16">
        <f>HYPERLINK("https://dexscreener.com/solana/A5WfQoua5C7YRag9BfEsPz9E8K9ctpodiezUabiSpump", "View")</f>
        <v/>
      </c>
    </row>
    <row r="221">
      <c r="A221" s="19" t="inlineStr">
        <is>
          <t>Glitch</t>
        </is>
      </c>
      <c r="B221" s="20" t="n">
        <v>183842</v>
      </c>
      <c r="C221" s="20" t="n">
        <v>183842</v>
      </c>
      <c r="D221" s="20" t="inlineStr">
        <is>
          <t>0.000110</t>
        </is>
      </c>
      <c r="E221" s="20" t="inlineStr">
        <is>
          <t>0.100 SOL</t>
        </is>
      </c>
      <c r="F221" s="20" t="inlineStr">
        <is>
          <t>0.092 SOL</t>
        </is>
      </c>
      <c r="G221" s="21" t="inlineStr">
        <is>
          <t>-0.008 SOL</t>
        </is>
      </c>
      <c r="H221" s="21" t="inlineStr">
        <is>
          <t>-8.19%</t>
        </is>
      </c>
      <c r="I221" s="20" t="inlineStr">
        <is>
          <t>N/A</t>
        </is>
      </c>
      <c r="J221" s="20" t="n">
        <v>1</v>
      </c>
      <c r="K221" s="20" t="n">
        <v>1</v>
      </c>
      <c r="L221" s="20" t="inlineStr">
        <is>
          <t>20.10.2024 13:48:57</t>
        </is>
      </c>
      <c r="M221" s="18" t="inlineStr">
        <is>
          <t>55 sec</t>
        </is>
      </c>
      <c r="N221" s="20" t="inlineStr">
        <is>
          <t xml:space="preserve">         95K            88K             4K</t>
        </is>
      </c>
      <c r="O221" s="20" t="inlineStr">
        <is>
          <t>9WHuDHkgrKCzdzBjg2LzGyyNvXvHBkChSoTRtFnxpump</t>
        </is>
      </c>
      <c r="P221" s="20">
        <f>HYPERLINK("https://dexscreener.com/solana/9WHuDHkgrKCzdzBjg2LzGyyNvXvHBkChSoTRtFnxpump", "View")</f>
        <v/>
      </c>
    </row>
    <row r="222">
      <c r="A222" s="15" t="inlineStr">
        <is>
          <t>ΔΔ</t>
        </is>
      </c>
      <c r="B222" s="16" t="n">
        <v>1570959</v>
      </c>
      <c r="C222" s="16" t="n">
        <v>1570959</v>
      </c>
      <c r="D222" s="16" t="inlineStr">
        <is>
          <t>0.000110</t>
        </is>
      </c>
      <c r="E222" s="16" t="inlineStr">
        <is>
          <t>0.099 SOL</t>
        </is>
      </c>
      <c r="F222" s="16" t="inlineStr">
        <is>
          <t>0.044 SOL</t>
        </is>
      </c>
      <c r="G222" s="24" t="inlineStr">
        <is>
          <t>-0.055 SOL</t>
        </is>
      </c>
      <c r="H222" s="24" t="inlineStr">
        <is>
          <t>-55.69%</t>
        </is>
      </c>
      <c r="I222" s="16" t="inlineStr">
        <is>
          <t>N/A</t>
        </is>
      </c>
      <c r="J222" s="16" t="n">
        <v>1</v>
      </c>
      <c r="K222" s="16" t="n">
        <v>1</v>
      </c>
      <c r="L222" s="16" t="inlineStr">
        <is>
          <t>20.10.2024 13:42:41</t>
        </is>
      </c>
      <c r="M222" s="16" t="inlineStr">
        <is>
          <t>11 hours</t>
        </is>
      </c>
      <c r="N222" s="16" t="inlineStr">
        <is>
          <t xml:space="preserve">         11K             5K             5K</t>
        </is>
      </c>
      <c r="O222" s="16" t="inlineStr">
        <is>
          <t>Eb9431kXGR1UhgrqKgiUhj4jpygZHvznAL3BTL8epump</t>
        </is>
      </c>
      <c r="P222" s="16">
        <f>HYPERLINK("https://photon-sol.tinyastro.io/en/lp/Eb9431kXGR1UhgrqKgiUhj4jpygZHvznAL3BTL8epump?handle=676050794bc1b1657a56b", "View")</f>
        <v/>
      </c>
    </row>
    <row r="223">
      <c r="A223" s="19" t="inlineStr">
        <is>
          <t>TOS</t>
        </is>
      </c>
      <c r="B223" s="20" t="n">
        <v>229670</v>
      </c>
      <c r="C223" s="20" t="n">
        <v>114835</v>
      </c>
      <c r="D223" s="20" t="inlineStr">
        <is>
          <t>0.000110</t>
        </is>
      </c>
      <c r="E223" s="20" t="inlineStr">
        <is>
          <t>0.100 SOL</t>
        </is>
      </c>
      <c r="F223" s="20" t="inlineStr">
        <is>
          <t>0.096 SOL</t>
        </is>
      </c>
      <c r="G223" s="21" t="inlineStr">
        <is>
          <t>-0.004 SOL</t>
        </is>
      </c>
      <c r="H223" s="21" t="inlineStr">
        <is>
          <t>-4.21%</t>
        </is>
      </c>
      <c r="I223" s="20" t="inlineStr">
        <is>
          <t>N/A</t>
        </is>
      </c>
      <c r="J223" s="20" t="n">
        <v>1</v>
      </c>
      <c r="K223" s="20" t="n">
        <v>1</v>
      </c>
      <c r="L223" s="20" t="inlineStr">
        <is>
          <t>20.10.2024 13:22:55</t>
        </is>
      </c>
      <c r="M223" s="18" t="inlineStr">
        <is>
          <t>39 sec</t>
        </is>
      </c>
      <c r="N223" s="20" t="inlineStr">
        <is>
          <t xml:space="preserve">         77K           148K             4K</t>
        </is>
      </c>
      <c r="O223" s="20" t="inlineStr">
        <is>
          <t>8Yw6DLo78azt2ihFsSTCiPUJuzvbN7f2EG89NjdEpump</t>
        </is>
      </c>
      <c r="P223" s="20">
        <f>HYPERLINK("https://dexscreener.com/solana/8Yw6DLo78azt2ihFsSTCiPUJuzvbN7f2EG89NjdEpump", "View")</f>
        <v/>
      </c>
    </row>
    <row r="224">
      <c r="A224" s="15" t="inlineStr">
        <is>
          <t>??</t>
        </is>
      </c>
      <c r="B224" s="16" t="n">
        <v>401847</v>
      </c>
      <c r="C224" s="16" t="n">
        <v>0</v>
      </c>
      <c r="D224" s="16" t="inlineStr">
        <is>
          <t>0.000060</t>
        </is>
      </c>
      <c r="E224" s="16" t="inlineStr">
        <is>
          <t>0.106 SOL</t>
        </is>
      </c>
      <c r="F224" s="16" t="inlineStr">
        <is>
          <t>0.000 SOL</t>
        </is>
      </c>
      <c r="G224" s="17" t="inlineStr">
        <is>
          <t>-0.106 SOL</t>
        </is>
      </c>
      <c r="H224" s="17" t="inlineStr">
        <is>
          <t>0.00%</t>
        </is>
      </c>
      <c r="I224" s="16" t="inlineStr">
        <is>
          <t>401,847</t>
        </is>
      </c>
      <c r="J224" s="16" t="n">
        <v>1</v>
      </c>
      <c r="K224" s="16" t="n">
        <v>0</v>
      </c>
      <c r="L224" s="16" t="inlineStr">
        <is>
          <t>20.10.2024 13:18:36</t>
        </is>
      </c>
      <c r="M224" s="18" t="inlineStr">
        <is>
          <t>0 sec</t>
        </is>
      </c>
      <c r="N224" s="16" t="inlineStr">
        <is>
          <t xml:space="preserve">         46K            46K             5K</t>
        </is>
      </c>
      <c r="O224" s="16" t="inlineStr">
        <is>
          <t>AZdrMvw6sMTHNZZJepQZTJhxRCRBmfo8JENA8GJM9uYD</t>
        </is>
      </c>
      <c r="P224" s="16">
        <f>HYPERLINK("https://photon-sol.tinyastro.io/en/lp/AZdrMvw6sMTHNZZJepQZTJhxRCRBmfo8JENA8GJM9uYD?handle=676050794bc1b1657a56b", "View")</f>
        <v/>
      </c>
    </row>
    <row r="225">
      <c r="A225" s="19" t="inlineStr">
        <is>
          <t>pupper</t>
        </is>
      </c>
      <c r="B225" s="20" t="n">
        <v>140620</v>
      </c>
      <c r="C225" s="20" t="n">
        <v>140620</v>
      </c>
      <c r="D225" s="20" t="inlineStr">
        <is>
          <t>0.000110</t>
        </is>
      </c>
      <c r="E225" s="20" t="inlineStr">
        <is>
          <t>0.100 SOL</t>
        </is>
      </c>
      <c r="F225" s="20" t="inlineStr">
        <is>
          <t>0.290 SOL</t>
        </is>
      </c>
      <c r="G225" s="23" t="inlineStr">
        <is>
          <t>0.190 SOL</t>
        </is>
      </c>
      <c r="H225" s="23" t="inlineStr">
        <is>
          <t>189.74%</t>
        </is>
      </c>
      <c r="I225" s="20" t="inlineStr">
        <is>
          <t>N/A</t>
        </is>
      </c>
      <c r="J225" s="20" t="n">
        <v>1</v>
      </c>
      <c r="K225" s="20" t="n">
        <v>1</v>
      </c>
      <c r="L225" s="20" t="inlineStr">
        <is>
          <t>20.10.2024 13:14:47</t>
        </is>
      </c>
      <c r="M225" s="20" t="inlineStr">
        <is>
          <t>2 hours</t>
        </is>
      </c>
      <c r="N225" s="20" t="inlineStr">
        <is>
          <t xml:space="preserve">        125K           362K             8K</t>
        </is>
      </c>
      <c r="O225" s="20" t="inlineStr">
        <is>
          <t>7rHkp4hUV7UfER7Ng7m6FqKkq5oviFcijsya79tPpump</t>
        </is>
      </c>
      <c r="P225" s="20">
        <f>HYPERLINK("https://dexscreener.com/solana/7rHkp4hUV7UfER7Ng7m6FqKkq5oviFcijsya79tPpump", "View")</f>
        <v/>
      </c>
    </row>
    <row r="226">
      <c r="A226" s="15" t="inlineStr">
        <is>
          <t>anthrupad</t>
        </is>
      </c>
      <c r="B226" s="16" t="n">
        <v>167368</v>
      </c>
      <c r="C226" s="16" t="n">
        <v>0</v>
      </c>
      <c r="D226" s="16" t="inlineStr">
        <is>
          <t>0.000060</t>
        </is>
      </c>
      <c r="E226" s="16" t="inlineStr">
        <is>
          <t>0.100 SOL</t>
        </is>
      </c>
      <c r="F226" s="16" t="inlineStr">
        <is>
          <t>0.000 SOL</t>
        </is>
      </c>
      <c r="G226" s="17" t="inlineStr">
        <is>
          <t>-0.100 SOL</t>
        </is>
      </c>
      <c r="H226" s="17" t="inlineStr">
        <is>
          <t>0.00%</t>
        </is>
      </c>
      <c r="I226" s="16" t="inlineStr">
        <is>
          <t>167,368</t>
        </is>
      </c>
      <c r="J226" s="16" t="n">
        <v>1</v>
      </c>
      <c r="K226" s="16" t="n">
        <v>0</v>
      </c>
      <c r="L226" s="16" t="inlineStr">
        <is>
          <t>20.10.2024 12:40:00</t>
        </is>
      </c>
      <c r="M226" s="18" t="inlineStr">
        <is>
          <t>0 sec</t>
        </is>
      </c>
      <c r="N226" s="16" t="inlineStr">
        <is>
          <t xml:space="preserve">        105K           105K             5K</t>
        </is>
      </c>
      <c r="O226" s="16" t="inlineStr">
        <is>
          <t>Dn7xPGxiVwWvau9Qyb129WGtqQQm3XwNEURZhpCEpump</t>
        </is>
      </c>
      <c r="P226" s="16">
        <f>HYPERLINK("https://dexscreener.com/solana/Dn7xPGxiVwWvau9Qyb129WGtqQQm3XwNEURZhpCEpump", "View")</f>
        <v/>
      </c>
    </row>
    <row r="227">
      <c r="A227" s="19" t="inlineStr">
        <is>
          <t>IMMA</t>
        </is>
      </c>
      <c r="B227" s="20" t="n">
        <v>265270</v>
      </c>
      <c r="C227" s="20" t="n">
        <v>0</v>
      </c>
      <c r="D227" s="20" t="inlineStr">
        <is>
          <t>0.000060</t>
        </is>
      </c>
      <c r="E227" s="20" t="inlineStr">
        <is>
          <t>0.100 SOL</t>
        </is>
      </c>
      <c r="F227" s="20" t="inlineStr">
        <is>
          <t>0.000 SOL</t>
        </is>
      </c>
      <c r="G227" s="17" t="inlineStr">
        <is>
          <t>-0.100 SOL</t>
        </is>
      </c>
      <c r="H227" s="17" t="inlineStr">
        <is>
          <t>0.00%</t>
        </is>
      </c>
      <c r="I227" s="20" t="inlineStr">
        <is>
          <t>265,270</t>
        </is>
      </c>
      <c r="J227" s="20" t="n">
        <v>1</v>
      </c>
      <c r="K227" s="20" t="n">
        <v>0</v>
      </c>
      <c r="L227" s="20" t="inlineStr">
        <is>
          <t>20.10.2024 10:30:26</t>
        </is>
      </c>
      <c r="M227" s="18" t="inlineStr">
        <is>
          <t>0 sec</t>
        </is>
      </c>
      <c r="N227" s="20" t="inlineStr">
        <is>
          <t xml:space="preserve">         67K            67K             5K</t>
        </is>
      </c>
      <c r="O227" s="20" t="inlineStr">
        <is>
          <t>4319jaoNp824niQryL3dfkW3qZNV8K5cd5mt7b2Fpump</t>
        </is>
      </c>
      <c r="P227" s="20">
        <f>HYPERLINK("https://dexscreener.com/solana/4319jaoNp824niQryL3dfkW3qZNV8K5cd5mt7b2Fpump", "View")</f>
        <v/>
      </c>
    </row>
    <row r="228">
      <c r="A228" s="15" t="inlineStr">
        <is>
          <t>FUCKAI</t>
        </is>
      </c>
      <c r="B228" s="16" t="n">
        <v>97972</v>
      </c>
      <c r="C228" s="16" t="n">
        <v>48986</v>
      </c>
      <c r="D228" s="16" t="inlineStr">
        <is>
          <t>0.000110</t>
        </is>
      </c>
      <c r="E228" s="16" t="inlineStr">
        <is>
          <t>0.100 SOL</t>
        </is>
      </c>
      <c r="F228" s="16" t="inlineStr">
        <is>
          <t>0.085 SOL</t>
        </is>
      </c>
      <c r="G228" s="21" t="inlineStr">
        <is>
          <t>-0.015 SOL</t>
        </is>
      </c>
      <c r="H228" s="21" t="inlineStr">
        <is>
          <t>-15.01%</t>
        </is>
      </c>
      <c r="I228" s="16" t="inlineStr">
        <is>
          <t>N/A</t>
        </is>
      </c>
      <c r="J228" s="16" t="n">
        <v>1</v>
      </c>
      <c r="K228" s="16" t="n">
        <v>1</v>
      </c>
      <c r="L228" s="16" t="inlineStr">
        <is>
          <t>20.10.2024 09:54:01</t>
        </is>
      </c>
      <c r="M228" s="16" t="inlineStr">
        <is>
          <t>7 min</t>
        </is>
      </c>
      <c r="N228" s="16" t="inlineStr">
        <is>
          <t xml:space="preserve">        179K           305K             5K</t>
        </is>
      </c>
      <c r="O228" s="16" t="inlineStr">
        <is>
          <t>CQJ8XFfWUpTS7qCWmzJi6Vy3UxdWWDr5rB42LmeXpump</t>
        </is>
      </c>
      <c r="P228" s="16">
        <f>HYPERLINK("https://dexscreener.com/solana/CQJ8XFfWUpTS7qCWmzJi6Vy3UxdWWDr5rB42LmeXpump", "View")</f>
        <v/>
      </c>
    </row>
    <row r="229">
      <c r="A229" s="19" t="inlineStr">
        <is>
          <t>HUMANITY</t>
        </is>
      </c>
      <c r="B229" s="20" t="n">
        <v>117638</v>
      </c>
      <c r="C229" s="20" t="n">
        <v>117638</v>
      </c>
      <c r="D229" s="20" t="inlineStr">
        <is>
          <t>0.000110</t>
        </is>
      </c>
      <c r="E229" s="20" t="inlineStr">
        <is>
          <t>0.100 SOL</t>
        </is>
      </c>
      <c r="F229" s="20" t="inlineStr">
        <is>
          <t>0.105 SOL</t>
        </is>
      </c>
      <c r="G229" s="22" t="inlineStr">
        <is>
          <t>0.005 SOL</t>
        </is>
      </c>
      <c r="H229" s="22" t="inlineStr">
        <is>
          <t>5.03%</t>
        </is>
      </c>
      <c r="I229" s="20" t="inlineStr">
        <is>
          <t>N/A</t>
        </is>
      </c>
      <c r="J229" s="20" t="n">
        <v>1</v>
      </c>
      <c r="K229" s="20" t="n">
        <v>1</v>
      </c>
      <c r="L229" s="20" t="inlineStr">
        <is>
          <t>20.10.2024 09:39:19</t>
        </is>
      </c>
      <c r="M229" s="20" t="inlineStr">
        <is>
          <t>8 hours</t>
        </is>
      </c>
      <c r="N229" s="20" t="inlineStr">
        <is>
          <t xml:space="preserve">        149K           156K             9K</t>
        </is>
      </c>
      <c r="O229" s="20" t="inlineStr">
        <is>
          <t>6ipq59qkwJVECtYBwe4qfz3NprvQ5FtQY7THvXWFpump</t>
        </is>
      </c>
      <c r="P229" s="20">
        <f>HYPERLINK("https://dexscreener.com/solana/6ipq59qkwJVECtYBwe4qfz3NprvQ5FtQY7THvXWFpump", "View")</f>
        <v/>
      </c>
    </row>
    <row r="230">
      <c r="A230" s="15" t="inlineStr">
        <is>
          <t>MOOB</t>
        </is>
      </c>
      <c r="B230" s="16" t="n">
        <v>1054012</v>
      </c>
      <c r="C230" s="16" t="n">
        <v>1054012</v>
      </c>
      <c r="D230" s="16" t="inlineStr">
        <is>
          <t>0.000110</t>
        </is>
      </c>
      <c r="E230" s="16" t="inlineStr">
        <is>
          <t>0.104 SOL</t>
        </is>
      </c>
      <c r="F230" s="16" t="inlineStr">
        <is>
          <t>0.031 SOL</t>
        </is>
      </c>
      <c r="G230" s="24" t="inlineStr">
        <is>
          <t>-0.073 SOL</t>
        </is>
      </c>
      <c r="H230" s="24" t="inlineStr">
        <is>
          <t>-69.97%</t>
        </is>
      </c>
      <c r="I230" s="16" t="inlineStr">
        <is>
          <t>N/A</t>
        </is>
      </c>
      <c r="J230" s="16" t="n">
        <v>1</v>
      </c>
      <c r="K230" s="16" t="n">
        <v>1</v>
      </c>
      <c r="L230" s="16" t="inlineStr">
        <is>
          <t>20.10.2024 01:59:08</t>
        </is>
      </c>
      <c r="M230" s="18" t="inlineStr">
        <is>
          <t>32 sec</t>
        </is>
      </c>
      <c r="N230" s="16" t="inlineStr">
        <is>
          <t xml:space="preserve">         18K             5K             5K</t>
        </is>
      </c>
      <c r="O230" s="16" t="inlineStr">
        <is>
          <t>39xuLk7eAoAy4st7PQgimsbTJDHffqwR9h21y864pump</t>
        </is>
      </c>
      <c r="P230" s="16">
        <f>HYPERLINK("https://photon-sol.tinyastro.io/en/lp/39xuLk7eAoAy4st7PQgimsbTJDHffqwR9h21y864pump?handle=676050794bc1b1657a56b", "View")</f>
        <v/>
      </c>
    </row>
    <row r="231">
      <c r="A231" s="19" t="inlineStr">
        <is>
          <t>eigenrobot</t>
        </is>
      </c>
      <c r="B231" s="20" t="n">
        <v>935574</v>
      </c>
      <c r="C231" s="20" t="n">
        <v>935574</v>
      </c>
      <c r="D231" s="20" t="inlineStr">
        <is>
          <t>0.000110</t>
        </is>
      </c>
      <c r="E231" s="20" t="inlineStr">
        <is>
          <t>0.104 SOL</t>
        </is>
      </c>
      <c r="F231" s="20" t="inlineStr">
        <is>
          <t>0.026 SOL</t>
        </is>
      </c>
      <c r="G231" s="24" t="inlineStr">
        <is>
          <t>-0.078 SOL</t>
        </is>
      </c>
      <c r="H231" s="24" t="inlineStr">
        <is>
          <t>-74.64%</t>
        </is>
      </c>
      <c r="I231" s="20" t="inlineStr">
        <is>
          <t>N/A</t>
        </is>
      </c>
      <c r="J231" s="20" t="n">
        <v>1</v>
      </c>
      <c r="K231" s="20" t="n">
        <v>1</v>
      </c>
      <c r="L231" s="20" t="inlineStr">
        <is>
          <t>20.10.2024 01:57:43</t>
        </is>
      </c>
      <c r="M231" s="20" t="inlineStr">
        <is>
          <t>1 min</t>
        </is>
      </c>
      <c r="N231" s="20" t="inlineStr">
        <is>
          <t xml:space="preserve">         19K             5K             5K</t>
        </is>
      </c>
      <c r="O231" s="20" t="inlineStr">
        <is>
          <t>GphUCBiQm58KUwmfrx2ZaSBTRChQSEbJMkX7iey5pump</t>
        </is>
      </c>
      <c r="P231" s="20">
        <f>HYPERLINK("https://photon-sol.tinyastro.io/en/lp/GphUCBiQm58KUwmfrx2ZaSBTRChQSEbJMkX7iey5pump?handle=676050794bc1b1657a56b", "View")</f>
        <v/>
      </c>
    </row>
    <row r="232">
      <c r="A232" s="15" t="inlineStr">
        <is>
          <t>(???)</t>
        </is>
      </c>
      <c r="B232" s="16" t="n">
        <v>954330</v>
      </c>
      <c r="C232" s="16" t="n">
        <v>954330</v>
      </c>
      <c r="D232" s="16" t="inlineStr">
        <is>
          <t>0.000110</t>
        </is>
      </c>
      <c r="E232" s="16" t="inlineStr">
        <is>
          <t>0.109 SOL</t>
        </is>
      </c>
      <c r="F232" s="16" t="inlineStr">
        <is>
          <t>0.276 SOL</t>
        </is>
      </c>
      <c r="G232" s="23" t="inlineStr">
        <is>
          <t>0.167 SOL</t>
        </is>
      </c>
      <c r="H232" s="23" t="inlineStr">
        <is>
          <t>153.78%</t>
        </is>
      </c>
      <c r="I232" s="16" t="inlineStr">
        <is>
          <t>N/A</t>
        </is>
      </c>
      <c r="J232" s="16" t="n">
        <v>1</v>
      </c>
      <c r="K232" s="16" t="n">
        <v>1</v>
      </c>
      <c r="L232" s="16" t="inlineStr">
        <is>
          <t>20.10.2024 01:54:32</t>
        </is>
      </c>
      <c r="M232" s="16" t="inlineStr">
        <is>
          <t>3 min</t>
        </is>
      </c>
      <c r="N232" s="16" t="inlineStr">
        <is>
          <t xml:space="preserve">         19K            51K             5K</t>
        </is>
      </c>
      <c r="O232" s="16" t="inlineStr">
        <is>
          <t>FtrUz4JX53vJadxcAWqG2FrwjLUixVCeyypeYCXtBPj7</t>
        </is>
      </c>
      <c r="P232" s="16">
        <f>HYPERLINK("https://photon-sol.tinyastro.io/en/lp/FtrUz4JX53vJadxcAWqG2FrwjLUixVCeyypeYCXtBPj7?handle=676050794bc1b1657a56b", "View")</f>
        <v/>
      </c>
    </row>
    <row r="233">
      <c r="A233" s="19" t="inlineStr">
        <is>
          <t>karkat</t>
        </is>
      </c>
      <c r="B233" s="20" t="n">
        <v>102328</v>
      </c>
      <c r="C233" s="20" t="n">
        <v>102328</v>
      </c>
      <c r="D233" s="20" t="inlineStr">
        <is>
          <t>0.000110</t>
        </is>
      </c>
      <c r="E233" s="20" t="inlineStr">
        <is>
          <t>0.100 SOL</t>
        </is>
      </c>
      <c r="F233" s="20" t="inlineStr">
        <is>
          <t>0.046 SOL</t>
        </is>
      </c>
      <c r="G233" s="24" t="inlineStr">
        <is>
          <t>-0.054 SOL</t>
        </is>
      </c>
      <c r="H233" s="24" t="inlineStr">
        <is>
          <t>-54.08%</t>
        </is>
      </c>
      <c r="I233" s="20" t="inlineStr">
        <is>
          <t>N/A</t>
        </is>
      </c>
      <c r="J233" s="20" t="n">
        <v>1</v>
      </c>
      <c r="K233" s="20" t="n">
        <v>1</v>
      </c>
      <c r="L233" s="20" t="inlineStr">
        <is>
          <t>20.10.2024 01:48:58</t>
        </is>
      </c>
      <c r="M233" s="20" t="inlineStr">
        <is>
          <t>11 hours</t>
        </is>
      </c>
      <c r="N233" s="20" t="inlineStr">
        <is>
          <t xml:space="preserve">        172K            79K             8K</t>
        </is>
      </c>
      <c r="O233" s="20" t="inlineStr">
        <is>
          <t>2jMqFewHv11qiRfupKLe1JoT63yJ34ePULZkZnx2pump</t>
        </is>
      </c>
      <c r="P233" s="20">
        <f>HYPERLINK("https://dexscreener.com/solana/2jMqFewHv11qiRfupKLe1JoT63yJ34ePULZkZnx2pump", "View")</f>
        <v/>
      </c>
    </row>
    <row r="234">
      <c r="A234" s="15" t="inlineStr">
        <is>
          <t>$BOND</t>
        </is>
      </c>
      <c r="B234" s="16" t="n">
        <v>298143</v>
      </c>
      <c r="C234" s="16" t="n">
        <v>0</v>
      </c>
      <c r="D234" s="16" t="inlineStr">
        <is>
          <t>0.000060</t>
        </is>
      </c>
      <c r="E234" s="16" t="inlineStr">
        <is>
          <t>0.104 SOL</t>
        </is>
      </c>
      <c r="F234" s="16" t="inlineStr">
        <is>
          <t>0.000 SOL</t>
        </is>
      </c>
      <c r="G234" s="17" t="inlineStr">
        <is>
          <t>-0.104 SOL</t>
        </is>
      </c>
      <c r="H234" s="17" t="inlineStr">
        <is>
          <t>0.00%</t>
        </is>
      </c>
      <c r="I234" s="16" t="inlineStr">
        <is>
          <t>298,143</t>
        </is>
      </c>
      <c r="J234" s="16" t="n">
        <v>1</v>
      </c>
      <c r="K234" s="16" t="n">
        <v>0</v>
      </c>
      <c r="L234" s="16" t="inlineStr">
        <is>
          <t>19.10.2024 14:54:25</t>
        </is>
      </c>
      <c r="M234" s="18" t="inlineStr">
        <is>
          <t>0 sec</t>
        </is>
      </c>
      <c r="N234" s="16" t="inlineStr">
        <is>
          <t xml:space="preserve">         61K            61K             5K</t>
        </is>
      </c>
      <c r="O234" s="16" t="inlineStr">
        <is>
          <t>DjArMw9tkFW14iHAMb1sDRux5PSRMobwgXNT8XX2siuf</t>
        </is>
      </c>
      <c r="P234" s="16">
        <f>HYPERLINK("https://photon-sol.tinyastro.io/en/lp/DjArMw9tkFW14iHAMb1sDRux5PSRMobwgXNT8XX2siuf?handle=676050794bc1b1657a56b", "View")</f>
        <v/>
      </c>
    </row>
    <row r="235">
      <c r="A235" s="19" t="inlineStr">
        <is>
          <t>QUBIT</t>
        </is>
      </c>
      <c r="B235" s="20" t="n">
        <v>43106</v>
      </c>
      <c r="C235" s="20" t="n">
        <v>0</v>
      </c>
      <c r="D235" s="20" t="inlineStr">
        <is>
          <t>0.000060</t>
        </is>
      </c>
      <c r="E235" s="20" t="inlineStr">
        <is>
          <t>0.100 SOL</t>
        </is>
      </c>
      <c r="F235" s="20" t="inlineStr">
        <is>
          <t>0.000 SOL</t>
        </is>
      </c>
      <c r="G235" s="17" t="inlineStr">
        <is>
          <t>-0.100 SOL</t>
        </is>
      </c>
      <c r="H235" s="17" t="inlineStr">
        <is>
          <t>0.00%</t>
        </is>
      </c>
      <c r="I235" s="20" t="inlineStr">
        <is>
          <t>43,106</t>
        </is>
      </c>
      <c r="J235" s="20" t="n">
        <v>1</v>
      </c>
      <c r="K235" s="20" t="n">
        <v>0</v>
      </c>
      <c r="L235" s="20" t="inlineStr">
        <is>
          <t>19.10.2024 14:38:03</t>
        </is>
      </c>
      <c r="M235" s="18" t="inlineStr">
        <is>
          <t>0 sec</t>
        </is>
      </c>
      <c r="N235" s="20" t="inlineStr">
        <is>
          <t xml:space="preserve">        407K           407K             5K</t>
        </is>
      </c>
      <c r="O235" s="20" t="inlineStr">
        <is>
          <t>BmoisRvhTBiFWuPLNrtEPZEAkdeDNyZgTmQ9jg1Bpump</t>
        </is>
      </c>
      <c r="P235" s="20">
        <f>HYPERLINK("https://dexscreener.com/solana/BmoisRvhTBiFWuPLNrtEPZEAkdeDNyZgTmQ9jg1Bpump", "View")</f>
        <v/>
      </c>
    </row>
    <row r="236">
      <c r="A236" s="15" t="inlineStr">
        <is>
          <t>black</t>
        </is>
      </c>
      <c r="B236" s="16" t="n">
        <v>64962</v>
      </c>
      <c r="C236" s="16" t="n">
        <v>64962</v>
      </c>
      <c r="D236" s="16" t="inlineStr">
        <is>
          <t>0.000110</t>
        </is>
      </c>
      <c r="E236" s="16" t="inlineStr">
        <is>
          <t>0.100 SOL</t>
        </is>
      </c>
      <c r="F236" s="16" t="inlineStr">
        <is>
          <t>0.047 SOL</t>
        </is>
      </c>
      <c r="G236" s="24" t="inlineStr">
        <is>
          <t>-0.053 SOL</t>
        </is>
      </c>
      <c r="H236" s="24" t="inlineStr">
        <is>
          <t>-53.38%</t>
        </is>
      </c>
      <c r="I236" s="16" t="inlineStr">
        <is>
          <t>N/A</t>
        </is>
      </c>
      <c r="J236" s="16" t="n">
        <v>1</v>
      </c>
      <c r="K236" s="16" t="n">
        <v>1</v>
      </c>
      <c r="L236" s="16" t="inlineStr">
        <is>
          <t>19.10.2024 06:08:52</t>
        </is>
      </c>
      <c r="M236" s="16" t="inlineStr">
        <is>
          <t>14 min</t>
        </is>
      </c>
      <c r="N236" s="16" t="inlineStr">
        <is>
          <t xml:space="preserve">        270K           126K             9K</t>
        </is>
      </c>
      <c r="O236" s="16" t="inlineStr">
        <is>
          <t>AdJYM1s7vdTpBKx4c6LJvH4jWUXu4qypuzVj2Nw7ZtWv</t>
        </is>
      </c>
      <c r="P236" s="16">
        <f>HYPERLINK("https://dexscreener.com/solana/AdJYM1s7vdTpBKx4c6LJvH4jWUXu4qypuzVj2Nw7ZtWv", "View")</f>
        <v/>
      </c>
    </row>
    <row r="237">
      <c r="A237" s="19" t="inlineStr">
        <is>
          <t>MOONWOLF</t>
        </is>
      </c>
      <c r="B237" s="20" t="n">
        <v>219605</v>
      </c>
      <c r="C237" s="20" t="n">
        <v>0</v>
      </c>
      <c r="D237" s="20" t="inlineStr">
        <is>
          <t>0.000060</t>
        </is>
      </c>
      <c r="E237" s="20" t="inlineStr">
        <is>
          <t>0.100 SOL</t>
        </is>
      </c>
      <c r="F237" s="20" t="inlineStr">
        <is>
          <t>0.000 SOL</t>
        </is>
      </c>
      <c r="G237" s="17" t="inlineStr">
        <is>
          <t>-0.100 SOL</t>
        </is>
      </c>
      <c r="H237" s="17" t="inlineStr">
        <is>
          <t>0.00%</t>
        </is>
      </c>
      <c r="I237" s="20" t="inlineStr">
        <is>
          <t>219,605</t>
        </is>
      </c>
      <c r="J237" s="20" t="n">
        <v>1</v>
      </c>
      <c r="K237" s="20" t="n">
        <v>0</v>
      </c>
      <c r="L237" s="20" t="inlineStr">
        <is>
          <t>19.10.2024 05:16:58</t>
        </is>
      </c>
      <c r="M237" s="18" t="inlineStr">
        <is>
          <t>0 sec</t>
        </is>
      </c>
      <c r="N237" s="20" t="inlineStr">
        <is>
          <t xml:space="preserve">         81K            81K             3K</t>
        </is>
      </c>
      <c r="O237" s="20" t="inlineStr">
        <is>
          <t>EyBoHaoLJUyEHmndL2uzUpMguZZ2pjzXYphnVbhypump</t>
        </is>
      </c>
      <c r="P237" s="20">
        <f>HYPERLINK("https://dexscreener.com/solana/EyBoHaoLJUyEHmndL2uzUpMguZZ2pjzXYphnVbhypump", "View")</f>
        <v/>
      </c>
    </row>
    <row r="238">
      <c r="A238" s="15" t="inlineStr">
        <is>
          <t>🌕</t>
        </is>
      </c>
      <c r="B238" s="16" t="n">
        <v>69980</v>
      </c>
      <c r="C238" s="16" t="n">
        <v>69980</v>
      </c>
      <c r="D238" s="16" t="inlineStr">
        <is>
          <t>0.000160</t>
        </is>
      </c>
      <c r="E238" s="16" t="inlineStr">
        <is>
          <t>0.100 SOL</t>
        </is>
      </c>
      <c r="F238" s="16" t="inlineStr">
        <is>
          <t>0.159 SOL</t>
        </is>
      </c>
      <c r="G238" s="23" t="inlineStr">
        <is>
          <t>0.059 SOL</t>
        </is>
      </c>
      <c r="H238" s="23" t="inlineStr">
        <is>
          <t>58.50%</t>
        </is>
      </c>
      <c r="I238" s="16" t="inlineStr">
        <is>
          <t>N/A</t>
        </is>
      </c>
      <c r="J238" s="16" t="n">
        <v>1</v>
      </c>
      <c r="K238" s="16" t="n">
        <v>2</v>
      </c>
      <c r="L238" s="16" t="inlineStr">
        <is>
          <t>18.10.2024 06:55:37</t>
        </is>
      </c>
      <c r="M238" s="16" t="inlineStr">
        <is>
          <t>5 days</t>
        </is>
      </c>
      <c r="N238" s="16" t="inlineStr">
        <is>
          <t xml:space="preserve">        251K           513K           147K</t>
        </is>
      </c>
      <c r="O238" s="16" t="inlineStr">
        <is>
          <t>FZEWxnkkVM4Eqvrt8Shipj6MJsnGptZNgM7bZwPmpump</t>
        </is>
      </c>
      <c r="P238" s="16">
        <f>HYPERLINK("https://dexscreener.com/solana/FZEWxnkkVM4Eqvrt8Shipj6MJsnGptZNgM7bZwPmpump", "View")</f>
        <v/>
      </c>
    </row>
    <row r="239">
      <c r="A239" s="19" t="inlineStr">
        <is>
          <t>WojakAI</t>
        </is>
      </c>
      <c r="B239" s="20" t="n">
        <v>200237</v>
      </c>
      <c r="C239" s="20" t="n">
        <v>0</v>
      </c>
      <c r="D239" s="20" t="inlineStr">
        <is>
          <t>0.000060</t>
        </is>
      </c>
      <c r="E239" s="20" t="inlineStr">
        <is>
          <t>0.100 SOL</t>
        </is>
      </c>
      <c r="F239" s="20" t="inlineStr">
        <is>
          <t>0.000 SOL</t>
        </is>
      </c>
      <c r="G239" s="17" t="inlineStr">
        <is>
          <t>-0.100 SOL</t>
        </is>
      </c>
      <c r="H239" s="17" t="inlineStr">
        <is>
          <t>0.00%</t>
        </is>
      </c>
      <c r="I239" s="20" t="inlineStr">
        <is>
          <t>200,237</t>
        </is>
      </c>
      <c r="J239" s="20" t="n">
        <v>1</v>
      </c>
      <c r="K239" s="20" t="n">
        <v>0</v>
      </c>
      <c r="L239" s="20" t="inlineStr">
        <is>
          <t>17.10.2024 23:32:38</t>
        </is>
      </c>
      <c r="M239" s="18" t="inlineStr">
        <is>
          <t>0 sec</t>
        </is>
      </c>
      <c r="N239" s="20" t="inlineStr">
        <is>
          <t xml:space="preserve">         88K            88K             4K</t>
        </is>
      </c>
      <c r="O239" s="20" t="inlineStr">
        <is>
          <t>EiX8zhiYZB51JDXTM36ELxaTAgRscvYCUjqj6Bn1pump</t>
        </is>
      </c>
      <c r="P239" s="20">
        <f>HYPERLINK("https://dexscreener.com/solana/EiX8zhiYZB51JDXTM36ELxaTAgRscvYCUjqj6Bn1pump", "View")</f>
        <v/>
      </c>
    </row>
    <row r="240">
      <c r="A240" s="15" t="inlineStr">
        <is>
          <t>YiJianlian</t>
        </is>
      </c>
      <c r="B240" s="16" t="n">
        <v>9429207</v>
      </c>
      <c r="C240" s="16" t="n">
        <v>9429207</v>
      </c>
      <c r="D240" s="16" t="inlineStr">
        <is>
          <t>0.000330</t>
        </is>
      </c>
      <c r="E240" s="16" t="inlineStr">
        <is>
          <t>0.413 SOL</t>
        </is>
      </c>
      <c r="F240" s="16" t="inlineStr">
        <is>
          <t>0.388 SOL</t>
        </is>
      </c>
      <c r="G240" s="21" t="inlineStr">
        <is>
          <t>-0.025 SOL</t>
        </is>
      </c>
      <c r="H240" s="21" t="inlineStr">
        <is>
          <t>-6.00%</t>
        </is>
      </c>
      <c r="I240" s="16" t="inlineStr">
        <is>
          <t>N/A</t>
        </is>
      </c>
      <c r="J240" s="16" t="n">
        <v>4</v>
      </c>
      <c r="K240" s="16" t="n">
        <v>2</v>
      </c>
      <c r="L240" s="16" t="inlineStr">
        <is>
          <t>17.10.2024 13:18:21</t>
        </is>
      </c>
      <c r="M240" s="16" t="inlineStr">
        <is>
          <t>10 hours</t>
        </is>
      </c>
      <c r="N240" s="16" t="inlineStr">
        <is>
          <t xml:space="preserve">          7K             7K             5K</t>
        </is>
      </c>
      <c r="O240" s="16" t="inlineStr">
        <is>
          <t>9Xk2P6QvLsWBBHd3hPSRG1d6UWHfjfKKWX8bvitWpump</t>
        </is>
      </c>
      <c r="P240" s="16">
        <f>HYPERLINK("https://photon-sol.tinyastro.io/en/lp/9Xk2P6QvLsWBBHd3hPSRG1d6UWHfjfKKWX8bvitWpump?handle=676050794bc1b1657a56b", "View")</f>
        <v/>
      </c>
    </row>
    <row r="241">
      <c r="A241" s="19" t="inlineStr">
        <is>
          <t>NOKS</t>
        </is>
      </c>
      <c r="B241" s="20" t="n">
        <v>194598</v>
      </c>
      <c r="C241" s="20" t="n">
        <v>194598</v>
      </c>
      <c r="D241" s="20" t="inlineStr">
        <is>
          <t>0.000160</t>
        </is>
      </c>
      <c r="E241" s="20" t="inlineStr">
        <is>
          <t>0.100 SOL</t>
        </is>
      </c>
      <c r="F241" s="20" t="inlineStr">
        <is>
          <t>0.147 SOL</t>
        </is>
      </c>
      <c r="G241" s="22" t="inlineStr">
        <is>
          <t>0.047 SOL</t>
        </is>
      </c>
      <c r="H241" s="22" t="inlineStr">
        <is>
          <t>46.67%</t>
        </is>
      </c>
      <c r="I241" s="20" t="inlineStr">
        <is>
          <t>N/A</t>
        </is>
      </c>
      <c r="J241" s="20" t="n">
        <v>1</v>
      </c>
      <c r="K241" s="20" t="n">
        <v>2</v>
      </c>
      <c r="L241" s="20" t="inlineStr">
        <is>
          <t>17.10.2024 02:41:55</t>
        </is>
      </c>
      <c r="M241" s="20" t="inlineStr">
        <is>
          <t>9 days</t>
        </is>
      </c>
      <c r="N241" s="20" t="inlineStr">
        <is>
          <t xml:space="preserve">         90K           179K            63K</t>
        </is>
      </c>
      <c r="O241" s="20" t="inlineStr">
        <is>
          <t>6knS2iQca2b7r6uNxEh65CG5Wpt9g7vy5nNmTLk6pump</t>
        </is>
      </c>
      <c r="P241" s="20">
        <f>HYPERLINK("https://dexscreener.com/solana/6knS2iQca2b7r6uNxEh65CG5Wpt9g7vy5nNmTLk6pump", "View")</f>
        <v/>
      </c>
    </row>
    <row r="242">
      <c r="A242" s="15" t="inlineStr">
        <is>
          <t>JENNY</t>
        </is>
      </c>
      <c r="B242" s="16" t="n">
        <v>15062</v>
      </c>
      <c r="C242" s="16" t="n">
        <v>7531</v>
      </c>
      <c r="D242" s="16" t="inlineStr">
        <is>
          <t>0.000110</t>
        </is>
      </c>
      <c r="E242" s="16" t="inlineStr">
        <is>
          <t>0.100 SOL</t>
        </is>
      </c>
      <c r="F242" s="16" t="inlineStr">
        <is>
          <t>0.194 SOL</t>
        </is>
      </c>
      <c r="G242" s="23" t="inlineStr">
        <is>
          <t>0.094 SOL</t>
        </is>
      </c>
      <c r="H242" s="23" t="inlineStr">
        <is>
          <t>93.69%</t>
        </is>
      </c>
      <c r="I242" s="16" t="inlineStr">
        <is>
          <t>N/A</t>
        </is>
      </c>
      <c r="J242" s="16" t="n">
        <v>1</v>
      </c>
      <c r="K242" s="16" t="n">
        <v>1</v>
      </c>
      <c r="L242" s="16" t="inlineStr">
        <is>
          <t>16.10.2024 15:34:30</t>
        </is>
      </c>
      <c r="M242" s="16" t="inlineStr">
        <is>
          <t>46 min</t>
        </is>
      </c>
      <c r="N242" s="16" t="inlineStr">
        <is>
          <t xml:space="preserve">          1M             5M             1M</t>
        </is>
      </c>
      <c r="O242" s="16" t="inlineStr">
        <is>
          <t>fDJVuPCzsi4pfc5wBEan5PEUDPvtvcTWm5gjLAtpump</t>
        </is>
      </c>
      <c r="P242" s="16">
        <f>HYPERLINK("https://dexscreener.com/solana/fDJVuPCzsi4pfc5wBEan5PEUDPvtvcTWm5gjLAtpump", "View")</f>
        <v/>
      </c>
    </row>
    <row r="243">
      <c r="A243" s="19" t="inlineStr">
        <is>
          <t>FDLZ</t>
        </is>
      </c>
      <c r="B243" s="20" t="n">
        <v>91715</v>
      </c>
      <c r="C243" s="20" t="n">
        <v>91715</v>
      </c>
      <c r="D243" s="20" t="inlineStr">
        <is>
          <t>0.000110</t>
        </is>
      </c>
      <c r="E243" s="20" t="inlineStr">
        <is>
          <t>0.100 SOL</t>
        </is>
      </c>
      <c r="F243" s="20" t="inlineStr">
        <is>
          <t>0.050 SOL</t>
        </is>
      </c>
      <c r="G243" s="24" t="inlineStr">
        <is>
          <t>-0.050 SOL</t>
        </is>
      </c>
      <c r="H243" s="24" t="inlineStr">
        <is>
          <t>-50.04%</t>
        </is>
      </c>
      <c r="I243" s="20" t="inlineStr">
        <is>
          <t>N/A</t>
        </is>
      </c>
      <c r="J243" s="20" t="n">
        <v>1</v>
      </c>
      <c r="K243" s="20" t="n">
        <v>1</v>
      </c>
      <c r="L243" s="20" t="inlineStr">
        <is>
          <t>16.10.2024 05:16:58</t>
        </is>
      </c>
      <c r="M243" s="20" t="inlineStr">
        <is>
          <t>52 min</t>
        </is>
      </c>
      <c r="N243" s="20" t="inlineStr">
        <is>
          <t xml:space="preserve">        191K            97K            49K</t>
        </is>
      </c>
      <c r="O243" s="20" t="inlineStr">
        <is>
          <t>FGSheu4NuiGqf8zjP9Na5BtdQTmd1SzfcdYZAHHNpump</t>
        </is>
      </c>
      <c r="P243" s="20">
        <f>HYPERLINK("https://dexscreener.com/solana/FGSheu4NuiGqf8zjP9Na5BtdQTmd1SzfcdYZAHHNpump", "View")</f>
        <v/>
      </c>
    </row>
    <row r="244">
      <c r="A244" s="15" t="inlineStr">
        <is>
          <t>TAI</t>
        </is>
      </c>
      <c r="B244" s="16" t="n">
        <v>831003</v>
      </c>
      <c r="C244" s="16" t="n">
        <v>0</v>
      </c>
      <c r="D244" s="16" t="inlineStr">
        <is>
          <t>0.000060</t>
        </is>
      </c>
      <c r="E244" s="16" t="inlineStr">
        <is>
          <t>0.104 SOL</t>
        </is>
      </c>
      <c r="F244" s="16" t="inlineStr">
        <is>
          <t>0.000 SOL</t>
        </is>
      </c>
      <c r="G244" s="17" t="inlineStr">
        <is>
          <t>-0.104 SOL</t>
        </is>
      </c>
      <c r="H244" s="17" t="inlineStr">
        <is>
          <t>0.00%</t>
        </is>
      </c>
      <c r="I244" s="16" t="inlineStr">
        <is>
          <t>831,003</t>
        </is>
      </c>
      <c r="J244" s="16" t="n">
        <v>1</v>
      </c>
      <c r="K244" s="16" t="n">
        <v>0</v>
      </c>
      <c r="L244" s="16" t="inlineStr">
        <is>
          <t>16.10.2024 03:51:28</t>
        </is>
      </c>
      <c r="M244" s="18" t="inlineStr">
        <is>
          <t>0 sec</t>
        </is>
      </c>
      <c r="N244" s="16" t="inlineStr">
        <is>
          <t xml:space="preserve">        N/A           N/A           N/A</t>
        </is>
      </c>
      <c r="O244" s="16" t="inlineStr">
        <is>
          <t>Bp7KskfHLByExoKMBwtRmTT1tqRMzBcLswamu41wpump</t>
        </is>
      </c>
      <c r="P244" s="16">
        <f>HYPERLINK("https://photon-sol.tinyastro.io/en/lp/Bp7KskfHLByExoKMBwtRmTT1tqRMzBcLswamu41wpump?handle=676050794bc1b1657a56b", "View")</f>
        <v/>
      </c>
    </row>
    <row r="245">
      <c r="A245" s="19" t="inlineStr">
        <is>
          <t>👻</t>
        </is>
      </c>
      <c r="B245" s="20" t="n">
        <v>1015657</v>
      </c>
      <c r="C245" s="20" t="n">
        <v>1015657</v>
      </c>
      <c r="D245" s="20" t="inlineStr">
        <is>
          <t>0.000110</t>
        </is>
      </c>
      <c r="E245" s="20" t="inlineStr">
        <is>
          <t>0.104 SOL</t>
        </is>
      </c>
      <c r="F245" s="20" t="inlineStr">
        <is>
          <t>0.081 SOL</t>
        </is>
      </c>
      <c r="G245" s="21" t="inlineStr">
        <is>
          <t>-0.023 SOL</t>
        </is>
      </c>
      <c r="H245" s="21" t="inlineStr">
        <is>
          <t>-21.93%</t>
        </is>
      </c>
      <c r="I245" s="20" t="inlineStr">
        <is>
          <t>N/A</t>
        </is>
      </c>
      <c r="J245" s="20" t="n">
        <v>1</v>
      </c>
      <c r="K245" s="20" t="n">
        <v>1</v>
      </c>
      <c r="L245" s="20" t="inlineStr">
        <is>
          <t>16.10.2024 01:59:58</t>
        </is>
      </c>
      <c r="M245" s="20" t="inlineStr">
        <is>
          <t>1 hours</t>
        </is>
      </c>
      <c r="N245" s="20" t="inlineStr">
        <is>
          <t xml:space="preserve">        N/A           N/A           N/A</t>
        </is>
      </c>
      <c r="O245" s="20" t="inlineStr">
        <is>
          <t>D3WzfhioY7YKeTKbegoPq9mEuYUjko4MCatGtMJipump</t>
        </is>
      </c>
      <c r="P245" s="20">
        <f>HYPERLINK("https://photon-sol.tinyastro.io/en/lp/D3WzfhioY7YKeTKbegoPq9mEuYUjko4MCatGtMJipump?handle=676050794bc1b1657a56b", "View")</f>
        <v/>
      </c>
    </row>
    <row r="246">
      <c r="A246" s="15" t="inlineStr">
        <is>
          <t>CAT</t>
        </is>
      </c>
      <c r="B246" s="16" t="n">
        <v>185539</v>
      </c>
      <c r="C246" s="16" t="n">
        <v>55662</v>
      </c>
      <c r="D246" s="16" t="inlineStr">
        <is>
          <t>0.000110</t>
        </is>
      </c>
      <c r="E246" s="16" t="inlineStr">
        <is>
          <t>0.100 SOL</t>
        </is>
      </c>
      <c r="F246" s="16" t="inlineStr">
        <is>
          <t>0.094 SOL</t>
        </is>
      </c>
      <c r="G246" s="21" t="inlineStr">
        <is>
          <t>-0.006 SOL</t>
        </is>
      </c>
      <c r="H246" s="21" t="inlineStr">
        <is>
          <t>-5.67%</t>
        </is>
      </c>
      <c r="I246" s="16" t="inlineStr">
        <is>
          <t>N/A</t>
        </is>
      </c>
      <c r="J246" s="16" t="n">
        <v>1</v>
      </c>
      <c r="K246" s="16" t="n">
        <v>1</v>
      </c>
      <c r="L246" s="16" t="inlineStr">
        <is>
          <t>14.10.2024 13:52:28</t>
        </is>
      </c>
      <c r="M246" s="16" t="inlineStr">
        <is>
          <t>47 min</t>
        </is>
      </c>
      <c r="N246" s="16" t="inlineStr">
        <is>
          <t xml:space="preserve">         95K           298K             6K</t>
        </is>
      </c>
      <c r="O246" s="16" t="inlineStr">
        <is>
          <t>7QPazeNDzoyMdxb1ACwcDWwb91Rtxu15CV3GWQQXpump</t>
        </is>
      </c>
      <c r="P246" s="16">
        <f>HYPERLINK("https://dexscreener.com/solana/7QPazeNDzoyMdxb1ACwcDWwb91Rtxu15CV3GWQQXpump", "View")</f>
        <v/>
      </c>
    </row>
    <row r="247">
      <c r="A247" s="19" t="inlineStr">
        <is>
          <t>🐈</t>
        </is>
      </c>
      <c r="B247" s="20" t="n">
        <v>4117</v>
      </c>
      <c r="C247" s="20" t="n">
        <v>4117</v>
      </c>
      <c r="D247" s="20" t="inlineStr">
        <is>
          <t>0.000110</t>
        </is>
      </c>
      <c r="E247" s="20" t="inlineStr">
        <is>
          <t>0.100 SOL</t>
        </is>
      </c>
      <c r="F247" s="20" t="inlineStr">
        <is>
          <t>0.101 SOL</t>
        </is>
      </c>
      <c r="G247" s="22" t="inlineStr">
        <is>
          <t>0.000 SOL</t>
        </is>
      </c>
      <c r="H247" s="22" t="inlineStr">
        <is>
          <t>0.49%</t>
        </is>
      </c>
      <c r="I247" s="20" t="inlineStr">
        <is>
          <t>N/A</t>
        </is>
      </c>
      <c r="J247" s="20" t="n">
        <v>1</v>
      </c>
      <c r="K247" s="20" t="n">
        <v>1</v>
      </c>
      <c r="L247" s="20" t="inlineStr">
        <is>
          <t>13.10.2024 09:35:14</t>
        </is>
      </c>
      <c r="M247" s="20" t="inlineStr">
        <is>
          <t>3 hours</t>
        </is>
      </c>
      <c r="N247" s="20" t="inlineStr">
        <is>
          <t xml:space="preserve">          4M             4M           376K</t>
        </is>
      </c>
      <c r="O247" s="20" t="inlineStr">
        <is>
          <t>DFwxYdmfLJsPTyrNJCapGadF58Y74e2TFpVAyhbgpump</t>
        </is>
      </c>
      <c r="P247" s="20">
        <f>HYPERLINK("https://dexscreener.com/solana/DFwxYdmfLJsPTyrNJCapGadF58Y74e2TFpVAyhbgpump", "View")</f>
        <v/>
      </c>
    </row>
    <row r="248">
      <c r="A248" s="15" t="inlineStr">
        <is>
          <t>🦛</t>
        </is>
      </c>
      <c r="B248" s="16" t="n">
        <v>1785399</v>
      </c>
      <c r="C248" s="16" t="n">
        <v>1785399</v>
      </c>
      <c r="D248" s="16" t="inlineStr">
        <is>
          <t>0.000160</t>
        </is>
      </c>
      <c r="E248" s="16" t="inlineStr">
        <is>
          <t>0.200 SOL</t>
        </is>
      </c>
      <c r="F248" s="16" t="inlineStr">
        <is>
          <t>0.204 SOL</t>
        </is>
      </c>
      <c r="G248" s="22" t="inlineStr">
        <is>
          <t>0.004 SOL</t>
        </is>
      </c>
      <c r="H248" s="22" t="inlineStr">
        <is>
          <t>1.82%</t>
        </is>
      </c>
      <c r="I248" s="16" t="inlineStr">
        <is>
          <t>N/A</t>
        </is>
      </c>
      <c r="J248" s="16" t="n">
        <v>2</v>
      </c>
      <c r="K248" s="16" t="n">
        <v>1</v>
      </c>
      <c r="L248" s="16" t="inlineStr">
        <is>
          <t>13.10.2024 06:21:04</t>
        </is>
      </c>
      <c r="M248" s="16" t="inlineStr">
        <is>
          <t>10 days</t>
        </is>
      </c>
      <c r="N248" s="16" t="inlineStr">
        <is>
          <t xml:space="preserve">         63K            19K            11K</t>
        </is>
      </c>
      <c r="O248" s="16" t="inlineStr">
        <is>
          <t>5qZ4Ns4QsAKoshJMa4aqKxGpzsyhskL4x23kWpHypump</t>
        </is>
      </c>
      <c r="P248" s="16">
        <f>HYPERLINK("https://dexscreener.com/solana/5qZ4Ns4QsAKoshJMa4aqKxGpzsyhskL4x23kWpHypump", "View")</f>
        <v/>
      </c>
    </row>
    <row r="249">
      <c r="A249" s="19" t="inlineStr">
        <is>
          <t>KITLER</t>
        </is>
      </c>
      <c r="B249" s="20" t="n">
        <v>158871</v>
      </c>
      <c r="C249" s="20" t="n">
        <v>0</v>
      </c>
      <c r="D249" s="20" t="inlineStr">
        <is>
          <t>0.000060</t>
        </is>
      </c>
      <c r="E249" s="20" t="inlineStr">
        <is>
          <t>0.100 SOL</t>
        </is>
      </c>
      <c r="F249" s="20" t="inlineStr">
        <is>
          <t>0.000 SOL</t>
        </is>
      </c>
      <c r="G249" s="17" t="inlineStr">
        <is>
          <t>-0.100 SOL</t>
        </is>
      </c>
      <c r="H249" s="17" t="inlineStr">
        <is>
          <t>0.00%</t>
        </is>
      </c>
      <c r="I249" s="20" t="inlineStr">
        <is>
          <t>158,871</t>
        </is>
      </c>
      <c r="J249" s="20" t="n">
        <v>1</v>
      </c>
      <c r="K249" s="20" t="n">
        <v>0</v>
      </c>
      <c r="L249" s="20" t="inlineStr">
        <is>
          <t>12.10.2024 13:06:12</t>
        </is>
      </c>
      <c r="M249" s="18" t="inlineStr">
        <is>
          <t>0 sec</t>
        </is>
      </c>
      <c r="N249" s="20" t="inlineStr">
        <is>
          <t xml:space="preserve">        111K           111K             8K</t>
        </is>
      </c>
      <c r="O249" s="20" t="inlineStr">
        <is>
          <t>6DZkrKBPrRWou1oS7P8WLDawwrXhLCKgt1cr7mabpump</t>
        </is>
      </c>
      <c r="P249" s="20">
        <f>HYPERLINK("https://dexscreener.com/solana/6DZkrKBPrRWou1oS7P8WLDawwrXhLCKgt1cr7mabpump", "View")</f>
        <v/>
      </c>
    </row>
    <row r="250">
      <c r="A250" s="15" t="inlineStr">
        <is>
          <t>NFS</t>
        </is>
      </c>
      <c r="B250" s="16" t="n">
        <v>180880</v>
      </c>
      <c r="C250" s="16" t="n">
        <v>72352</v>
      </c>
      <c r="D250" s="16" t="inlineStr">
        <is>
          <t>0.000110</t>
        </is>
      </c>
      <c r="E250" s="16" t="inlineStr">
        <is>
          <t>0.100 SOL</t>
        </is>
      </c>
      <c r="F250" s="16" t="inlineStr">
        <is>
          <t>0.097 SOL</t>
        </is>
      </c>
      <c r="G250" s="21" t="inlineStr">
        <is>
          <t>-0.003 SOL</t>
        </is>
      </c>
      <c r="H250" s="21" t="inlineStr">
        <is>
          <t>-3.27%</t>
        </is>
      </c>
      <c r="I250" s="16" t="inlineStr">
        <is>
          <t>N/A</t>
        </is>
      </c>
      <c r="J250" s="16" t="n">
        <v>1</v>
      </c>
      <c r="K250" s="16" t="n">
        <v>1</v>
      </c>
      <c r="L250" s="16" t="inlineStr">
        <is>
          <t>12.10.2024 09:20:39</t>
        </is>
      </c>
      <c r="M250" s="16" t="inlineStr">
        <is>
          <t>18 hours</t>
        </is>
      </c>
      <c r="N250" s="16" t="inlineStr">
        <is>
          <t xml:space="preserve">         97K           235K             6K</t>
        </is>
      </c>
      <c r="O250" s="16" t="inlineStr">
        <is>
          <t>EaVwRAXqe2Cbesm9dQs4AeeQP1X6VB8dczZHmXuDpump</t>
        </is>
      </c>
      <c r="P250" s="16">
        <f>HYPERLINK("https://dexscreener.com/solana/EaVwRAXqe2Cbesm9dQs4AeeQP1X6VB8dczZHmXuDpump", "View")</f>
        <v/>
      </c>
    </row>
    <row r="251">
      <c r="A251" s="19" t="inlineStr">
        <is>
          <t>1:1</t>
        </is>
      </c>
      <c r="B251" s="20" t="n">
        <v>289864</v>
      </c>
      <c r="C251" s="20" t="n">
        <v>0</v>
      </c>
      <c r="D251" s="20" t="inlineStr">
        <is>
          <t>0.000060</t>
        </is>
      </c>
      <c r="E251" s="20" t="inlineStr">
        <is>
          <t>0.104 SOL</t>
        </is>
      </c>
      <c r="F251" s="20" t="inlineStr">
        <is>
          <t>0.000 SOL</t>
        </is>
      </c>
      <c r="G251" s="17" t="inlineStr">
        <is>
          <t>-0.104 SOL</t>
        </is>
      </c>
      <c r="H251" s="17" t="inlineStr">
        <is>
          <t>0.00%</t>
        </is>
      </c>
      <c r="I251" s="20" t="inlineStr">
        <is>
          <t>289,864</t>
        </is>
      </c>
      <c r="J251" s="20" t="n">
        <v>1</v>
      </c>
      <c r="K251" s="20" t="n">
        <v>0</v>
      </c>
      <c r="L251" s="20" t="inlineStr">
        <is>
          <t>12.10.2024 09:20:08</t>
        </is>
      </c>
      <c r="M251" s="18" t="inlineStr">
        <is>
          <t>0 sec</t>
        </is>
      </c>
      <c r="N251" s="20" t="inlineStr">
        <is>
          <t xml:space="preserve">         63K            63K             4K</t>
        </is>
      </c>
      <c r="O251" s="20" t="inlineStr">
        <is>
          <t>hAyE4s1cFWht6GvRgzG23VcqGfVR7mF9iLCZ9yrpump</t>
        </is>
      </c>
      <c r="P251" s="20">
        <f>HYPERLINK("https://photon-sol.tinyastro.io/en/lp/hAyE4s1cFWht6GvRgzG23VcqGfVR7mF9iLCZ9yrpump?handle=676050794bc1b1657a56b", "View")</f>
        <v/>
      </c>
    </row>
    <row r="252">
      <c r="A252" s="15" t="inlineStr">
        <is>
          <t>Wick</t>
        </is>
      </c>
      <c r="B252" s="16" t="n">
        <v>1547629</v>
      </c>
      <c r="C252" s="16" t="n">
        <v>1547629</v>
      </c>
      <c r="D252" s="16" t="inlineStr">
        <is>
          <t>0.000110</t>
        </is>
      </c>
      <c r="E252" s="16" t="inlineStr">
        <is>
          <t>0.104 SOL</t>
        </is>
      </c>
      <c r="F252" s="16" t="inlineStr">
        <is>
          <t>0.044 SOL</t>
        </is>
      </c>
      <c r="G252" s="24" t="inlineStr">
        <is>
          <t>-0.060 SOL</t>
        </is>
      </c>
      <c r="H252" s="24" t="inlineStr">
        <is>
          <t>-57.58%</t>
        </is>
      </c>
      <c r="I252" s="16" t="inlineStr">
        <is>
          <t>N/A</t>
        </is>
      </c>
      <c r="J252" s="16" t="n">
        <v>1</v>
      </c>
      <c r="K252" s="16" t="n">
        <v>1</v>
      </c>
      <c r="L252" s="16" t="inlineStr">
        <is>
          <t>12.10.2024 05:24:39</t>
        </is>
      </c>
      <c r="M252" s="16" t="inlineStr">
        <is>
          <t>17 hours</t>
        </is>
      </c>
      <c r="N252" s="16" t="inlineStr">
        <is>
          <t xml:space="preserve">        N/A           N/A           N/A</t>
        </is>
      </c>
      <c r="O252" s="16" t="inlineStr">
        <is>
          <t>Grq9dmH9X8LDuGGx25fL6DNfYbHnx3PP3wZwFidopump</t>
        </is>
      </c>
      <c r="P252" s="16">
        <f>HYPERLINK("https://photon-sol.tinyastro.io/en/lp/Grq9dmH9X8LDuGGx25fL6DNfYbHnx3PP3wZwFidopump?handle=676050794bc1b1657a56b", "View")</f>
        <v/>
      </c>
    </row>
    <row r="253">
      <c r="A253" s="19" t="inlineStr">
        <is>
          <t>💹</t>
        </is>
      </c>
      <c r="B253" s="20" t="n">
        <v>31983</v>
      </c>
      <c r="C253" s="20" t="n">
        <v>0</v>
      </c>
      <c r="D253" s="20" t="inlineStr">
        <is>
          <t>0.000060</t>
        </is>
      </c>
      <c r="E253" s="20" t="inlineStr">
        <is>
          <t>0.100 SOL</t>
        </is>
      </c>
      <c r="F253" s="20" t="inlineStr">
        <is>
          <t>0.000 SOL</t>
        </is>
      </c>
      <c r="G253" s="17" t="inlineStr">
        <is>
          <t>-0.100 SOL</t>
        </is>
      </c>
      <c r="H253" s="17" t="inlineStr">
        <is>
          <t>0.00%</t>
        </is>
      </c>
      <c r="I253" s="20" t="inlineStr">
        <is>
          <t>31,983</t>
        </is>
      </c>
      <c r="J253" s="20" t="n">
        <v>1</v>
      </c>
      <c r="K253" s="20" t="n">
        <v>0</v>
      </c>
      <c r="L253" s="20" t="inlineStr">
        <is>
          <t>11.10.2024 23:34:35</t>
        </is>
      </c>
      <c r="M253" s="18" t="inlineStr">
        <is>
          <t>0 sec</t>
        </is>
      </c>
      <c r="N253" s="20" t="inlineStr">
        <is>
          <t xml:space="preserve">        549K           549K             5K</t>
        </is>
      </c>
      <c r="O253" s="20" t="inlineStr">
        <is>
          <t>Er2TBmNnXzbKWHNTdcfVW41MtqkR4FDuocBLWXgvpump</t>
        </is>
      </c>
      <c r="P253" s="20">
        <f>HYPERLINK("https://dexscreener.com/solana/Er2TBmNnXzbKWHNTdcfVW41MtqkR4FDuocBLWXgvpump", "View")</f>
        <v/>
      </c>
    </row>
    <row r="254">
      <c r="A254" s="15" t="inlineStr">
        <is>
          <t>CyberVan</t>
        </is>
      </c>
      <c r="B254" s="16" t="n">
        <v>439683</v>
      </c>
      <c r="C254" s="16" t="n">
        <v>439683</v>
      </c>
      <c r="D254" s="16" t="inlineStr">
        <is>
          <t>0.000110</t>
        </is>
      </c>
      <c r="E254" s="16" t="inlineStr">
        <is>
          <t>0.104 SOL</t>
        </is>
      </c>
      <c r="F254" s="16" t="inlineStr">
        <is>
          <t>0.124 SOL</t>
        </is>
      </c>
      <c r="G254" s="22" t="inlineStr">
        <is>
          <t>0.020 SOL</t>
        </is>
      </c>
      <c r="H254" s="22" t="inlineStr">
        <is>
          <t>18.94%</t>
        </is>
      </c>
      <c r="I254" s="16" t="inlineStr">
        <is>
          <t>N/A</t>
        </is>
      </c>
      <c r="J254" s="16" t="n">
        <v>1</v>
      </c>
      <c r="K254" s="16" t="n">
        <v>1</v>
      </c>
      <c r="L254" s="16" t="inlineStr">
        <is>
          <t>11.10.2024 15:09:49</t>
        </is>
      </c>
      <c r="M254" s="16" t="inlineStr">
        <is>
          <t>1 days</t>
        </is>
      </c>
      <c r="N254" s="16" t="inlineStr">
        <is>
          <t xml:space="preserve">         42K            49K             4K</t>
        </is>
      </c>
      <c r="O254" s="16" t="inlineStr">
        <is>
          <t>6ARWffTGt4Vf3rRxjBc6gWtfScm7JycdEmkuTYpjpump</t>
        </is>
      </c>
      <c r="P254" s="16">
        <f>HYPERLINK("https://photon-sol.tinyastro.io/en/lp/6ARWffTGt4Vf3rRxjBc6gWtfScm7JycdEmkuTYpjpump?handle=676050794bc1b1657a56b", "View")</f>
        <v/>
      </c>
    </row>
    <row r="255">
      <c r="A255" s="19" t="inlineStr">
        <is>
          <t>KFC</t>
        </is>
      </c>
      <c r="B255" s="20" t="n">
        <v>169821</v>
      </c>
      <c r="C255" s="20" t="n">
        <v>0</v>
      </c>
      <c r="D255" s="20" t="inlineStr">
        <is>
          <t>0.000060</t>
        </is>
      </c>
      <c r="E255" s="20" t="inlineStr">
        <is>
          <t>0.100 SOL</t>
        </is>
      </c>
      <c r="F255" s="20" t="inlineStr">
        <is>
          <t>0.000 SOL</t>
        </is>
      </c>
      <c r="G255" s="17" t="inlineStr">
        <is>
          <t>-0.100 SOL</t>
        </is>
      </c>
      <c r="H255" s="17" t="inlineStr">
        <is>
          <t>0.00%</t>
        </is>
      </c>
      <c r="I255" s="20" t="inlineStr">
        <is>
          <t>169,821</t>
        </is>
      </c>
      <c r="J255" s="20" t="n">
        <v>1</v>
      </c>
      <c r="K255" s="20" t="n">
        <v>0</v>
      </c>
      <c r="L255" s="20" t="inlineStr">
        <is>
          <t>11.10.2024 14:38:53</t>
        </is>
      </c>
      <c r="M255" s="18" t="inlineStr">
        <is>
          <t>0 sec</t>
        </is>
      </c>
      <c r="N255" s="20" t="inlineStr">
        <is>
          <t xml:space="preserve">        104K           104K             4K</t>
        </is>
      </c>
      <c r="O255" s="20" t="inlineStr">
        <is>
          <t>HHXLehamQT94qDBL3K6tmHVbw8QQTK5TCrkaQJQ1DjAz</t>
        </is>
      </c>
      <c r="P255" s="20">
        <f>HYPERLINK("https://dexscreener.com/solana/HHXLehamQT94qDBL3K6tmHVbw8QQTK5TCrkaQJQ1DjAz", "View")</f>
        <v/>
      </c>
    </row>
    <row r="256">
      <c r="A256" s="15" t="inlineStr">
        <is>
          <t>FRAUD</t>
        </is>
      </c>
      <c r="B256" s="16" t="n">
        <v>157972</v>
      </c>
      <c r="C256" s="16" t="n">
        <v>0</v>
      </c>
      <c r="D256" s="16" t="inlineStr">
        <is>
          <t>0.000060</t>
        </is>
      </c>
      <c r="E256" s="16" t="inlineStr">
        <is>
          <t>0.100 SOL</t>
        </is>
      </c>
      <c r="F256" s="16" t="inlineStr">
        <is>
          <t>0.000 SOL</t>
        </is>
      </c>
      <c r="G256" s="17" t="inlineStr">
        <is>
          <t>-0.100 SOL</t>
        </is>
      </c>
      <c r="H256" s="17" t="inlineStr">
        <is>
          <t>0.00%</t>
        </is>
      </c>
      <c r="I256" s="16" t="inlineStr">
        <is>
          <t>157,972</t>
        </is>
      </c>
      <c r="J256" s="16" t="n">
        <v>1</v>
      </c>
      <c r="K256" s="16" t="n">
        <v>0</v>
      </c>
      <c r="L256" s="16" t="inlineStr">
        <is>
          <t>11.10.2024 14:00:46</t>
        </is>
      </c>
      <c r="M256" s="18" t="inlineStr">
        <is>
          <t>0 sec</t>
        </is>
      </c>
      <c r="N256" s="16" t="inlineStr">
        <is>
          <t xml:space="preserve">        110K           110K             5K</t>
        </is>
      </c>
      <c r="O256" s="16" t="inlineStr">
        <is>
          <t>B43WbANTe76SSdNj6VWRGgz6fouhsXXbwFNSXb9tpump</t>
        </is>
      </c>
      <c r="P256" s="16">
        <f>HYPERLINK("https://dexscreener.com/solana/B43WbANTe76SSdNj6VWRGgz6fouhsXXbwFNSXb9tpump", "View")</f>
        <v/>
      </c>
    </row>
    <row r="257">
      <c r="A257" s="19" t="inlineStr">
        <is>
          <t>Orbdog</t>
        </is>
      </c>
      <c r="B257" s="20" t="n">
        <v>574655</v>
      </c>
      <c r="C257" s="20" t="n">
        <v>574655</v>
      </c>
      <c r="D257" s="20" t="inlineStr">
        <is>
          <t>0.000280</t>
        </is>
      </c>
      <c r="E257" s="20" t="inlineStr">
        <is>
          <t>0.200 SOL</t>
        </is>
      </c>
      <c r="F257" s="20" t="inlineStr">
        <is>
          <t>0.961 SOL</t>
        </is>
      </c>
      <c r="G257" s="23" t="inlineStr">
        <is>
          <t>0.760 SOL</t>
        </is>
      </c>
      <c r="H257" s="23" t="inlineStr">
        <is>
          <t>379.62%</t>
        </is>
      </c>
      <c r="I257" s="20" t="inlineStr">
        <is>
          <t>N/A</t>
        </is>
      </c>
      <c r="J257" s="20" t="n">
        <v>2</v>
      </c>
      <c r="K257" s="20" t="n">
        <v>3</v>
      </c>
      <c r="L257" s="20" t="inlineStr">
        <is>
          <t>11.10.2024 12:47:12</t>
        </is>
      </c>
      <c r="M257" s="20" t="inlineStr">
        <is>
          <t>1 days</t>
        </is>
      </c>
      <c r="N257" s="20" t="inlineStr">
        <is>
          <t xml:space="preserve">         60K           762K            16K</t>
        </is>
      </c>
      <c r="O257" s="20" t="inlineStr">
        <is>
          <t>AnLQDZ8jAuFCohsPWisgWqkfkG5iw7zUfBC7imrdpump</t>
        </is>
      </c>
      <c r="P257" s="20">
        <f>HYPERLINK("https://dexscreener.com/solana/AnLQDZ8jAuFCohsPWisgWqkfkG5iw7zUfBC7imrdpump", "View")</f>
        <v/>
      </c>
    </row>
    <row r="258">
      <c r="A258" s="15" t="inlineStr">
        <is>
          <t>SEEDO</t>
        </is>
      </c>
      <c r="B258" s="16" t="n">
        <v>176005</v>
      </c>
      <c r="C258" s="16" t="n">
        <v>0</v>
      </c>
      <c r="D258" s="16" t="inlineStr">
        <is>
          <t>0.000060</t>
        </is>
      </c>
      <c r="E258" s="16" t="inlineStr">
        <is>
          <t>0.100 SOL</t>
        </is>
      </c>
      <c r="F258" s="16" t="inlineStr">
        <is>
          <t>0.000 SOL</t>
        </is>
      </c>
      <c r="G258" s="17" t="inlineStr">
        <is>
          <t>-0.100 SOL</t>
        </is>
      </c>
      <c r="H258" s="17" t="inlineStr">
        <is>
          <t>0.00%</t>
        </is>
      </c>
      <c r="I258" s="16" t="inlineStr">
        <is>
          <t>176,005</t>
        </is>
      </c>
      <c r="J258" s="16" t="n">
        <v>1</v>
      </c>
      <c r="K258" s="16" t="n">
        <v>0</v>
      </c>
      <c r="L258" s="16" t="inlineStr">
        <is>
          <t>11.10.2024 08:40:35</t>
        </is>
      </c>
      <c r="M258" s="18" t="inlineStr">
        <is>
          <t>0 sec</t>
        </is>
      </c>
      <c r="N258" s="16" t="inlineStr">
        <is>
          <t xml:space="preserve">        100K           100K             4K</t>
        </is>
      </c>
      <c r="O258" s="16" t="inlineStr">
        <is>
          <t>2Q4CYvXNooY1QNtGJVRkokYrBow2mHsRP4EQ3j2Npump</t>
        </is>
      </c>
      <c r="P258" s="16">
        <f>HYPERLINK("https://dexscreener.com/solana/2Q4CYvXNooY1QNtGJVRkokYrBow2mHsRP4EQ3j2Npump", "View")</f>
        <v/>
      </c>
    </row>
    <row r="259">
      <c r="A259" s="19" t="inlineStr">
        <is>
          <t>SCM</t>
        </is>
      </c>
      <c r="B259" s="20" t="n">
        <v>221802</v>
      </c>
      <c r="C259" s="20" t="n">
        <v>88721</v>
      </c>
      <c r="D259" s="20" t="inlineStr">
        <is>
          <t>0.000110</t>
        </is>
      </c>
      <c r="E259" s="20" t="inlineStr">
        <is>
          <t>0.100 SOL</t>
        </is>
      </c>
      <c r="F259" s="20" t="inlineStr">
        <is>
          <t>0.095 SOL</t>
        </is>
      </c>
      <c r="G259" s="21" t="inlineStr">
        <is>
          <t>-0.005 SOL</t>
        </is>
      </c>
      <c r="H259" s="21" t="inlineStr">
        <is>
          <t>-4.85%</t>
        </is>
      </c>
      <c r="I259" s="20" t="inlineStr">
        <is>
          <t>N/A</t>
        </is>
      </c>
      <c r="J259" s="20" t="n">
        <v>1</v>
      </c>
      <c r="K259" s="20" t="n">
        <v>1</v>
      </c>
      <c r="L259" s="20" t="inlineStr">
        <is>
          <t>11.10.2024 07:31:17</t>
        </is>
      </c>
      <c r="M259" s="20" t="inlineStr">
        <is>
          <t>3 hours</t>
        </is>
      </c>
      <c r="N259" s="20" t="inlineStr">
        <is>
          <t xml:space="preserve">         79K           188K             6K</t>
        </is>
      </c>
      <c r="O259" s="20" t="inlineStr">
        <is>
          <t>5sb2VHyP9bawbg4xp9stVGxr2MyP5jhKamTQgzwHpump</t>
        </is>
      </c>
      <c r="P259" s="20">
        <f>HYPERLINK("https://dexscreener.com/solana/5sb2VHyP9bawbg4xp9stVGxr2MyP5jhKamTQgzwHpump", "View")</f>
        <v/>
      </c>
    </row>
    <row r="260">
      <c r="A260" s="15" t="inlineStr">
        <is>
          <t>hikari</t>
        </is>
      </c>
      <c r="B260" s="16" t="n">
        <v>185104</v>
      </c>
      <c r="C260" s="16" t="n">
        <v>92552</v>
      </c>
      <c r="D260" s="16" t="inlineStr">
        <is>
          <t>0.000110</t>
        </is>
      </c>
      <c r="E260" s="16" t="inlineStr">
        <is>
          <t>0.100 SOL</t>
        </is>
      </c>
      <c r="F260" s="16" t="inlineStr">
        <is>
          <t>0.105 SOL</t>
        </is>
      </c>
      <c r="G260" s="22" t="inlineStr">
        <is>
          <t>0.005 SOL</t>
        </is>
      </c>
      <c r="H260" s="22" t="inlineStr">
        <is>
          <t>5.06%</t>
        </is>
      </c>
      <c r="I260" s="16" t="inlineStr">
        <is>
          <t>N/A</t>
        </is>
      </c>
      <c r="J260" s="16" t="n">
        <v>1</v>
      </c>
      <c r="K260" s="16" t="n">
        <v>1</v>
      </c>
      <c r="L260" s="16" t="inlineStr">
        <is>
          <t>11.10.2024 00:33:20</t>
        </is>
      </c>
      <c r="M260" s="16" t="inlineStr">
        <is>
          <t>8 min</t>
        </is>
      </c>
      <c r="N260" s="16" t="inlineStr">
        <is>
          <t xml:space="preserve">         95K           200K             4K</t>
        </is>
      </c>
      <c r="O260" s="16" t="inlineStr">
        <is>
          <t>2UqCZ7w3LM9rcgaqqMWG5RbpUFNVDevxRh1gJHHRpump</t>
        </is>
      </c>
      <c r="P260" s="16">
        <f>HYPERLINK("https://dexscreener.com/solana/2UqCZ7w3LM9rcgaqqMWG5RbpUFNVDevxRh1gJHHRpump", "View")</f>
        <v/>
      </c>
    </row>
    <row r="261">
      <c r="A261" s="19" t="inlineStr">
        <is>
          <t>ZOOTED</t>
        </is>
      </c>
      <c r="B261" s="20" t="n">
        <v>181212</v>
      </c>
      <c r="C261" s="20" t="n">
        <v>181212</v>
      </c>
      <c r="D261" s="20" t="inlineStr">
        <is>
          <t>0.000110</t>
        </is>
      </c>
      <c r="E261" s="20" t="inlineStr">
        <is>
          <t>0.100 SOL</t>
        </is>
      </c>
      <c r="F261" s="20" t="inlineStr">
        <is>
          <t>0.060 SOL</t>
        </is>
      </c>
      <c r="G261" s="21" t="inlineStr">
        <is>
          <t>-0.040 SOL</t>
        </is>
      </c>
      <c r="H261" s="21" t="inlineStr">
        <is>
          <t>-39.61%</t>
        </is>
      </c>
      <c r="I261" s="20" t="inlineStr">
        <is>
          <t>N/A</t>
        </is>
      </c>
      <c r="J261" s="20" t="n">
        <v>1</v>
      </c>
      <c r="K261" s="20" t="n">
        <v>1</v>
      </c>
      <c r="L261" s="20" t="inlineStr">
        <is>
          <t>10.10.2024 23:40:54</t>
        </is>
      </c>
      <c r="M261" s="20" t="inlineStr">
        <is>
          <t>1 min</t>
        </is>
      </c>
      <c r="N261" s="20" t="inlineStr">
        <is>
          <t xml:space="preserve">         97K            58K             4K</t>
        </is>
      </c>
      <c r="O261" s="20" t="inlineStr">
        <is>
          <t>Gk26fwqc9eVyYodEMteRF1Cac7h1hkur9DXAgPVepump</t>
        </is>
      </c>
      <c r="P261" s="20">
        <f>HYPERLINK("https://dexscreener.com/solana/Gk26fwqc9eVyYodEMteRF1Cac7h1hkur9DXAgPVepump", "View")</f>
        <v/>
      </c>
    </row>
    <row r="262">
      <c r="A262" s="15" t="inlineStr">
        <is>
          <t>KEKE</t>
        </is>
      </c>
      <c r="B262" s="16" t="n">
        <v>218857</v>
      </c>
      <c r="C262" s="16" t="n">
        <v>218857</v>
      </c>
      <c r="D262" s="16" t="inlineStr">
        <is>
          <t>0.000110</t>
        </is>
      </c>
      <c r="E262" s="16" t="inlineStr">
        <is>
          <t>0.100 SOL</t>
        </is>
      </c>
      <c r="F262" s="16" t="inlineStr">
        <is>
          <t>0.087 SOL</t>
        </is>
      </c>
      <c r="G262" s="21" t="inlineStr">
        <is>
          <t>-0.013 SOL</t>
        </is>
      </c>
      <c r="H262" s="21" t="inlineStr">
        <is>
          <t>-12.89%</t>
        </is>
      </c>
      <c r="I262" s="16" t="inlineStr">
        <is>
          <t>N/A</t>
        </is>
      </c>
      <c r="J262" s="16" t="n">
        <v>1</v>
      </c>
      <c r="K262" s="16" t="n">
        <v>1</v>
      </c>
      <c r="L262" s="16" t="inlineStr">
        <is>
          <t>10.10.2024 23:32:56</t>
        </is>
      </c>
      <c r="M262" s="16" t="inlineStr">
        <is>
          <t>8 min</t>
        </is>
      </c>
      <c r="N262" s="16" t="inlineStr">
        <is>
          <t xml:space="preserve">         72K            63K             7K</t>
        </is>
      </c>
      <c r="O262" s="16" t="inlineStr">
        <is>
          <t>6qfu4eTUHCyjpTooFaasHXZsUbLapRWPWXP2igpepump</t>
        </is>
      </c>
      <c r="P262" s="16">
        <f>HYPERLINK("https://dexscreener.com/solana/6qfu4eTUHCyjpTooFaasHXZsUbLapRWPWXP2igpepump", "View")</f>
        <v/>
      </c>
    </row>
    <row r="263">
      <c r="A263" s="19" t="inlineStr">
        <is>
          <t>OVERDOSED</t>
        </is>
      </c>
      <c r="B263" s="20" t="n">
        <v>104044</v>
      </c>
      <c r="C263" s="20" t="n">
        <v>0</v>
      </c>
      <c r="D263" s="20" t="inlineStr">
        <is>
          <t>0.000060</t>
        </is>
      </c>
      <c r="E263" s="20" t="inlineStr">
        <is>
          <t>0.100 SOL</t>
        </is>
      </c>
      <c r="F263" s="20" t="inlineStr">
        <is>
          <t>0.000 SOL</t>
        </is>
      </c>
      <c r="G263" s="17" t="inlineStr">
        <is>
          <t>-0.100 SOL</t>
        </is>
      </c>
      <c r="H263" s="17" t="inlineStr">
        <is>
          <t>0.00%</t>
        </is>
      </c>
      <c r="I263" s="20" t="inlineStr">
        <is>
          <t>104,044</t>
        </is>
      </c>
      <c r="J263" s="20" t="n">
        <v>1</v>
      </c>
      <c r="K263" s="20" t="n">
        <v>0</v>
      </c>
      <c r="L263" s="20" t="inlineStr">
        <is>
          <t>10.10.2024 13:07:47</t>
        </is>
      </c>
      <c r="M263" s="18" t="inlineStr">
        <is>
          <t>0 sec</t>
        </is>
      </c>
      <c r="N263" s="20" t="inlineStr">
        <is>
          <t xml:space="preserve">        145K           145K             5K</t>
        </is>
      </c>
      <c r="O263" s="20" t="inlineStr">
        <is>
          <t>7f9DEetSYKkRx5sLmVduaCdH1Qpyqxv3AJzJW8GGpump</t>
        </is>
      </c>
      <c r="P263" s="20">
        <f>HYPERLINK("https://dexscreener.com/solana/7f9DEetSYKkRx5sLmVduaCdH1Qpyqxv3AJzJW8GGpump", "View")</f>
        <v/>
      </c>
    </row>
    <row r="264">
      <c r="A264" s="15" t="inlineStr">
        <is>
          <t>OHH</t>
        </is>
      </c>
      <c r="B264" s="16" t="n">
        <v>443418</v>
      </c>
      <c r="C264" s="16" t="n">
        <v>0</v>
      </c>
      <c r="D264" s="16" t="inlineStr">
        <is>
          <t>0.000060</t>
        </is>
      </c>
      <c r="E264" s="16" t="inlineStr">
        <is>
          <t>0.100 SOL</t>
        </is>
      </c>
      <c r="F264" s="16" t="inlineStr">
        <is>
          <t>0.000 SOL</t>
        </is>
      </c>
      <c r="G264" s="17" t="inlineStr">
        <is>
          <t>-0.100 SOL</t>
        </is>
      </c>
      <c r="H264" s="17" t="inlineStr">
        <is>
          <t>0.00%</t>
        </is>
      </c>
      <c r="I264" s="16" t="inlineStr">
        <is>
          <t>443,418</t>
        </is>
      </c>
      <c r="J264" s="16" t="n">
        <v>1</v>
      </c>
      <c r="K264" s="16" t="n">
        <v>0</v>
      </c>
      <c r="L264" s="16" t="inlineStr">
        <is>
          <t>10.10.2024 10:13:31</t>
        </is>
      </c>
      <c r="M264" s="18" t="inlineStr">
        <is>
          <t>0 sec</t>
        </is>
      </c>
      <c r="N264" s="16" t="inlineStr">
        <is>
          <t xml:space="preserve">         40K            40K             3K</t>
        </is>
      </c>
      <c r="O264" s="16" t="inlineStr">
        <is>
          <t>5zmrqBV8hCBnnahyUt89DG15P67PB2gPyuDQDsJKpump</t>
        </is>
      </c>
      <c r="P264" s="16">
        <f>HYPERLINK("https://dexscreener.com/solana/5zmrqBV8hCBnnahyUt89DG15P67PB2gPyuDQDsJKpump", "View")</f>
        <v/>
      </c>
    </row>
    <row r="265">
      <c r="A265" s="19" t="inlineStr">
        <is>
          <t>LINABELL</t>
        </is>
      </c>
      <c r="B265" s="20" t="n">
        <v>125204</v>
      </c>
      <c r="C265" s="20" t="n">
        <v>0</v>
      </c>
      <c r="D265" s="20" t="inlineStr">
        <is>
          <t>0.000060</t>
        </is>
      </c>
      <c r="E265" s="20" t="inlineStr">
        <is>
          <t>0.100 SOL</t>
        </is>
      </c>
      <c r="F265" s="20" t="inlineStr">
        <is>
          <t>0.000 SOL</t>
        </is>
      </c>
      <c r="G265" s="17" t="inlineStr">
        <is>
          <t>-0.100 SOL</t>
        </is>
      </c>
      <c r="H265" s="17" t="inlineStr">
        <is>
          <t>0.00%</t>
        </is>
      </c>
      <c r="I265" s="20" t="inlineStr">
        <is>
          <t>125,204</t>
        </is>
      </c>
      <c r="J265" s="20" t="n">
        <v>1</v>
      </c>
      <c r="K265" s="20" t="n">
        <v>0</v>
      </c>
      <c r="L265" s="20" t="inlineStr">
        <is>
          <t>10.10.2024 10:09:34</t>
        </is>
      </c>
      <c r="M265" s="18" t="inlineStr">
        <is>
          <t>0 sec</t>
        </is>
      </c>
      <c r="N265" s="20" t="inlineStr">
        <is>
          <t xml:space="preserve">        140K           140K             7K</t>
        </is>
      </c>
      <c r="O265" s="20" t="inlineStr">
        <is>
          <t>EN8YG7UW8r1gt2UXecStgVyjigm9neDAJnBBXoX5pump</t>
        </is>
      </c>
      <c r="P265" s="20">
        <f>HYPERLINK("https://dexscreener.com/solana/EN8YG7UW8r1gt2UXecStgVyjigm9neDAJnBBXoX5pump", "View")</f>
        <v/>
      </c>
    </row>
    <row r="266">
      <c r="A266" s="15" t="inlineStr">
        <is>
          <t>$DAN</t>
        </is>
      </c>
      <c r="B266" s="16" t="n">
        <v>160535</v>
      </c>
      <c r="C266" s="16" t="n">
        <v>160535</v>
      </c>
      <c r="D266" s="16" t="inlineStr">
        <is>
          <t>0.000160</t>
        </is>
      </c>
      <c r="E266" s="16" t="inlineStr">
        <is>
          <t>0.100 SOL</t>
        </is>
      </c>
      <c r="F266" s="16" t="inlineStr">
        <is>
          <t>0.503 SOL</t>
        </is>
      </c>
      <c r="G266" s="23" t="inlineStr">
        <is>
          <t>0.402 SOL</t>
        </is>
      </c>
      <c r="H266" s="23" t="inlineStr">
        <is>
          <t>401.68%</t>
        </is>
      </c>
      <c r="I266" s="16" t="inlineStr">
        <is>
          <t>N/A</t>
        </is>
      </c>
      <c r="J266" s="16" t="n">
        <v>1</v>
      </c>
      <c r="K266" s="16" t="n">
        <v>2</v>
      </c>
      <c r="L266" s="16" t="inlineStr">
        <is>
          <t>10.10.2024 06:28:59</t>
        </is>
      </c>
      <c r="M266" s="16" t="inlineStr">
        <is>
          <t>1 days</t>
        </is>
      </c>
      <c r="N266" s="16" t="inlineStr">
        <is>
          <t xml:space="preserve">        109K           836K            11K</t>
        </is>
      </c>
      <c r="O266" s="16" t="inlineStr">
        <is>
          <t>3ytQ1uY1XVJMuXcA5ndjpjA1aQ7etcHQCyqzuZxupump</t>
        </is>
      </c>
      <c r="P266" s="16">
        <f>HYPERLINK("https://dexscreener.com/solana/3ytQ1uY1XVJMuXcA5ndjpjA1aQ7etcHQCyqzuZxupump", "View")</f>
        <v/>
      </c>
    </row>
    <row r="267">
      <c r="A267" s="19" t="inlineStr">
        <is>
          <t>fin</t>
        </is>
      </c>
      <c r="B267" s="20" t="n">
        <v>111899</v>
      </c>
      <c r="C267" s="20" t="n">
        <v>111899</v>
      </c>
      <c r="D267" s="20" t="inlineStr">
        <is>
          <t>0.000220</t>
        </is>
      </c>
      <c r="E267" s="20" t="inlineStr">
        <is>
          <t>0.100 SOL</t>
        </is>
      </c>
      <c r="F267" s="20" t="inlineStr">
        <is>
          <t>0.803 SOL</t>
        </is>
      </c>
      <c r="G267" s="23" t="inlineStr">
        <is>
          <t>0.703 SOL</t>
        </is>
      </c>
      <c r="H267" s="23" t="inlineStr">
        <is>
          <t>701.15%</t>
        </is>
      </c>
      <c r="I267" s="20" t="inlineStr">
        <is>
          <t>N/A</t>
        </is>
      </c>
      <c r="J267" s="20" t="n">
        <v>1</v>
      </c>
      <c r="K267" s="20" t="n">
        <v>3</v>
      </c>
      <c r="L267" s="20" t="inlineStr">
        <is>
          <t>09.10.2024 23:05:07</t>
        </is>
      </c>
      <c r="M267" s="20" t="inlineStr">
        <is>
          <t>2 days</t>
        </is>
      </c>
      <c r="N267" s="20" t="inlineStr">
        <is>
          <t xml:space="preserve">        156K             1M           121K</t>
        </is>
      </c>
      <c r="O267" s="20" t="inlineStr">
        <is>
          <t>5NSLkhKomR9YUE99W9i9xbxwuoCvqEXwEhAAeN2mpump</t>
        </is>
      </c>
      <c r="P267" s="20">
        <f>HYPERLINK("https://dexscreener.com/solana/5NSLkhKomR9YUE99W9i9xbxwuoCvqEXwEhAAeN2mpump", "View")</f>
        <v/>
      </c>
    </row>
    <row r="268">
      <c r="A268" s="15" t="inlineStr">
        <is>
          <t>MTV</t>
        </is>
      </c>
      <c r="B268" s="16" t="n">
        <v>165204</v>
      </c>
      <c r="C268" s="16" t="n">
        <v>0</v>
      </c>
      <c r="D268" s="16" t="inlineStr">
        <is>
          <t>0.000060</t>
        </is>
      </c>
      <c r="E268" s="16" t="inlineStr">
        <is>
          <t>0.100 SOL</t>
        </is>
      </c>
      <c r="F268" s="16" t="inlineStr">
        <is>
          <t>0.000 SOL</t>
        </is>
      </c>
      <c r="G268" s="17" t="inlineStr">
        <is>
          <t>-0.100 SOL</t>
        </is>
      </c>
      <c r="H268" s="17" t="inlineStr">
        <is>
          <t>0.00%</t>
        </is>
      </c>
      <c r="I268" s="16" t="inlineStr">
        <is>
          <t>165,204</t>
        </is>
      </c>
      <c r="J268" s="16" t="n">
        <v>1</v>
      </c>
      <c r="K268" s="16" t="n">
        <v>0</v>
      </c>
      <c r="L268" s="16" t="inlineStr">
        <is>
          <t>09.10.2024 14:36:41</t>
        </is>
      </c>
      <c r="M268" s="18" t="inlineStr">
        <is>
          <t>0 sec</t>
        </is>
      </c>
      <c r="N268" s="16" t="inlineStr">
        <is>
          <t xml:space="preserve">        107K           107K             3K</t>
        </is>
      </c>
      <c r="O268" s="16" t="inlineStr">
        <is>
          <t>9MRoXj6wRvfgaWeQcJgAk3MvfFJSURi6N6YueUVopump</t>
        </is>
      </c>
      <c r="P268" s="16">
        <f>HYPERLINK("https://dexscreener.com/solana/9MRoXj6wRvfgaWeQcJgAk3MvfFJSURi6N6YueUVopump", "View")</f>
        <v/>
      </c>
    </row>
    <row r="269">
      <c r="A269" s="19" t="inlineStr">
        <is>
          <t>Tudd</t>
        </is>
      </c>
      <c r="B269" s="20" t="n">
        <v>145169</v>
      </c>
      <c r="C269" s="20" t="n">
        <v>0</v>
      </c>
      <c r="D269" s="20" t="inlineStr">
        <is>
          <t>0.000060</t>
        </is>
      </c>
      <c r="E269" s="20" t="inlineStr">
        <is>
          <t>0.100 SOL</t>
        </is>
      </c>
      <c r="F269" s="20" t="inlineStr">
        <is>
          <t>0.000 SOL</t>
        </is>
      </c>
      <c r="G269" s="17" t="inlineStr">
        <is>
          <t>-0.100 SOL</t>
        </is>
      </c>
      <c r="H269" s="17" t="inlineStr">
        <is>
          <t>0.00%</t>
        </is>
      </c>
      <c r="I269" s="20" t="inlineStr">
        <is>
          <t>145,169</t>
        </is>
      </c>
      <c r="J269" s="20" t="n">
        <v>1</v>
      </c>
      <c r="K269" s="20" t="n">
        <v>0</v>
      </c>
      <c r="L269" s="20" t="inlineStr">
        <is>
          <t>09.10.2024 02:09:36</t>
        </is>
      </c>
      <c r="M269" s="18" t="inlineStr">
        <is>
          <t>0 sec</t>
        </is>
      </c>
      <c r="N269" s="20" t="inlineStr">
        <is>
          <t xml:space="preserve">        121K           121K             5K</t>
        </is>
      </c>
      <c r="O269" s="20" t="inlineStr">
        <is>
          <t>8PEX9dovL3RGocHDr6Q2HNzyrN2VJXFi9YDJUFtdpump</t>
        </is>
      </c>
      <c r="P269" s="20">
        <f>HYPERLINK("https://dexscreener.com/solana/8PEX9dovL3RGocHDr6Q2HNzyrN2VJXFi9YDJUFtdpump", "View")</f>
        <v/>
      </c>
    </row>
    <row r="270">
      <c r="A270" s="15" t="inlineStr">
        <is>
          <t>Shoko</t>
        </is>
      </c>
      <c r="B270" s="16" t="n">
        <v>111638</v>
      </c>
      <c r="C270" s="16" t="n">
        <v>0</v>
      </c>
      <c r="D270" s="16" t="inlineStr">
        <is>
          <t>0.000060</t>
        </is>
      </c>
      <c r="E270" s="16" t="inlineStr">
        <is>
          <t>0.100 SOL</t>
        </is>
      </c>
      <c r="F270" s="16" t="inlineStr">
        <is>
          <t>0.000 SOL</t>
        </is>
      </c>
      <c r="G270" s="17" t="inlineStr">
        <is>
          <t>-0.100 SOL</t>
        </is>
      </c>
      <c r="H270" s="17" t="inlineStr">
        <is>
          <t>0.00%</t>
        </is>
      </c>
      <c r="I270" s="16" t="inlineStr">
        <is>
          <t>111,638</t>
        </is>
      </c>
      <c r="J270" s="16" t="n">
        <v>1</v>
      </c>
      <c r="K270" s="16" t="n">
        <v>0</v>
      </c>
      <c r="L270" s="16" t="inlineStr">
        <is>
          <t>08.10.2024 23:31:18</t>
        </is>
      </c>
      <c r="M270" s="18" t="inlineStr">
        <is>
          <t>0 sec</t>
        </is>
      </c>
      <c r="N270" s="16" t="inlineStr">
        <is>
          <t xml:space="preserve">        158K           158K            11K</t>
        </is>
      </c>
      <c r="O270" s="16" t="inlineStr">
        <is>
          <t>DWKScU3qJvo3he2qtuULDHWq726aEhvCuuCu266opump</t>
        </is>
      </c>
      <c r="P270" s="16">
        <f>HYPERLINK("https://dexscreener.com/solana/DWKScU3qJvo3he2qtuULDHWq726aEhvCuuCu266opump", "View")</f>
        <v/>
      </c>
    </row>
    <row r="271">
      <c r="A271" s="19" t="inlineStr">
        <is>
          <t>copy</t>
        </is>
      </c>
      <c r="B271" s="20" t="n">
        <v>155959</v>
      </c>
      <c r="C271" s="20" t="n">
        <v>77979</v>
      </c>
      <c r="D271" s="20" t="inlineStr">
        <is>
          <t>0.000110</t>
        </is>
      </c>
      <c r="E271" s="20" t="inlineStr">
        <is>
          <t>0.100 SOL</t>
        </is>
      </c>
      <c r="F271" s="20" t="inlineStr">
        <is>
          <t>0.111 SOL</t>
        </is>
      </c>
      <c r="G271" s="22" t="inlineStr">
        <is>
          <t>0.011 SOL</t>
        </is>
      </c>
      <c r="H271" s="22" t="inlineStr">
        <is>
          <t>10.84%</t>
        </is>
      </c>
      <c r="I271" s="20" t="inlineStr">
        <is>
          <t>N/A</t>
        </is>
      </c>
      <c r="J271" s="20" t="n">
        <v>1</v>
      </c>
      <c r="K271" s="20" t="n">
        <v>1</v>
      </c>
      <c r="L271" s="20" t="inlineStr">
        <is>
          <t>08.10.2024 16:07:33</t>
        </is>
      </c>
      <c r="M271" s="20" t="inlineStr">
        <is>
          <t>12 hours</t>
        </is>
      </c>
      <c r="N271" s="20" t="inlineStr">
        <is>
          <t xml:space="preserve">        112K           249K             5K</t>
        </is>
      </c>
      <c r="O271" s="20" t="inlineStr">
        <is>
          <t>qriANWB3NHrsEBXwYbkkNFaZUMf9K1ef4HZ5Xg4pump</t>
        </is>
      </c>
      <c r="P271" s="20">
        <f>HYPERLINK("https://dexscreener.com/solana/qriANWB3NHrsEBXwYbkkNFaZUMf9K1ef4HZ5Xg4pump", "View")</f>
        <v/>
      </c>
    </row>
    <row r="272">
      <c r="A272" s="15" t="inlineStr">
        <is>
          <t>MURK</t>
        </is>
      </c>
      <c r="B272" s="16" t="n">
        <v>292297</v>
      </c>
      <c r="C272" s="16" t="n">
        <v>0</v>
      </c>
      <c r="D272" s="16" t="inlineStr">
        <is>
          <t>0.000060</t>
        </is>
      </c>
      <c r="E272" s="16" t="inlineStr">
        <is>
          <t>0.104 SOL</t>
        </is>
      </c>
      <c r="F272" s="16" t="inlineStr">
        <is>
          <t>0.000 SOL</t>
        </is>
      </c>
      <c r="G272" s="17" t="inlineStr">
        <is>
          <t>-0.104 SOL</t>
        </is>
      </c>
      <c r="H272" s="17" t="inlineStr">
        <is>
          <t>0.00%</t>
        </is>
      </c>
      <c r="I272" s="16" t="inlineStr">
        <is>
          <t>292,297</t>
        </is>
      </c>
      <c r="J272" s="16" t="n">
        <v>1</v>
      </c>
      <c r="K272" s="16" t="n">
        <v>0</v>
      </c>
      <c r="L272" s="16" t="inlineStr">
        <is>
          <t>08.10.2024 13:27:01</t>
        </is>
      </c>
      <c r="M272" s="18" t="inlineStr">
        <is>
          <t>0 sec</t>
        </is>
      </c>
      <c r="N272" s="16" t="inlineStr">
        <is>
          <t xml:space="preserve">        N/A           N/A           N/A</t>
        </is>
      </c>
      <c r="O272" s="16" t="inlineStr">
        <is>
          <t>CMFhy8pTV8tDV4pjhUz2EH6cNVRPwjLi5gjZEMMqump</t>
        </is>
      </c>
      <c r="P272" s="16">
        <f>HYPERLINK("https://photon-sol.tinyastro.io/en/lp/CMFhy8pTV8tDV4pjhUz2EH6cNVRPwjLi5gjZEMMqump?handle=676050794bc1b1657a56b", "View")</f>
        <v/>
      </c>
    </row>
    <row r="273">
      <c r="A273" s="19" t="inlineStr">
        <is>
          <t>MOJO</t>
        </is>
      </c>
      <c r="B273" s="20" t="n">
        <v>195490</v>
      </c>
      <c r="C273" s="20" t="n">
        <v>0</v>
      </c>
      <c r="D273" s="20" t="inlineStr">
        <is>
          <t>0.000060</t>
        </is>
      </c>
      <c r="E273" s="20" t="inlineStr">
        <is>
          <t>0.100 SOL</t>
        </is>
      </c>
      <c r="F273" s="20" t="inlineStr">
        <is>
          <t>0.000 SOL</t>
        </is>
      </c>
      <c r="G273" s="17" t="inlineStr">
        <is>
          <t>-0.100 SOL</t>
        </is>
      </c>
      <c r="H273" s="17" t="inlineStr">
        <is>
          <t>0.00%</t>
        </is>
      </c>
      <c r="I273" s="20" t="inlineStr">
        <is>
          <t>195,490</t>
        </is>
      </c>
      <c r="J273" s="20" t="n">
        <v>1</v>
      </c>
      <c r="K273" s="20" t="n">
        <v>0</v>
      </c>
      <c r="L273" s="20" t="inlineStr">
        <is>
          <t>08.10.2024 01:41:28</t>
        </is>
      </c>
      <c r="M273" s="18" t="inlineStr">
        <is>
          <t>0 sec</t>
        </is>
      </c>
      <c r="N273" s="20" t="inlineStr">
        <is>
          <t xml:space="preserve">         90K            90K             3K</t>
        </is>
      </c>
      <c r="O273" s="20" t="inlineStr">
        <is>
          <t>48PVXhpm46eQSSQcXjwVBeeSkML28FpYs9vWirSnpump</t>
        </is>
      </c>
      <c r="P273" s="20">
        <f>HYPERLINK("https://dexscreener.com/solana/48PVXhpm46eQSSQcXjwVBeeSkML28FpYs9vWirSnpump", "View")</f>
        <v/>
      </c>
    </row>
    <row r="274">
      <c r="A274" s="15" t="inlineStr">
        <is>
          <t>suchi</t>
        </is>
      </c>
      <c r="B274" s="16" t="n">
        <v>176680</v>
      </c>
      <c r="C274" s="16" t="n">
        <v>0</v>
      </c>
      <c r="D274" s="16" t="inlineStr">
        <is>
          <t>0.000060</t>
        </is>
      </c>
      <c r="E274" s="16" t="inlineStr">
        <is>
          <t>0.100 SOL</t>
        </is>
      </c>
      <c r="F274" s="16" t="inlineStr">
        <is>
          <t>0.000 SOL</t>
        </is>
      </c>
      <c r="G274" s="17" t="inlineStr">
        <is>
          <t>-0.100 SOL</t>
        </is>
      </c>
      <c r="H274" s="17" t="inlineStr">
        <is>
          <t>0.00%</t>
        </is>
      </c>
      <c r="I274" s="16" t="inlineStr">
        <is>
          <t>176,680</t>
        </is>
      </c>
      <c r="J274" s="16" t="n">
        <v>1</v>
      </c>
      <c r="K274" s="16" t="n">
        <v>0</v>
      </c>
      <c r="L274" s="16" t="inlineStr">
        <is>
          <t>07.10.2024 23:53:32</t>
        </is>
      </c>
      <c r="M274" s="18" t="inlineStr">
        <is>
          <t>0 sec</t>
        </is>
      </c>
      <c r="N274" s="16" t="inlineStr">
        <is>
          <t xml:space="preserve">        100K           100K             5K</t>
        </is>
      </c>
      <c r="O274" s="16" t="inlineStr">
        <is>
          <t>bhoXRxtgM9ozxjqepkdJPmRFaN1e145JCgTUMfkpump</t>
        </is>
      </c>
      <c r="P274" s="16">
        <f>HYPERLINK("https://dexscreener.com/solana/bhoXRxtgM9ozxjqepkdJPmRFaN1e145JCgTUMfkpump", "View")</f>
        <v/>
      </c>
    </row>
    <row r="275">
      <c r="A275" s="19" t="inlineStr">
        <is>
          <t>CARDI</t>
        </is>
      </c>
      <c r="B275" s="20" t="n">
        <v>62489</v>
      </c>
      <c r="C275" s="20" t="n">
        <v>0</v>
      </c>
      <c r="D275" s="20" t="inlineStr">
        <is>
          <t>0.000060</t>
        </is>
      </c>
      <c r="E275" s="20" t="inlineStr">
        <is>
          <t>0.100 SOL</t>
        </is>
      </c>
      <c r="F275" s="20" t="inlineStr">
        <is>
          <t>0.000 SOL</t>
        </is>
      </c>
      <c r="G275" s="17" t="inlineStr">
        <is>
          <t>-0.100 SOL</t>
        </is>
      </c>
      <c r="H275" s="17" t="inlineStr">
        <is>
          <t>0.00%</t>
        </is>
      </c>
      <c r="I275" s="20" t="inlineStr">
        <is>
          <t>62,489</t>
        </is>
      </c>
      <c r="J275" s="20" t="n">
        <v>1</v>
      </c>
      <c r="K275" s="20" t="n">
        <v>0</v>
      </c>
      <c r="L275" s="20" t="inlineStr">
        <is>
          <t>07.10.2024 23:47:30</t>
        </is>
      </c>
      <c r="M275" s="18" t="inlineStr">
        <is>
          <t>0 sec</t>
        </is>
      </c>
      <c r="N275" s="20" t="inlineStr">
        <is>
          <t xml:space="preserve">        281K           281K             3K</t>
        </is>
      </c>
      <c r="O275" s="20" t="inlineStr">
        <is>
          <t>B2PstkcpxLNT7FmpFrSpnmXn2Dy4q9MZ21erqus4pump</t>
        </is>
      </c>
      <c r="P275" s="20">
        <f>HYPERLINK("https://dexscreener.com/solana/B2PstkcpxLNT7FmpFrSpnmXn2Dy4q9MZ21erqus4pump", "View")</f>
        <v/>
      </c>
    </row>
    <row r="276">
      <c r="A276" s="15" t="inlineStr">
        <is>
          <t>fimo</t>
        </is>
      </c>
      <c r="B276" s="16" t="n">
        <v>201623</v>
      </c>
      <c r="C276" s="16" t="n">
        <v>0</v>
      </c>
      <c r="D276" s="16" t="inlineStr">
        <is>
          <t>0.000060</t>
        </is>
      </c>
      <c r="E276" s="16" t="inlineStr">
        <is>
          <t>0.100 SOL</t>
        </is>
      </c>
      <c r="F276" s="16" t="inlineStr">
        <is>
          <t>0.000 SOL</t>
        </is>
      </c>
      <c r="G276" s="17" t="inlineStr">
        <is>
          <t>-0.100 SOL</t>
        </is>
      </c>
      <c r="H276" s="17" t="inlineStr">
        <is>
          <t>0.00%</t>
        </is>
      </c>
      <c r="I276" s="16" t="inlineStr">
        <is>
          <t>201,623</t>
        </is>
      </c>
      <c r="J276" s="16" t="n">
        <v>1</v>
      </c>
      <c r="K276" s="16" t="n">
        <v>0</v>
      </c>
      <c r="L276" s="16" t="inlineStr">
        <is>
          <t>07.10.2024 23:33:39</t>
        </is>
      </c>
      <c r="M276" s="18" t="inlineStr">
        <is>
          <t>0 sec</t>
        </is>
      </c>
      <c r="N276" s="16" t="inlineStr">
        <is>
          <t xml:space="preserve">         88K            88K             4K</t>
        </is>
      </c>
      <c r="O276" s="16" t="inlineStr">
        <is>
          <t>H6naGfqfo4gMv6TfVrzH3S7konVNf3ToE5CCVXP1pump</t>
        </is>
      </c>
      <c r="P276" s="16">
        <f>HYPERLINK("https://dexscreener.com/solana/H6naGfqfo4gMv6TfVrzH3S7konVNf3ToE5CCVXP1pump", "View")</f>
        <v/>
      </c>
    </row>
    <row r="277">
      <c r="A277" s="19" t="inlineStr">
        <is>
          <t>Nukumutu</t>
        </is>
      </c>
      <c r="B277" s="20" t="n">
        <v>170861</v>
      </c>
      <c r="C277" s="20" t="n">
        <v>170861</v>
      </c>
      <c r="D277" s="20" t="inlineStr">
        <is>
          <t>0.000220</t>
        </is>
      </c>
      <c r="E277" s="20" t="inlineStr">
        <is>
          <t>0.100 SOL</t>
        </is>
      </c>
      <c r="F277" s="20" t="inlineStr">
        <is>
          <t>0.605 SOL</t>
        </is>
      </c>
      <c r="G277" s="23" t="inlineStr">
        <is>
          <t>0.504 SOL</t>
        </is>
      </c>
      <c r="H277" s="23" t="inlineStr">
        <is>
          <t>503.21%</t>
        </is>
      </c>
      <c r="I277" s="20" t="inlineStr">
        <is>
          <t>N/A</t>
        </is>
      </c>
      <c r="J277" s="20" t="n">
        <v>1</v>
      </c>
      <c r="K277" s="20" t="n">
        <v>3</v>
      </c>
      <c r="L277" s="20" t="inlineStr">
        <is>
          <t>07.10.2024 15:58:26</t>
        </is>
      </c>
      <c r="M277" s="20" t="inlineStr">
        <is>
          <t>2 days</t>
        </is>
      </c>
      <c r="N277" s="20" t="inlineStr">
        <is>
          <t xml:space="preserve">         89K           483K            28K</t>
        </is>
      </c>
      <c r="O277" s="20" t="inlineStr">
        <is>
          <t>J8xQyfH2pG7jQod18a1KsAqXGmBWtn3VmGMEuGqCpump</t>
        </is>
      </c>
      <c r="P277" s="20">
        <f>HYPERLINK("https://dexscreener.com/solana/J8xQyfH2pG7jQod18a1KsAqXGmBWtn3VmGMEuGqCpump", "View")</f>
        <v/>
      </c>
    </row>
    <row r="278">
      <c r="A278" s="15" t="inlineStr">
        <is>
          <t>aDoG</t>
        </is>
      </c>
      <c r="B278" s="16" t="n">
        <v>331741</v>
      </c>
      <c r="C278" s="16" t="n">
        <v>0</v>
      </c>
      <c r="D278" s="16" t="inlineStr">
        <is>
          <t>0.000060</t>
        </is>
      </c>
      <c r="E278" s="16" t="inlineStr">
        <is>
          <t>0.100 SOL</t>
        </is>
      </c>
      <c r="F278" s="16" t="inlineStr">
        <is>
          <t>0.000 SOL</t>
        </is>
      </c>
      <c r="G278" s="17" t="inlineStr">
        <is>
          <t>-0.100 SOL</t>
        </is>
      </c>
      <c r="H278" s="17" t="inlineStr">
        <is>
          <t>0.00%</t>
        </is>
      </c>
      <c r="I278" s="16" t="inlineStr">
        <is>
          <t>331,741</t>
        </is>
      </c>
      <c r="J278" s="16" t="n">
        <v>1</v>
      </c>
      <c r="K278" s="16" t="n">
        <v>0</v>
      </c>
      <c r="L278" s="16" t="inlineStr">
        <is>
          <t>07.10.2024 15:56:37</t>
        </is>
      </c>
      <c r="M278" s="18" t="inlineStr">
        <is>
          <t>0 sec</t>
        </is>
      </c>
      <c r="N278" s="16" t="inlineStr">
        <is>
          <t xml:space="preserve">         53K            53K             4K</t>
        </is>
      </c>
      <c r="O278" s="16" t="inlineStr">
        <is>
          <t>8B7jitEP6p926H3CvBrcBJsLZzkhNqESC2ebyaiWpump</t>
        </is>
      </c>
      <c r="P278" s="16">
        <f>HYPERLINK("https://dexscreener.com/solana/8B7jitEP6p926H3CvBrcBJsLZzkhNqESC2ebyaiWpump", "View")</f>
        <v/>
      </c>
    </row>
    <row r="279">
      <c r="A279" s="19" t="inlineStr">
        <is>
          <t>LUNES</t>
        </is>
      </c>
      <c r="B279" s="20" t="n">
        <v>179178</v>
      </c>
      <c r="C279" s="20" t="n">
        <v>0</v>
      </c>
      <c r="D279" s="20" t="inlineStr">
        <is>
          <t>0.000060</t>
        </is>
      </c>
      <c r="E279" s="20" t="inlineStr">
        <is>
          <t>0.100 SOL</t>
        </is>
      </c>
      <c r="F279" s="20" t="inlineStr">
        <is>
          <t>0.000 SOL</t>
        </is>
      </c>
      <c r="G279" s="17" t="inlineStr">
        <is>
          <t>-0.100 SOL</t>
        </is>
      </c>
      <c r="H279" s="17" t="inlineStr">
        <is>
          <t>0.00%</t>
        </is>
      </c>
      <c r="I279" s="20" t="inlineStr">
        <is>
          <t>179,178</t>
        </is>
      </c>
      <c r="J279" s="20" t="n">
        <v>1</v>
      </c>
      <c r="K279" s="20" t="n">
        <v>0</v>
      </c>
      <c r="L279" s="20" t="inlineStr">
        <is>
          <t>07.10.2024 08:46:10</t>
        </is>
      </c>
      <c r="M279" s="18" t="inlineStr">
        <is>
          <t>0 sec</t>
        </is>
      </c>
      <c r="N279" s="20" t="inlineStr">
        <is>
          <t xml:space="preserve">         98K            98K             4K</t>
        </is>
      </c>
      <c r="O279" s="20" t="inlineStr">
        <is>
          <t>HKjAzdghQxo5fRb7n8RAwoEgoSgQFiuDMdFCd1s6pump</t>
        </is>
      </c>
      <c r="P279" s="20">
        <f>HYPERLINK("https://dexscreener.com/solana/HKjAzdghQxo5fRb7n8RAwoEgoSgQFiuDMdFCd1s6pump", "View")</f>
        <v/>
      </c>
    </row>
    <row r="280">
      <c r="A280" s="15" t="inlineStr">
        <is>
          <t>#protolol</t>
        </is>
      </c>
      <c r="B280" s="16" t="n">
        <v>155034</v>
      </c>
      <c r="C280" s="16" t="n">
        <v>0</v>
      </c>
      <c r="D280" s="16" t="inlineStr">
        <is>
          <t>0.000060</t>
        </is>
      </c>
      <c r="E280" s="16" t="inlineStr">
        <is>
          <t>0.100 SOL</t>
        </is>
      </c>
      <c r="F280" s="16" t="inlineStr">
        <is>
          <t>0.000 SOL</t>
        </is>
      </c>
      <c r="G280" s="17" t="inlineStr">
        <is>
          <t>-0.100 SOL</t>
        </is>
      </c>
      <c r="H280" s="17" t="inlineStr">
        <is>
          <t>0.00%</t>
        </is>
      </c>
      <c r="I280" s="16" t="inlineStr">
        <is>
          <t>155,034</t>
        </is>
      </c>
      <c r="J280" s="16" t="n">
        <v>1</v>
      </c>
      <c r="K280" s="16" t="n">
        <v>0</v>
      </c>
      <c r="L280" s="16" t="inlineStr">
        <is>
          <t>05.10.2024 14:10:23</t>
        </is>
      </c>
      <c r="M280" s="18" t="inlineStr">
        <is>
          <t>0 sec</t>
        </is>
      </c>
      <c r="N280" s="16" t="inlineStr">
        <is>
          <t xml:space="preserve">        114K           114K             4K</t>
        </is>
      </c>
      <c r="O280" s="16" t="inlineStr">
        <is>
          <t>6Vg95p4aHXfa7oZes5ACWeGH2oLmr26cavTRJu1Jpump</t>
        </is>
      </c>
      <c r="P280" s="16">
        <f>HYPERLINK("https://dexscreener.com/solana/6Vg95p4aHXfa7oZes5ACWeGH2oLmr26cavTRJu1Jpump", "View")</f>
        <v/>
      </c>
    </row>
    <row r="281">
      <c r="A281" s="19" t="inlineStr">
        <is>
          <t>SOLG</t>
        </is>
      </c>
      <c r="B281" s="20" t="n">
        <v>4380978</v>
      </c>
      <c r="C281" s="20" t="n">
        <v>4380978</v>
      </c>
      <c r="D281" s="20" t="inlineStr">
        <is>
          <t>0.000110</t>
        </is>
      </c>
      <c r="E281" s="20" t="inlineStr">
        <is>
          <t>0.308 SOL</t>
        </is>
      </c>
      <c r="F281" s="20" t="inlineStr">
        <is>
          <t>0.297 SOL</t>
        </is>
      </c>
      <c r="G281" s="21" t="inlineStr">
        <is>
          <t>-0.011 SOL</t>
        </is>
      </c>
      <c r="H281" s="21" t="inlineStr">
        <is>
          <t>-3.50%</t>
        </is>
      </c>
      <c r="I281" s="20" t="inlineStr">
        <is>
          <t>N/A</t>
        </is>
      </c>
      <c r="J281" s="20" t="n">
        <v>1</v>
      </c>
      <c r="K281" s="20" t="n">
        <v>1</v>
      </c>
      <c r="L281" s="20" t="inlineStr">
        <is>
          <t>04.10.2024 15:15:52</t>
        </is>
      </c>
      <c r="M281" s="20" t="inlineStr">
        <is>
          <t>3 hours</t>
        </is>
      </c>
      <c r="N281" s="20" t="inlineStr">
        <is>
          <t xml:space="preserve">        N/A           N/A           N/A</t>
        </is>
      </c>
      <c r="O281" s="20" t="inlineStr">
        <is>
          <t>2by9PprEcB6cXV3FdwvEtkxztHYAZuat2crbDTAmpump</t>
        </is>
      </c>
      <c r="P281" s="20">
        <f>HYPERLINK("https://photon-sol.tinyastro.io/en/lp/2by9PprEcB6cXV3FdwvEtkxztHYAZuat2crbDTAmpump?handle=676050794bc1b1657a56b", "View")</f>
        <v/>
      </c>
    </row>
    <row r="282">
      <c r="A282" s="15" t="inlineStr">
        <is>
          <t>NAKIMO</t>
        </is>
      </c>
      <c r="B282" s="16" t="n">
        <v>400808</v>
      </c>
      <c r="C282" s="16" t="n">
        <v>400808</v>
      </c>
      <c r="D282" s="16" t="inlineStr">
        <is>
          <t>0.000110</t>
        </is>
      </c>
      <c r="E282" s="16" t="inlineStr">
        <is>
          <t>0.104 SOL</t>
        </is>
      </c>
      <c r="F282" s="16" t="inlineStr">
        <is>
          <t>0.068 SOL</t>
        </is>
      </c>
      <c r="G282" s="21" t="inlineStr">
        <is>
          <t>-0.036 SOL</t>
        </is>
      </c>
      <c r="H282" s="21" t="inlineStr">
        <is>
          <t>-34.75%</t>
        </is>
      </c>
      <c r="I282" s="16" t="inlineStr">
        <is>
          <t>N/A</t>
        </is>
      </c>
      <c r="J282" s="16" t="n">
        <v>1</v>
      </c>
      <c r="K282" s="16" t="n">
        <v>1</v>
      </c>
      <c r="L282" s="16" t="inlineStr">
        <is>
          <t>02.10.2024 09:23:57</t>
        </is>
      </c>
      <c r="M282" s="16" t="inlineStr">
        <is>
          <t>12 min</t>
        </is>
      </c>
      <c r="N282" s="16" t="inlineStr">
        <is>
          <t xml:space="preserve">        N/A           N/A           N/A</t>
        </is>
      </c>
      <c r="O282" s="16" t="inlineStr">
        <is>
          <t>DL4FC8fcAZKVGG7XMmqTWaYdPAVRKpbvoYntmVvJpump</t>
        </is>
      </c>
      <c r="P282" s="16">
        <f>HYPERLINK("https://photon-sol.tinyastro.io/en/lp/DL4FC8fcAZKVGG7XMmqTWaYdPAVRKpbvoYntmVvJpump?handle=676050794bc1b1657a56b", "View")</f>
        <v/>
      </c>
    </row>
    <row r="283">
      <c r="A283" s="19" t="inlineStr">
        <is>
          <t>RFWOG</t>
        </is>
      </c>
      <c r="B283" s="20" t="n">
        <v>368146</v>
      </c>
      <c r="C283" s="20" t="n">
        <v>368146</v>
      </c>
      <c r="D283" s="20" t="inlineStr">
        <is>
          <t>0.000110</t>
        </is>
      </c>
      <c r="E283" s="20" t="inlineStr">
        <is>
          <t>0.103 SOL</t>
        </is>
      </c>
      <c r="F283" s="20" t="inlineStr">
        <is>
          <t>0.079 SOL</t>
        </is>
      </c>
      <c r="G283" s="21" t="inlineStr">
        <is>
          <t>-0.023 SOL</t>
        </is>
      </c>
      <c r="H283" s="21" t="inlineStr">
        <is>
          <t>-22.65%</t>
        </is>
      </c>
      <c r="I283" s="20" t="inlineStr">
        <is>
          <t>N/A</t>
        </is>
      </c>
      <c r="J283" s="20" t="n">
        <v>1</v>
      </c>
      <c r="K283" s="20" t="n">
        <v>1</v>
      </c>
      <c r="L283" s="20" t="inlineStr">
        <is>
          <t>02.10.2024 09:23:43</t>
        </is>
      </c>
      <c r="M283" s="20" t="inlineStr">
        <is>
          <t>9 min</t>
        </is>
      </c>
      <c r="N283" s="20" t="inlineStr">
        <is>
          <t xml:space="preserve">        N/A           N/A           N/A</t>
        </is>
      </c>
      <c r="O283" s="20" t="inlineStr">
        <is>
          <t>AXTRHYbtdWtBwsAg2NY8ZMmwGJw5JNUcBGR3K4sVpump</t>
        </is>
      </c>
      <c r="P283" s="20">
        <f>HYPERLINK("https://photon-sol.tinyastro.io/en/lp/AXTRHYbtdWtBwsAg2NY8ZMmwGJw5JNUcBGR3K4sVpump?handle=676050794bc1b1657a56b", "View")</f>
        <v/>
      </c>
    </row>
    <row r="284">
      <c r="A284" s="15" t="inlineStr">
        <is>
          <t>Bombloong</t>
        </is>
      </c>
      <c r="B284" s="16" t="n">
        <v>466619</v>
      </c>
      <c r="C284" s="16" t="n">
        <v>466619</v>
      </c>
      <c r="D284" s="16" t="inlineStr">
        <is>
          <t>0.000110</t>
        </is>
      </c>
      <c r="E284" s="16" t="inlineStr">
        <is>
          <t>0.104 SOL</t>
        </is>
      </c>
      <c r="F284" s="16" t="inlineStr">
        <is>
          <t>0.081 SOL</t>
        </is>
      </c>
      <c r="G284" s="21" t="inlineStr">
        <is>
          <t>-0.023 SOL</t>
        </is>
      </c>
      <c r="H284" s="21" t="inlineStr">
        <is>
          <t>-22.45%</t>
        </is>
      </c>
      <c r="I284" s="16" t="inlineStr">
        <is>
          <t>N/A</t>
        </is>
      </c>
      <c r="J284" s="16" t="n">
        <v>1</v>
      </c>
      <c r="K284" s="16" t="n">
        <v>1</v>
      </c>
      <c r="L284" s="16" t="inlineStr">
        <is>
          <t>02.10.2024 09:22:05</t>
        </is>
      </c>
      <c r="M284" s="16" t="inlineStr">
        <is>
          <t>7 min</t>
        </is>
      </c>
      <c r="N284" s="16" t="inlineStr">
        <is>
          <t xml:space="preserve">         39K            30K             7K</t>
        </is>
      </c>
      <c r="O284" s="16" t="inlineStr">
        <is>
          <t>7Mpe737ffdYsKAc2GqU1X4TWs249yYMypsbGfxthpump</t>
        </is>
      </c>
      <c r="P284" s="16">
        <f>HYPERLINK("https://photon-sol.tinyastro.io/en/lp/7Mpe737ffdYsKAc2GqU1X4TWs249yYMypsbGfxthpump?handle=676050794bc1b1657a56b", "View")</f>
        <v/>
      </c>
    </row>
    <row r="285">
      <c r="A285" s="19" t="inlineStr">
        <is>
          <t>BTC</t>
        </is>
      </c>
      <c r="B285" s="20" t="n">
        <v>497746</v>
      </c>
      <c r="C285" s="20" t="n">
        <v>497746</v>
      </c>
      <c r="D285" s="20" t="inlineStr">
        <is>
          <t>0.000280</t>
        </is>
      </c>
      <c r="E285" s="20" t="inlineStr">
        <is>
          <t>0.200 SOL</t>
        </is>
      </c>
      <c r="F285" s="20" t="inlineStr">
        <is>
          <t>0.506 SOL</t>
        </is>
      </c>
      <c r="G285" s="23" t="inlineStr">
        <is>
          <t>0.306 SOL</t>
        </is>
      </c>
      <c r="H285" s="23" t="inlineStr">
        <is>
          <t>152.71%</t>
        </is>
      </c>
      <c r="I285" s="20" t="inlineStr">
        <is>
          <t>N/A</t>
        </is>
      </c>
      <c r="J285" s="20" t="n">
        <v>2</v>
      </c>
      <c r="K285" s="20" t="n">
        <v>3</v>
      </c>
      <c r="L285" s="20" t="inlineStr">
        <is>
          <t>02.10.2024 09:07:12</t>
        </is>
      </c>
      <c r="M285" s="20" t="inlineStr">
        <is>
          <t>2 days</t>
        </is>
      </c>
      <c r="N285" s="20" t="inlineStr">
        <is>
          <t xml:space="preserve">         46K           158K            38K</t>
        </is>
      </c>
      <c r="O285" s="20" t="inlineStr">
        <is>
          <t>7J3FRKz5PSzQS1uUBATgBY6qtfNwBQwyRmZZFC7Tpump</t>
        </is>
      </c>
      <c r="P285" s="20">
        <f>HYPERLINK("https://dexscreener.com/solana/7J3FRKz5PSzQS1uUBATgBY6qtfNwBQwyRmZZFC7Tpump", "View")</f>
        <v/>
      </c>
    </row>
    <row r="286">
      <c r="A286" s="15" t="inlineStr">
        <is>
          <t>KIKY</t>
        </is>
      </c>
      <c r="B286" s="16" t="n">
        <v>744932</v>
      </c>
      <c r="C286" s="16" t="n">
        <v>744932</v>
      </c>
      <c r="D286" s="16" t="inlineStr">
        <is>
          <t>0.000110</t>
        </is>
      </c>
      <c r="E286" s="16" t="inlineStr">
        <is>
          <t>0.104 SOL</t>
        </is>
      </c>
      <c r="F286" s="16" t="inlineStr">
        <is>
          <t>0.015 SOL</t>
        </is>
      </c>
      <c r="G286" s="24" t="inlineStr">
        <is>
          <t>-0.089 SOL</t>
        </is>
      </c>
      <c r="H286" s="24" t="inlineStr">
        <is>
          <t>-85.82%</t>
        </is>
      </c>
      <c r="I286" s="16" t="inlineStr">
        <is>
          <t>N/A</t>
        </is>
      </c>
      <c r="J286" s="16" t="n">
        <v>1</v>
      </c>
      <c r="K286" s="16" t="n">
        <v>1</v>
      </c>
      <c r="L286" s="16" t="inlineStr">
        <is>
          <t>02.10.2024 09:06:52</t>
        </is>
      </c>
      <c r="M286" s="16" t="inlineStr">
        <is>
          <t>2 days</t>
        </is>
      </c>
      <c r="N286" s="16" t="inlineStr">
        <is>
          <t xml:space="preserve">         25K             4K             3K</t>
        </is>
      </c>
      <c r="O286" s="16" t="inlineStr">
        <is>
          <t>3xzqBcfS48mtQbgLaiNovQerGNuRySmjK6tr2F2Fpump</t>
        </is>
      </c>
      <c r="P286" s="16">
        <f>HYPERLINK("https://photon-sol.tinyastro.io/en/lp/3xzqBcfS48mtQbgLaiNovQerGNuRySmjK6tr2F2Fpump?handle=676050794bc1b1657a56b", "View")</f>
        <v/>
      </c>
    </row>
    <row r="287">
      <c r="A287" s="19" t="inlineStr">
        <is>
          <t>VCDOG</t>
        </is>
      </c>
      <c r="B287" s="20" t="n">
        <v>776575</v>
      </c>
      <c r="C287" s="20" t="n">
        <v>776575</v>
      </c>
      <c r="D287" s="20" t="inlineStr">
        <is>
          <t>0.000110</t>
        </is>
      </c>
      <c r="E287" s="20" t="inlineStr">
        <is>
          <t>0.110 SOL</t>
        </is>
      </c>
      <c r="F287" s="20" t="inlineStr">
        <is>
          <t>0.021 SOL</t>
        </is>
      </c>
      <c r="G287" s="24" t="inlineStr">
        <is>
          <t>-0.089 SOL</t>
        </is>
      </c>
      <c r="H287" s="24" t="inlineStr">
        <is>
          <t>-80.71%</t>
        </is>
      </c>
      <c r="I287" s="20" t="inlineStr">
        <is>
          <t>N/A</t>
        </is>
      </c>
      <c r="J287" s="20" t="n">
        <v>1</v>
      </c>
      <c r="K287" s="20" t="n">
        <v>1</v>
      </c>
      <c r="L287" s="20" t="inlineStr">
        <is>
          <t>02.10.2024 09:06:17</t>
        </is>
      </c>
      <c r="M287" s="20" t="inlineStr">
        <is>
          <t>1 days</t>
        </is>
      </c>
      <c r="N287" s="20" t="inlineStr">
        <is>
          <t xml:space="preserve">        N/A           N/A           N/A</t>
        </is>
      </c>
      <c r="O287" s="20" t="inlineStr">
        <is>
          <t>7zK9p57m8zgJocuYjFmbukkeq2HAq3j4abRNQnX4pump</t>
        </is>
      </c>
      <c r="P287" s="20">
        <f>HYPERLINK("https://photon-sol.tinyastro.io/en/lp/7zK9p57m8zgJocuYjFmbukkeq2HAq3j4abRNQnX4pump?handle=676050794bc1b1657a56b", "View")</f>
        <v/>
      </c>
    </row>
    <row r="288">
      <c r="A288" s="15" t="inlineStr">
        <is>
          <t>fdoge</t>
        </is>
      </c>
      <c r="B288" s="16" t="n">
        <v>877688</v>
      </c>
      <c r="C288" s="16" t="n">
        <v>877688</v>
      </c>
      <c r="D288" s="16" t="inlineStr">
        <is>
          <t>0.000110</t>
        </is>
      </c>
      <c r="E288" s="16" t="inlineStr">
        <is>
          <t>0.103 SOL</t>
        </is>
      </c>
      <c r="F288" s="16" t="inlineStr">
        <is>
          <t>0.026 SOL</t>
        </is>
      </c>
      <c r="G288" s="24" t="inlineStr">
        <is>
          <t>-0.077 SOL</t>
        </is>
      </c>
      <c r="H288" s="24" t="inlineStr">
        <is>
          <t>-75.01%</t>
        </is>
      </c>
      <c r="I288" s="16" t="inlineStr">
        <is>
          <t>N/A</t>
        </is>
      </c>
      <c r="J288" s="16" t="n">
        <v>1</v>
      </c>
      <c r="K288" s="16" t="n">
        <v>1</v>
      </c>
      <c r="L288" s="16" t="inlineStr">
        <is>
          <t>02.10.2024 09:05:54</t>
        </is>
      </c>
      <c r="M288" s="16" t="inlineStr">
        <is>
          <t>2 days</t>
        </is>
      </c>
      <c r="N288" s="16" t="inlineStr">
        <is>
          <t xml:space="preserve">        N/A           N/A           N/A</t>
        </is>
      </c>
      <c r="O288" s="16" t="inlineStr">
        <is>
          <t>FdahSjYcs2mzRsSe3S4G7ChNe4i5UBuFnUtGqnJdpump</t>
        </is>
      </c>
      <c r="P288" s="16">
        <f>HYPERLINK("https://photon-sol.tinyastro.io/en/lp/FdahSjYcs2mzRsSe3S4G7ChNe4i5UBuFnUtGqnJdpump?handle=676050794bc1b1657a56b", "View")</f>
        <v/>
      </c>
    </row>
    <row r="289">
      <c r="A289" s="19" t="inlineStr">
        <is>
          <t>404</t>
        </is>
      </c>
      <c r="B289" s="20" t="n">
        <v>804259</v>
      </c>
      <c r="C289" s="20" t="n">
        <v>804259</v>
      </c>
      <c r="D289" s="20" t="inlineStr">
        <is>
          <t>0.000110</t>
        </is>
      </c>
      <c r="E289" s="20" t="inlineStr">
        <is>
          <t>0.104 SOL</t>
        </is>
      </c>
      <c r="F289" s="20" t="inlineStr">
        <is>
          <t>0.022 SOL</t>
        </is>
      </c>
      <c r="G289" s="24" t="inlineStr">
        <is>
          <t>-0.082 SOL</t>
        </is>
      </c>
      <c r="H289" s="24" t="inlineStr">
        <is>
          <t>-78.48%</t>
        </is>
      </c>
      <c r="I289" s="20" t="inlineStr">
        <is>
          <t>N/A</t>
        </is>
      </c>
      <c r="J289" s="20" t="n">
        <v>1</v>
      </c>
      <c r="K289" s="20" t="n">
        <v>1</v>
      </c>
      <c r="L289" s="20" t="inlineStr">
        <is>
          <t>02.10.2024 09:04:36</t>
        </is>
      </c>
      <c r="M289" s="20" t="inlineStr">
        <is>
          <t>3 days</t>
        </is>
      </c>
      <c r="N289" s="20" t="inlineStr">
        <is>
          <t xml:space="preserve">        N/A           N/A           N/A</t>
        </is>
      </c>
      <c r="O289" s="20" t="inlineStr">
        <is>
          <t>FKg6tyeBcWmEaEs5TT1SHQS2fQe6BPbqM2j9AuZ3pump</t>
        </is>
      </c>
      <c r="P289" s="20">
        <f>HYPERLINK("https://photon-sol.tinyastro.io/en/lp/FKg6tyeBcWmEaEs5TT1SHQS2fQe6BPbqM2j9AuZ3pump?handle=676050794bc1b1657a56b", "View")</f>
        <v/>
      </c>
    </row>
    <row r="290">
      <c r="A290" s="15" t="inlineStr">
        <is>
          <t>WEF</t>
        </is>
      </c>
      <c r="B290" s="16" t="n">
        <v>662000</v>
      </c>
      <c r="C290" s="16" t="n">
        <v>662000</v>
      </c>
      <c r="D290" s="16" t="inlineStr">
        <is>
          <t>0.000110</t>
        </is>
      </c>
      <c r="E290" s="16" t="inlineStr">
        <is>
          <t>0.104 SOL</t>
        </is>
      </c>
      <c r="F290" s="16" t="inlineStr">
        <is>
          <t>0.029 SOL</t>
        </is>
      </c>
      <c r="G290" s="24" t="inlineStr">
        <is>
          <t>-0.075 SOL</t>
        </is>
      </c>
      <c r="H290" s="24" t="inlineStr">
        <is>
          <t>-72.02%</t>
        </is>
      </c>
      <c r="I290" s="16" t="inlineStr">
        <is>
          <t>N/A</t>
        </is>
      </c>
      <c r="J290" s="16" t="n">
        <v>1</v>
      </c>
      <c r="K290" s="16" t="n">
        <v>1</v>
      </c>
      <c r="L290" s="16" t="inlineStr">
        <is>
          <t>02.10.2024 09:03:55</t>
        </is>
      </c>
      <c r="M290" s="16" t="inlineStr">
        <is>
          <t>1 days</t>
        </is>
      </c>
      <c r="N290" s="16" t="inlineStr">
        <is>
          <t xml:space="preserve">        N/A           N/A           N/A</t>
        </is>
      </c>
      <c r="O290" s="16" t="inlineStr">
        <is>
          <t>gqh3suBHo21HFH8kEeBiBoe6qDWyCNUZKjPYcuLpump</t>
        </is>
      </c>
      <c r="P290" s="16">
        <f>HYPERLINK("https://photon-sol.tinyastro.io/en/lp/gqh3suBHo21HFH8kEeBiBoe6qDWyCNUZKjPYcuLpump?handle=676050794bc1b1657a56b", "View")</f>
        <v/>
      </c>
    </row>
    <row r="291">
      <c r="A291" s="19" t="inlineStr">
        <is>
          <t>WASP</t>
        </is>
      </c>
      <c r="B291" s="20" t="n">
        <v>1541742</v>
      </c>
      <c r="C291" s="20" t="n">
        <v>1541742</v>
      </c>
      <c r="D291" s="20" t="inlineStr">
        <is>
          <t>0.000110</t>
        </is>
      </c>
      <c r="E291" s="20" t="inlineStr">
        <is>
          <t>0.104 SOL</t>
        </is>
      </c>
      <c r="F291" s="20" t="inlineStr">
        <is>
          <t>0.042 SOL</t>
        </is>
      </c>
      <c r="G291" s="24" t="inlineStr">
        <is>
          <t>-0.062 SOL</t>
        </is>
      </c>
      <c r="H291" s="24" t="inlineStr">
        <is>
          <t>-59.36%</t>
        </is>
      </c>
      <c r="I291" s="20" t="inlineStr">
        <is>
          <t>N/A</t>
        </is>
      </c>
      <c r="J291" s="20" t="n">
        <v>1</v>
      </c>
      <c r="K291" s="20" t="n">
        <v>1</v>
      </c>
      <c r="L291" s="20" t="inlineStr">
        <is>
          <t>02.10.2024 09:03:07</t>
        </is>
      </c>
      <c r="M291" s="20" t="inlineStr">
        <is>
          <t>3 days</t>
        </is>
      </c>
      <c r="N291" s="20" t="inlineStr">
        <is>
          <t xml:space="preserve">        N/A           N/A           N/A</t>
        </is>
      </c>
      <c r="O291" s="20" t="inlineStr">
        <is>
          <t>DyhmS4ebJd8zDWLYwwtyvKbCAL6rvZDj83GvW1SBpump</t>
        </is>
      </c>
      <c r="P291" s="20">
        <f>HYPERLINK("https://photon-sol.tinyastro.io/en/lp/DyhmS4ebJd8zDWLYwwtyvKbCAL6rvZDj83GvW1SBpump?handle=676050794bc1b1657a56b", "View")</f>
        <v/>
      </c>
    </row>
    <row r="292">
      <c r="A292" s="15" t="inlineStr">
        <is>
          <t>LOL</t>
        </is>
      </c>
      <c r="B292" s="16" t="n">
        <v>809658</v>
      </c>
      <c r="C292" s="16" t="n">
        <v>809658</v>
      </c>
      <c r="D292" s="16" t="inlineStr">
        <is>
          <t>0.000110</t>
        </is>
      </c>
      <c r="E292" s="16" t="inlineStr">
        <is>
          <t>0.104 SOL</t>
        </is>
      </c>
      <c r="F292" s="16" t="inlineStr">
        <is>
          <t>0.023 SOL</t>
        </is>
      </c>
      <c r="G292" s="24" t="inlineStr">
        <is>
          <t>-0.082 SOL</t>
        </is>
      </c>
      <c r="H292" s="24" t="inlineStr">
        <is>
          <t>-78.38%</t>
        </is>
      </c>
      <c r="I292" s="16" t="inlineStr">
        <is>
          <t>N/A</t>
        </is>
      </c>
      <c r="J292" s="16" t="n">
        <v>1</v>
      </c>
      <c r="K292" s="16" t="n">
        <v>1</v>
      </c>
      <c r="L292" s="16" t="inlineStr">
        <is>
          <t>02.10.2024 09:02:26</t>
        </is>
      </c>
      <c r="M292" s="16" t="inlineStr">
        <is>
          <t>23 hours</t>
        </is>
      </c>
      <c r="N292" s="16" t="inlineStr">
        <is>
          <t xml:space="preserve">        N/A           N/A           N/A</t>
        </is>
      </c>
      <c r="O292" s="16" t="inlineStr">
        <is>
          <t>7K54c1JbC4dR2Sy72avpSFV29HJhKDLPUDQj2aTLoLs</t>
        </is>
      </c>
      <c r="P292" s="16">
        <f>HYPERLINK("https://photon-sol.tinyastro.io/en/lp/7K54c1JbC4dR2Sy72avpSFV29HJhKDLPUDQj2aTLoLs?handle=676050794bc1b1657a56b", "View")</f>
        <v/>
      </c>
    </row>
    <row r="293">
      <c r="A293" s="19" t="inlineStr">
        <is>
          <t>Rango</t>
        </is>
      </c>
      <c r="B293" s="20" t="n">
        <v>3042395</v>
      </c>
      <c r="C293" s="20" t="n">
        <v>3042395</v>
      </c>
      <c r="D293" s="20" t="inlineStr">
        <is>
          <t>0.000110</t>
        </is>
      </c>
      <c r="E293" s="20" t="inlineStr">
        <is>
          <t>0.104 SOL</t>
        </is>
      </c>
      <c r="F293" s="20" t="inlineStr">
        <is>
          <t>0.084 SOL</t>
        </is>
      </c>
      <c r="G293" s="21" t="inlineStr">
        <is>
          <t>-0.021 SOL</t>
        </is>
      </c>
      <c r="H293" s="21" t="inlineStr">
        <is>
          <t>-19.82%</t>
        </is>
      </c>
      <c r="I293" s="20" t="inlineStr">
        <is>
          <t>N/A</t>
        </is>
      </c>
      <c r="J293" s="20" t="n">
        <v>1</v>
      </c>
      <c r="K293" s="20" t="n">
        <v>1</v>
      </c>
      <c r="L293" s="20" t="inlineStr">
        <is>
          <t>02.10.2024 09:01:42</t>
        </is>
      </c>
      <c r="M293" s="20" t="inlineStr">
        <is>
          <t>1 days</t>
        </is>
      </c>
      <c r="N293" s="20" t="inlineStr">
        <is>
          <t xml:space="preserve">        N/A           N/A           N/A</t>
        </is>
      </c>
      <c r="O293" s="20" t="inlineStr">
        <is>
          <t>4aKDnx889jwZhSLSZV6N8PV5pQ7WU6n4ZR8sFut6A4cw</t>
        </is>
      </c>
      <c r="P293" s="20">
        <f>HYPERLINK("https://photon-sol.tinyastro.io/en/lp/4aKDnx889jwZhSLSZV6N8PV5pQ7WU6n4ZR8sFut6A4cw?handle=676050794bc1b1657a56b", "View")</f>
        <v/>
      </c>
    </row>
    <row r="294">
      <c r="A294" s="15" t="inlineStr">
        <is>
          <t>momo</t>
        </is>
      </c>
      <c r="B294" s="16" t="n">
        <v>3401248</v>
      </c>
      <c r="C294" s="16" t="n">
        <v>3401248</v>
      </c>
      <c r="D294" s="16" t="inlineStr">
        <is>
          <t>0.000110</t>
        </is>
      </c>
      <c r="E294" s="16" t="inlineStr">
        <is>
          <t>0.104 SOL</t>
        </is>
      </c>
      <c r="F294" s="16" t="inlineStr">
        <is>
          <t>0.099 SOL</t>
        </is>
      </c>
      <c r="G294" s="21" t="inlineStr">
        <is>
          <t>-0.006 SOL</t>
        </is>
      </c>
      <c r="H294" s="21" t="inlineStr">
        <is>
          <t>-5.33%</t>
        </is>
      </c>
      <c r="I294" s="16" t="inlineStr">
        <is>
          <t>N/A</t>
        </is>
      </c>
      <c r="J294" s="16" t="n">
        <v>1</v>
      </c>
      <c r="K294" s="16" t="n">
        <v>1</v>
      </c>
      <c r="L294" s="16" t="inlineStr">
        <is>
          <t>02.10.2024 06:46:30</t>
        </is>
      </c>
      <c r="M294" s="16" t="inlineStr">
        <is>
          <t>29 min</t>
        </is>
      </c>
      <c r="N294" s="16" t="inlineStr">
        <is>
          <t xml:space="preserve">        N/A           N/A           N/A</t>
        </is>
      </c>
      <c r="O294" s="16" t="inlineStr">
        <is>
          <t>GYW7C5tUjF8xrw7mURKmySXp3GSRNgDcuqi3F6R1jNKh</t>
        </is>
      </c>
      <c r="P294" s="16">
        <f>HYPERLINK("https://photon-sol.tinyastro.io/en/lp/GYW7C5tUjF8xrw7mURKmySXp3GSRNgDcuqi3F6R1jNKh?handle=676050794bc1b1657a56b", "View")</f>
        <v/>
      </c>
    </row>
    <row r="295">
      <c r="A295" s="19" t="inlineStr">
        <is>
          <t>1TRUMP</t>
        </is>
      </c>
      <c r="B295" s="20" t="n">
        <v>288539</v>
      </c>
      <c r="C295" s="20" t="n">
        <v>288539</v>
      </c>
      <c r="D295" s="20" t="inlineStr">
        <is>
          <t>0.000160</t>
        </is>
      </c>
      <c r="E295" s="20" t="inlineStr">
        <is>
          <t>0.104 SOL</t>
        </is>
      </c>
      <c r="F295" s="20" t="inlineStr">
        <is>
          <t>0.114 SOL</t>
        </is>
      </c>
      <c r="G295" s="22" t="inlineStr">
        <is>
          <t>0.010 SOL</t>
        </is>
      </c>
      <c r="H295" s="22" t="inlineStr">
        <is>
          <t>9.64%</t>
        </is>
      </c>
      <c r="I295" s="20" t="inlineStr">
        <is>
          <t>N/A</t>
        </is>
      </c>
      <c r="J295" s="20" t="n">
        <v>1</v>
      </c>
      <c r="K295" s="20" t="n">
        <v>2</v>
      </c>
      <c r="L295" s="20" t="inlineStr">
        <is>
          <t>01.10.2024 13:25:46</t>
        </is>
      </c>
      <c r="M295" s="20" t="inlineStr">
        <is>
          <t>1 days</t>
        </is>
      </c>
      <c r="N295" s="20" t="inlineStr">
        <is>
          <t xml:space="preserve">         63K             5K             3K</t>
        </is>
      </c>
      <c r="O295" s="20" t="inlineStr">
        <is>
          <t>2PwBPoJuFueNwvUEC9PZwtM5wvbtCoxhFbecurxjpump</t>
        </is>
      </c>
      <c r="P295" s="20">
        <f>HYPERLINK("https://photon-sol.tinyastro.io/en/lp/2PwBPoJuFueNwvUEC9PZwtM5wvbtCoxhFbecurxjpump?handle=676050794bc1b1657a56b", "View")</f>
        <v/>
      </c>
    </row>
    <row r="296">
      <c r="A296" s="15" t="inlineStr">
        <is>
          <t>OGDOG</t>
        </is>
      </c>
      <c r="B296" s="16" t="n">
        <v>650444</v>
      </c>
      <c r="C296" s="16" t="n">
        <v>650444</v>
      </c>
      <c r="D296" s="16" t="inlineStr">
        <is>
          <t>0.000110</t>
        </is>
      </c>
      <c r="E296" s="16" t="inlineStr">
        <is>
          <t>0.104 SOL</t>
        </is>
      </c>
      <c r="F296" s="16" t="inlineStr">
        <is>
          <t>0.162 SOL</t>
        </is>
      </c>
      <c r="G296" s="23" t="inlineStr">
        <is>
          <t>0.058 SOL</t>
        </is>
      </c>
      <c r="H296" s="23" t="inlineStr">
        <is>
          <t>55.55%</t>
        </is>
      </c>
      <c r="I296" s="16" t="inlineStr">
        <is>
          <t>N/A</t>
        </is>
      </c>
      <c r="J296" s="16" t="n">
        <v>1</v>
      </c>
      <c r="K296" s="16" t="n">
        <v>1</v>
      </c>
      <c r="L296" s="16" t="inlineStr">
        <is>
          <t>30.09.2024 16:13:00</t>
        </is>
      </c>
      <c r="M296" s="16" t="inlineStr">
        <is>
          <t>55 min</t>
        </is>
      </c>
      <c r="N296" s="16" t="inlineStr">
        <is>
          <t xml:space="preserve">         28K            44K             3K</t>
        </is>
      </c>
      <c r="O296" s="16" t="inlineStr">
        <is>
          <t>Dm7NbpSnjHM4JebxjvPeon29i1GH7ED2mfjiqQgepump</t>
        </is>
      </c>
      <c r="P296" s="16">
        <f>HYPERLINK("https://photon-sol.tinyastro.io/en/lp/Dm7NbpSnjHM4JebxjvPeon29i1GH7ED2mfjiqQgepump?handle=676050794bc1b1657a56b", "View")</f>
        <v/>
      </c>
    </row>
    <row r="297">
      <c r="A297" s="19" t="inlineStr">
        <is>
          <t>PCAT</t>
        </is>
      </c>
      <c r="B297" s="20" t="n">
        <v>827069</v>
      </c>
      <c r="C297" s="20" t="n">
        <v>827069</v>
      </c>
      <c r="D297" s="20" t="inlineStr">
        <is>
          <t>0.000110</t>
        </is>
      </c>
      <c r="E297" s="20" t="inlineStr">
        <is>
          <t>0.114 SOL</t>
        </is>
      </c>
      <c r="F297" s="20" t="inlineStr">
        <is>
          <t>0.206 SOL</t>
        </is>
      </c>
      <c r="G297" s="23" t="inlineStr">
        <is>
          <t>0.092 SOL</t>
        </is>
      </c>
      <c r="H297" s="23" t="inlineStr">
        <is>
          <t>80.09%</t>
        </is>
      </c>
      <c r="I297" s="20" t="inlineStr">
        <is>
          <t>N/A</t>
        </is>
      </c>
      <c r="J297" s="20" t="n">
        <v>1</v>
      </c>
      <c r="K297" s="20" t="n">
        <v>1</v>
      </c>
      <c r="L297" s="20" t="inlineStr">
        <is>
          <t>30.09.2024 14:55:24</t>
        </is>
      </c>
      <c r="M297" s="20" t="inlineStr">
        <is>
          <t>29 min</t>
        </is>
      </c>
      <c r="N297" s="20" t="inlineStr">
        <is>
          <t xml:space="preserve">         25K            44K             4K</t>
        </is>
      </c>
      <c r="O297" s="20" t="inlineStr">
        <is>
          <t>2kwFRwLwD5asTtURjDj2TruJ3jy5KoMQS5gVS6nHpump</t>
        </is>
      </c>
      <c r="P297" s="20">
        <f>HYPERLINK("https://photon-sol.tinyastro.io/en/lp/2kwFRwLwD5asTtURjDj2TruJ3jy5KoMQS5gVS6nHpump?handle=676050794bc1b1657a56b", "View")</f>
        <v/>
      </c>
    </row>
    <row r="298">
      <c r="A298" s="15" t="inlineStr">
        <is>
          <t>FMOODENG</t>
        </is>
      </c>
      <c r="B298" s="16" t="n">
        <v>343738</v>
      </c>
      <c r="C298" s="16" t="n">
        <v>0</v>
      </c>
      <c r="D298" s="16" t="inlineStr">
        <is>
          <t>0.000060</t>
        </is>
      </c>
      <c r="E298" s="16" t="inlineStr">
        <is>
          <t>0.104 SOL</t>
        </is>
      </c>
      <c r="F298" s="16" t="inlineStr">
        <is>
          <t>0.000 SOL</t>
        </is>
      </c>
      <c r="G298" s="17" t="inlineStr">
        <is>
          <t>-0.104 SOL</t>
        </is>
      </c>
      <c r="H298" s="17" t="inlineStr">
        <is>
          <t>0.00%</t>
        </is>
      </c>
      <c r="I298" s="16" t="inlineStr">
        <is>
          <t>343,738</t>
        </is>
      </c>
      <c r="J298" s="16" t="n">
        <v>1</v>
      </c>
      <c r="K298" s="16" t="n">
        <v>0</v>
      </c>
      <c r="L298" s="16" t="inlineStr">
        <is>
          <t>30.09.2024 05:32:27</t>
        </is>
      </c>
      <c r="M298" s="18" t="inlineStr">
        <is>
          <t>0 sec</t>
        </is>
      </c>
      <c r="N298" s="16" t="inlineStr">
        <is>
          <t xml:space="preserve">        N/A           N/A           N/A</t>
        </is>
      </c>
      <c r="O298" s="16" t="inlineStr">
        <is>
          <t>8zasFf83gLpuLz9QoKMwwgN34pcQUpzpNzXvbnmfpump</t>
        </is>
      </c>
      <c r="P298" s="16">
        <f>HYPERLINK("https://photon-sol.tinyastro.io/en/lp/8zasFf83gLpuLz9QoKMwwgN34pcQUpzpNzXvbnmfpump?handle=676050794bc1b1657a56b", "View")</f>
        <v/>
      </c>
    </row>
    <row r="299">
      <c r="A299" s="19" t="inlineStr">
        <is>
          <t>MIHARU</t>
        </is>
      </c>
      <c r="B299" s="20" t="n">
        <v>353477</v>
      </c>
      <c r="C299" s="20" t="n">
        <v>0</v>
      </c>
      <c r="D299" s="20" t="inlineStr">
        <is>
          <t>0.000060</t>
        </is>
      </c>
      <c r="E299" s="20" t="inlineStr">
        <is>
          <t>0.104 SOL</t>
        </is>
      </c>
      <c r="F299" s="20" t="inlineStr">
        <is>
          <t>0.000 SOL</t>
        </is>
      </c>
      <c r="G299" s="17" t="inlineStr">
        <is>
          <t>-0.104 SOL</t>
        </is>
      </c>
      <c r="H299" s="17" t="inlineStr">
        <is>
          <t>0.00%</t>
        </is>
      </c>
      <c r="I299" s="20" t="inlineStr">
        <is>
          <t>353,477</t>
        </is>
      </c>
      <c r="J299" s="20" t="n">
        <v>1</v>
      </c>
      <c r="K299" s="20" t="n">
        <v>0</v>
      </c>
      <c r="L299" s="20" t="inlineStr">
        <is>
          <t>30.09.2024 05:20:54</t>
        </is>
      </c>
      <c r="M299" s="18" t="inlineStr">
        <is>
          <t>0 sec</t>
        </is>
      </c>
      <c r="N299" s="20" t="inlineStr">
        <is>
          <t xml:space="preserve">         51K            51K             6K</t>
        </is>
      </c>
      <c r="O299" s="20" t="inlineStr">
        <is>
          <t>7XjWdZcp7MKAMQZPgYPcjYq5SwLBCD42qTgMerNhpump</t>
        </is>
      </c>
      <c r="P299" s="20">
        <f>HYPERLINK("https://photon-sol.tinyastro.io/en/lp/7XjWdZcp7MKAMQZPgYPcjYq5SwLBCD42qTgMerNhpump?handle=676050794bc1b1657a56b", "View")</f>
        <v/>
      </c>
    </row>
    <row r="300">
      <c r="A300" s="15" t="inlineStr">
        <is>
          <t>DC</t>
        </is>
      </c>
      <c r="B300" s="16" t="n">
        <v>326165</v>
      </c>
      <c r="C300" s="16" t="n">
        <v>0</v>
      </c>
      <c r="D300" s="16" t="inlineStr">
        <is>
          <t>0.000060</t>
        </is>
      </c>
      <c r="E300" s="16" t="inlineStr">
        <is>
          <t>0.099 SOL</t>
        </is>
      </c>
      <c r="F300" s="16" t="inlineStr">
        <is>
          <t>0.000 SOL</t>
        </is>
      </c>
      <c r="G300" s="17" t="inlineStr">
        <is>
          <t>-0.099 SOL</t>
        </is>
      </c>
      <c r="H300" s="17" t="inlineStr">
        <is>
          <t>0.00%</t>
        </is>
      </c>
      <c r="I300" s="16" t="inlineStr">
        <is>
          <t>326,165</t>
        </is>
      </c>
      <c r="J300" s="16" t="n">
        <v>1</v>
      </c>
      <c r="K300" s="16" t="n">
        <v>0</v>
      </c>
      <c r="L300" s="16" t="inlineStr">
        <is>
          <t>30.09.2024 01:16:37</t>
        </is>
      </c>
      <c r="M300" s="18" t="inlineStr">
        <is>
          <t>0 sec</t>
        </is>
      </c>
      <c r="N300" s="16" t="inlineStr">
        <is>
          <t xml:space="preserve">        N/A           N/A           N/A</t>
        </is>
      </c>
      <c r="O300" s="16" t="inlineStr">
        <is>
          <t>Esw5SgDiweTfKGTtAsG1TaaihhXzDP6MGWdeSE73pump</t>
        </is>
      </c>
      <c r="P300" s="16">
        <f>HYPERLINK("https://photon-sol.tinyastro.io/en/lp/Esw5SgDiweTfKGTtAsG1TaaihhXzDP6MGWdeSE73pump?handle=676050794bc1b1657a56b", "View")</f>
        <v/>
      </c>
    </row>
    <row r="301">
      <c r="A301" s="19" t="inlineStr">
        <is>
          <t>RPEPE</t>
        </is>
      </c>
      <c r="B301" s="20" t="n">
        <v>387338</v>
      </c>
      <c r="C301" s="20" t="n">
        <v>387338</v>
      </c>
      <c r="D301" s="20" t="inlineStr">
        <is>
          <t>0.000160</t>
        </is>
      </c>
      <c r="E301" s="20" t="inlineStr">
        <is>
          <t>0.107 SOL</t>
        </is>
      </c>
      <c r="F301" s="20" t="inlineStr">
        <is>
          <t>0.228 SOL</t>
        </is>
      </c>
      <c r="G301" s="23" t="inlineStr">
        <is>
          <t>0.121 SOL</t>
        </is>
      </c>
      <c r="H301" s="23" t="inlineStr">
        <is>
          <t>112.81%</t>
        </is>
      </c>
      <c r="I301" s="20" t="inlineStr">
        <is>
          <t>N/A</t>
        </is>
      </c>
      <c r="J301" s="20" t="n">
        <v>1</v>
      </c>
      <c r="K301" s="20" t="n">
        <v>2</v>
      </c>
      <c r="L301" s="20" t="inlineStr">
        <is>
          <t>29.09.2024 15:11:01</t>
        </is>
      </c>
      <c r="M301" s="20" t="inlineStr">
        <is>
          <t>3 hours</t>
        </is>
      </c>
      <c r="N301" s="20" t="inlineStr">
        <is>
          <t xml:space="preserve">         42K            80K             5K</t>
        </is>
      </c>
      <c r="O301" s="20" t="inlineStr">
        <is>
          <t>EgxEnP82FzkeokZKh11WqLwS2zE9Zj7M8FKGvMSKpump</t>
        </is>
      </c>
      <c r="P301" s="20">
        <f>HYPERLINK("https://photon-sol.tinyastro.io/en/lp/EgxEnP82FzkeokZKh11WqLwS2zE9Zj7M8FKGvMSKpump?handle=676050794bc1b1657a56b", "View")</f>
        <v/>
      </c>
    </row>
    <row r="302">
      <c r="A302" s="15" t="inlineStr">
        <is>
          <t>Ruby</t>
        </is>
      </c>
      <c r="B302" s="16" t="n">
        <v>593491</v>
      </c>
      <c r="C302" s="16" t="n">
        <v>296745</v>
      </c>
      <c r="D302" s="16" t="inlineStr">
        <is>
          <t>0.000110</t>
        </is>
      </c>
      <c r="E302" s="16" t="inlineStr">
        <is>
          <t>0.104 SOL</t>
        </is>
      </c>
      <c r="F302" s="16" t="inlineStr">
        <is>
          <t>0.090 SOL</t>
        </is>
      </c>
      <c r="G302" s="21" t="inlineStr">
        <is>
          <t>-0.014 SOL</t>
        </is>
      </c>
      <c r="H302" s="21" t="inlineStr">
        <is>
          <t>-13.42%</t>
        </is>
      </c>
      <c r="I302" s="16" t="inlineStr">
        <is>
          <t>N/A</t>
        </is>
      </c>
      <c r="J302" s="16" t="n">
        <v>1</v>
      </c>
      <c r="K302" s="16" t="n">
        <v>1</v>
      </c>
      <c r="L302" s="16" t="inlineStr">
        <is>
          <t>29.09.2024 15:10:10</t>
        </is>
      </c>
      <c r="M302" s="16" t="inlineStr">
        <is>
          <t>2 hours</t>
        </is>
      </c>
      <c r="N302" s="16" t="inlineStr">
        <is>
          <t xml:space="preserve">         32K            53K             5K</t>
        </is>
      </c>
      <c r="O302" s="16" t="inlineStr">
        <is>
          <t>9oViXX8qGRShJNYao1hpssjFL36fqG53Nqj2Pt2Spump</t>
        </is>
      </c>
      <c r="P302" s="16">
        <f>HYPERLINK("https://photon-sol.tinyastro.io/en/lp/9oViXX8qGRShJNYao1hpssjFL36fqG53Nqj2Pt2Spump?handle=676050794bc1b1657a56b", "View")</f>
        <v/>
      </c>
    </row>
    <row r="303">
      <c r="A303" s="19" t="inlineStr">
        <is>
          <t>MANO</t>
        </is>
      </c>
      <c r="B303" s="20" t="n">
        <v>1949967</v>
      </c>
      <c r="C303" s="20" t="n">
        <v>0</v>
      </c>
      <c r="D303" s="20" t="inlineStr">
        <is>
          <t>0.000060</t>
        </is>
      </c>
      <c r="E303" s="20" t="inlineStr">
        <is>
          <t>0.104 SOL</t>
        </is>
      </c>
      <c r="F303" s="20" t="inlineStr">
        <is>
          <t>0.000 SOL</t>
        </is>
      </c>
      <c r="G303" s="17" t="inlineStr">
        <is>
          <t>-0.104 SOL</t>
        </is>
      </c>
      <c r="H303" s="17" t="inlineStr">
        <is>
          <t>0.00%</t>
        </is>
      </c>
      <c r="I303" s="20" t="inlineStr">
        <is>
          <t>1,949,967</t>
        </is>
      </c>
      <c r="J303" s="20" t="n">
        <v>1</v>
      </c>
      <c r="K303" s="20" t="n">
        <v>0</v>
      </c>
      <c r="L303" s="20" t="inlineStr">
        <is>
          <t>29.09.2024 13:58:45</t>
        </is>
      </c>
      <c r="M303" s="18" t="inlineStr">
        <is>
          <t>0 sec</t>
        </is>
      </c>
      <c r="N303" s="20" t="inlineStr">
        <is>
          <t xml:space="preserve">        N/A           N/A           N/A</t>
        </is>
      </c>
      <c r="O303" s="20" t="inlineStr">
        <is>
          <t>9NCip6dBDUgTF6WoqoHaJsDq4kTRNLHcn1zA6T3Epump</t>
        </is>
      </c>
      <c r="P303" s="20">
        <f>HYPERLINK("https://photon-sol.tinyastro.io/en/lp/9NCip6dBDUgTF6WoqoHaJsDq4kTRNLHcn1zA6T3Epump?handle=676050794bc1b1657a56b", "View")</f>
        <v/>
      </c>
    </row>
    <row r="304">
      <c r="A304" s="15" t="inlineStr">
        <is>
          <t>TAOW</t>
        </is>
      </c>
      <c r="B304" s="16" t="n">
        <v>641298</v>
      </c>
      <c r="C304" s="16" t="n">
        <v>0</v>
      </c>
      <c r="D304" s="16" t="inlineStr">
        <is>
          <t>0.000060</t>
        </is>
      </c>
      <c r="E304" s="16" t="inlineStr">
        <is>
          <t>0.105 SOL</t>
        </is>
      </c>
      <c r="F304" s="16" t="inlineStr">
        <is>
          <t>0.000 SOL</t>
        </is>
      </c>
      <c r="G304" s="17" t="inlineStr">
        <is>
          <t>-0.105 SOL</t>
        </is>
      </c>
      <c r="H304" s="17" t="inlineStr">
        <is>
          <t>0.00%</t>
        </is>
      </c>
      <c r="I304" s="16" t="inlineStr">
        <is>
          <t>641,298</t>
        </is>
      </c>
      <c r="J304" s="16" t="n">
        <v>1</v>
      </c>
      <c r="K304" s="16" t="n">
        <v>0</v>
      </c>
      <c r="L304" s="16" t="inlineStr">
        <is>
          <t>29.09.2024 13:18:22</t>
        </is>
      </c>
      <c r="M304" s="18" t="inlineStr">
        <is>
          <t>0 sec</t>
        </is>
      </c>
      <c r="N304" s="16" t="inlineStr">
        <is>
          <t xml:space="preserve">        N/A           N/A           N/A</t>
        </is>
      </c>
      <c r="O304" s="16" t="inlineStr">
        <is>
          <t>3pp3vAeJcp51AkaVVCkBi51x9wtZZXtWn1ewBvf8x6pS</t>
        </is>
      </c>
      <c r="P304" s="16">
        <f>HYPERLINK("https://photon-sol.tinyastro.io/en/lp/3pp3vAeJcp51AkaVVCkBi51x9wtZZXtWn1ewBvf8x6pS?handle=676050794bc1b1657a56b", "View")</f>
        <v/>
      </c>
    </row>
    <row r="305">
      <c r="A305" s="19" t="inlineStr">
        <is>
          <t>RCAT</t>
        </is>
      </c>
      <c r="B305" s="20" t="n">
        <v>249241</v>
      </c>
      <c r="C305" s="20" t="n">
        <v>249241</v>
      </c>
      <c r="D305" s="20" t="inlineStr">
        <is>
          <t>0.000220</t>
        </is>
      </c>
      <c r="E305" s="20" t="inlineStr">
        <is>
          <t>0.100 SOL</t>
        </is>
      </c>
      <c r="F305" s="20" t="inlineStr">
        <is>
          <t>0.373 SOL</t>
        </is>
      </c>
      <c r="G305" s="23" t="inlineStr">
        <is>
          <t>0.273 SOL</t>
        </is>
      </c>
      <c r="H305" s="23" t="inlineStr">
        <is>
          <t>272.68%</t>
        </is>
      </c>
      <c r="I305" s="20" t="inlineStr">
        <is>
          <t>N/A</t>
        </is>
      </c>
      <c r="J305" s="20" t="n">
        <v>1</v>
      </c>
      <c r="K305" s="20" t="n">
        <v>3</v>
      </c>
      <c r="L305" s="20" t="inlineStr">
        <is>
          <t>29.09.2024 13:03:05</t>
        </is>
      </c>
      <c r="M305" s="20" t="inlineStr">
        <is>
          <t>6 hours</t>
        </is>
      </c>
      <c r="N305" s="20" t="inlineStr">
        <is>
          <t xml:space="preserve">         70K           293K            13K</t>
        </is>
      </c>
      <c r="O305" s="20" t="inlineStr">
        <is>
          <t>2YR72Qtd4Z4odM9TNXLbdJRCsyYQj13p7FcfNBR8pump</t>
        </is>
      </c>
      <c r="P305" s="20">
        <f>HYPERLINK("https://dexscreener.com/solana/2YR72Qtd4Z4odM9TNXLbdJRCsyYQj13p7FcfNBR8pump", "View")</f>
        <v/>
      </c>
    </row>
    <row r="306">
      <c r="A306" s="15" t="inlineStr">
        <is>
          <t>OG</t>
        </is>
      </c>
      <c r="B306" s="16" t="n">
        <v>575941</v>
      </c>
      <c r="C306" s="16" t="n">
        <v>287971</v>
      </c>
      <c r="D306" s="16" t="inlineStr">
        <is>
          <t>0.000110</t>
        </is>
      </c>
      <c r="E306" s="16" t="inlineStr">
        <is>
          <t>0.104 SOL</t>
        </is>
      </c>
      <c r="F306" s="16" t="inlineStr">
        <is>
          <t>0.092 SOL</t>
        </is>
      </c>
      <c r="G306" s="21" t="inlineStr">
        <is>
          <t>-0.012 SOL</t>
        </is>
      </c>
      <c r="H306" s="21" t="inlineStr">
        <is>
          <t>-11.41%</t>
        </is>
      </c>
      <c r="I306" s="16" t="inlineStr">
        <is>
          <t>N/A</t>
        </is>
      </c>
      <c r="J306" s="16" t="n">
        <v>1</v>
      </c>
      <c r="K306" s="16" t="n">
        <v>1</v>
      </c>
      <c r="L306" s="16" t="inlineStr">
        <is>
          <t>29.09.2024 11:28:44</t>
        </is>
      </c>
      <c r="M306" s="16" t="inlineStr">
        <is>
          <t>32 min</t>
        </is>
      </c>
      <c r="N306" s="16" t="inlineStr">
        <is>
          <t xml:space="preserve">        N/A           N/A           N/A</t>
        </is>
      </c>
      <c r="O306" s="16" t="inlineStr">
        <is>
          <t>6iBaDX9R9W6ZySntWsnp429HcqfqAC1VJmEbxEW3pump</t>
        </is>
      </c>
      <c r="P306" s="16">
        <f>HYPERLINK("https://photon-sol.tinyastro.io/en/lp/6iBaDX9R9W6ZySntWsnp429HcqfqAC1VJmEbxEW3pump?handle=676050794bc1b1657a56b", "View")</f>
        <v/>
      </c>
    </row>
    <row r="307">
      <c r="A307" s="19" t="inlineStr">
        <is>
          <t>LOLDOG</t>
        </is>
      </c>
      <c r="B307" s="20" t="n">
        <v>198223</v>
      </c>
      <c r="C307" s="20" t="n">
        <v>0</v>
      </c>
      <c r="D307" s="20" t="inlineStr">
        <is>
          <t>0.000060</t>
        </is>
      </c>
      <c r="E307" s="20" t="inlineStr">
        <is>
          <t>0.100 SOL</t>
        </is>
      </c>
      <c r="F307" s="20" t="inlineStr">
        <is>
          <t>0.000 SOL</t>
        </is>
      </c>
      <c r="G307" s="17" t="inlineStr">
        <is>
          <t>-0.100 SOL</t>
        </is>
      </c>
      <c r="H307" s="17" t="inlineStr">
        <is>
          <t>0.00%</t>
        </is>
      </c>
      <c r="I307" s="20" t="inlineStr">
        <is>
          <t>198,223</t>
        </is>
      </c>
      <c r="J307" s="20" t="n">
        <v>1</v>
      </c>
      <c r="K307" s="20" t="n">
        <v>0</v>
      </c>
      <c r="L307" s="20" t="inlineStr">
        <is>
          <t>29.09.2024 07:22:15</t>
        </is>
      </c>
      <c r="M307" s="18" t="inlineStr">
        <is>
          <t>0 sec</t>
        </is>
      </c>
      <c r="N307" s="20" t="inlineStr">
        <is>
          <t xml:space="preserve">         88K            88K             5K</t>
        </is>
      </c>
      <c r="O307" s="20" t="inlineStr">
        <is>
          <t>H8LW3afnmHYhvhLydBPsFNfUF1JTPpNt6VoeYzutpump</t>
        </is>
      </c>
      <c r="P307" s="20">
        <f>HYPERLINK("https://dexscreener.com/solana/H8LW3afnmHYhvhLydBPsFNfUF1JTPpNt6VoeYzutpump", "View")</f>
        <v/>
      </c>
    </row>
    <row r="308">
      <c r="A308" s="15" t="inlineStr">
        <is>
          <t>UPVOTE</t>
        </is>
      </c>
      <c r="B308" s="16" t="n">
        <v>183232</v>
      </c>
      <c r="C308" s="16" t="n">
        <v>0</v>
      </c>
      <c r="D308" s="16" t="inlineStr">
        <is>
          <t>0.000060</t>
        </is>
      </c>
      <c r="E308" s="16" t="inlineStr">
        <is>
          <t>0.100 SOL</t>
        </is>
      </c>
      <c r="F308" s="16" t="inlineStr">
        <is>
          <t>0.000 SOL</t>
        </is>
      </c>
      <c r="G308" s="17" t="inlineStr">
        <is>
          <t>-0.100 SOL</t>
        </is>
      </c>
      <c r="H308" s="17" t="inlineStr">
        <is>
          <t>0.00%</t>
        </is>
      </c>
      <c r="I308" s="16" t="inlineStr">
        <is>
          <t>183,232</t>
        </is>
      </c>
      <c r="J308" s="16" t="n">
        <v>1</v>
      </c>
      <c r="K308" s="16" t="n">
        <v>0</v>
      </c>
      <c r="L308" s="16" t="inlineStr">
        <is>
          <t>29.09.2024 06:49:23</t>
        </is>
      </c>
      <c r="M308" s="18" t="inlineStr">
        <is>
          <t>0 sec</t>
        </is>
      </c>
      <c r="N308" s="16" t="inlineStr">
        <is>
          <t xml:space="preserve">         97K            97K             3K</t>
        </is>
      </c>
      <c r="O308" s="16" t="inlineStr">
        <is>
          <t>EXMWcgM2HqhLTC7TR11rgLmtdtLPu6dNfPntbJGYpump</t>
        </is>
      </c>
      <c r="P308" s="16">
        <f>HYPERLINK("https://dexscreener.com/solana/EXMWcgM2HqhLTC7TR11rgLmtdtLPu6dNfPntbJGYpump", "View")</f>
        <v/>
      </c>
    </row>
    <row r="309">
      <c r="A309" s="19" t="inlineStr">
        <is>
          <t>MIFI</t>
        </is>
      </c>
      <c r="B309" s="20" t="n">
        <v>286467</v>
      </c>
      <c r="C309" s="20" t="n">
        <v>286467</v>
      </c>
      <c r="D309" s="20" t="inlineStr">
        <is>
          <t>0.000110</t>
        </is>
      </c>
      <c r="E309" s="20" t="inlineStr">
        <is>
          <t>0.100 SOL</t>
        </is>
      </c>
      <c r="F309" s="20" t="inlineStr">
        <is>
          <t>0.043 SOL</t>
        </is>
      </c>
      <c r="G309" s="24" t="inlineStr">
        <is>
          <t>-0.057 SOL</t>
        </is>
      </c>
      <c r="H309" s="24" t="inlineStr">
        <is>
          <t>-57.04%</t>
        </is>
      </c>
      <c r="I309" s="20" t="inlineStr">
        <is>
          <t>N/A</t>
        </is>
      </c>
      <c r="J309" s="20" t="n">
        <v>1</v>
      </c>
      <c r="K309" s="20" t="n">
        <v>1</v>
      </c>
      <c r="L309" s="20" t="inlineStr">
        <is>
          <t>29.09.2024 06:44:54</t>
        </is>
      </c>
      <c r="M309" s="20" t="inlineStr">
        <is>
          <t>39 min</t>
        </is>
      </c>
      <c r="N309" s="20" t="inlineStr">
        <is>
          <t xml:space="preserve">         61K            26K             4K</t>
        </is>
      </c>
      <c r="O309" s="20" t="inlineStr">
        <is>
          <t>91ayhZzF7wvJEqkodNJrDabUzUTQzojjoyyWfzBykxEt</t>
        </is>
      </c>
      <c r="P309" s="20">
        <f>HYPERLINK("https://dexscreener.com/solana/91ayhZzF7wvJEqkodNJrDabUzUTQzojjoyyWfzBykxEt", "View")</f>
        <v/>
      </c>
    </row>
    <row r="310">
      <c r="A310" s="15" t="inlineStr">
        <is>
          <t>Boba</t>
        </is>
      </c>
      <c r="B310" s="16" t="n">
        <v>313232</v>
      </c>
      <c r="C310" s="16" t="n">
        <v>313232</v>
      </c>
      <c r="D310" s="16" t="inlineStr">
        <is>
          <t>0.000110</t>
        </is>
      </c>
      <c r="E310" s="16" t="inlineStr">
        <is>
          <t>0.100 SOL</t>
        </is>
      </c>
      <c r="F310" s="16" t="inlineStr">
        <is>
          <t>0.052 SOL</t>
        </is>
      </c>
      <c r="G310" s="21" t="inlineStr">
        <is>
          <t>-0.048 SOL</t>
        </is>
      </c>
      <c r="H310" s="21" t="inlineStr">
        <is>
          <t>-48.15%</t>
        </is>
      </c>
      <c r="I310" s="16" t="inlineStr">
        <is>
          <t>N/A</t>
        </is>
      </c>
      <c r="J310" s="16" t="n">
        <v>1</v>
      </c>
      <c r="K310" s="16" t="n">
        <v>1</v>
      </c>
      <c r="L310" s="16" t="inlineStr">
        <is>
          <t>29.09.2024 06:44:40</t>
        </is>
      </c>
      <c r="M310" s="16" t="inlineStr">
        <is>
          <t>35 min</t>
        </is>
      </c>
      <c r="N310" s="16" t="inlineStr">
        <is>
          <t xml:space="preserve">         56K            30K             4K</t>
        </is>
      </c>
      <c r="O310" s="16" t="inlineStr">
        <is>
          <t>CZAYiTHWfHWjh4Ag7JcZPPMKFeEdkpLNYtELRyxdpump</t>
        </is>
      </c>
      <c r="P310" s="16">
        <f>HYPERLINK("https://dexscreener.com/solana/CZAYiTHWfHWjh4Ag7JcZPPMKFeEdkpLNYtELRyxdpump", "View")</f>
        <v/>
      </c>
    </row>
    <row r="311">
      <c r="A311" s="19" t="inlineStr">
        <is>
          <t>$April</t>
        </is>
      </c>
      <c r="B311" s="20" t="n">
        <v>212030</v>
      </c>
      <c r="C311" s="20" t="n">
        <v>212030</v>
      </c>
      <c r="D311" s="20" t="inlineStr">
        <is>
          <t>0.000160</t>
        </is>
      </c>
      <c r="E311" s="20" t="inlineStr">
        <is>
          <t>0.100 SOL</t>
        </is>
      </c>
      <c r="F311" s="20" t="inlineStr">
        <is>
          <t>0.261 SOL</t>
        </is>
      </c>
      <c r="G311" s="23" t="inlineStr">
        <is>
          <t>0.161 SOL</t>
        </is>
      </c>
      <c r="H311" s="23" t="inlineStr">
        <is>
          <t>160.98%</t>
        </is>
      </c>
      <c r="I311" s="20" t="inlineStr">
        <is>
          <t>N/A</t>
        </is>
      </c>
      <c r="J311" s="20" t="n">
        <v>1</v>
      </c>
      <c r="K311" s="20" t="n">
        <v>2</v>
      </c>
      <c r="L311" s="20" t="inlineStr">
        <is>
          <t>29.09.2024 06:36:25</t>
        </is>
      </c>
      <c r="M311" s="20" t="inlineStr">
        <is>
          <t>4 hours</t>
        </is>
      </c>
      <c r="N311" s="20" t="inlineStr">
        <is>
          <t xml:space="preserve">         82K           170K             4K</t>
        </is>
      </c>
      <c r="O311" s="20" t="inlineStr">
        <is>
          <t>28QTTGj9yV32xu9HWzzAHd2RiQmeQztyQUytX7krpump</t>
        </is>
      </c>
      <c r="P311" s="20">
        <f>HYPERLINK("https://dexscreener.com/solana/28QTTGj9yV32xu9HWzzAHd2RiQmeQztyQUytX7krpump", "View")</f>
        <v/>
      </c>
    </row>
    <row r="312">
      <c r="A312" s="15" t="inlineStr">
        <is>
          <t>RACHIDOU</t>
        </is>
      </c>
      <c r="B312" s="16" t="n">
        <v>231001</v>
      </c>
      <c r="C312" s="16" t="n">
        <v>173251</v>
      </c>
      <c r="D312" s="16" t="inlineStr">
        <is>
          <t>0.000170</t>
        </is>
      </c>
      <c r="E312" s="16" t="inlineStr">
        <is>
          <t>0.100 SOL</t>
        </is>
      </c>
      <c r="F312" s="16" t="inlineStr">
        <is>
          <t>0.238 SOL</t>
        </is>
      </c>
      <c r="G312" s="23" t="inlineStr">
        <is>
          <t>0.138 SOL</t>
        </is>
      </c>
      <c r="H312" s="23" t="inlineStr">
        <is>
          <t>138.02%</t>
        </is>
      </c>
      <c r="I312" s="16" t="inlineStr">
        <is>
          <t>N/A</t>
        </is>
      </c>
      <c r="J312" s="16" t="n">
        <v>1</v>
      </c>
      <c r="K312" s="16" t="n">
        <v>2</v>
      </c>
      <c r="L312" s="16" t="inlineStr">
        <is>
          <t>29.09.2024 03:37:26</t>
        </is>
      </c>
      <c r="M312" s="16" t="inlineStr">
        <is>
          <t>10 min</t>
        </is>
      </c>
      <c r="N312" s="16" t="inlineStr">
        <is>
          <t xml:space="preserve">         76K           364K             4K</t>
        </is>
      </c>
      <c r="O312" s="16" t="inlineStr">
        <is>
          <t>BW2CTev9vM821NsEZYZifbdyMMY122eq827xr6G8pump</t>
        </is>
      </c>
      <c r="P312" s="16">
        <f>HYPERLINK("https://dexscreener.com/solana/BW2CTev9vM821NsEZYZifbdyMMY122eq827xr6G8pump", "View")</f>
        <v/>
      </c>
    </row>
    <row r="313">
      <c r="A313" s="19" t="inlineStr">
        <is>
          <t xml:space="preserve">ID </t>
        </is>
      </c>
      <c r="B313" s="20" t="n">
        <v>284269</v>
      </c>
      <c r="C313" s="20" t="n">
        <v>142135</v>
      </c>
      <c r="D313" s="20" t="inlineStr">
        <is>
          <t>0.000120</t>
        </is>
      </c>
      <c r="E313" s="20" t="inlineStr">
        <is>
          <t>0.100 SOL</t>
        </is>
      </c>
      <c r="F313" s="20" t="inlineStr">
        <is>
          <t>0.141 SOL</t>
        </is>
      </c>
      <c r="G313" s="22" t="inlineStr">
        <is>
          <t>0.041 SOL</t>
        </is>
      </c>
      <c r="H313" s="22" t="inlineStr">
        <is>
          <t>41.06%</t>
        </is>
      </c>
      <c r="I313" s="20" t="inlineStr">
        <is>
          <t>N/A</t>
        </is>
      </c>
      <c r="J313" s="20" t="n">
        <v>1</v>
      </c>
      <c r="K313" s="20" t="n">
        <v>1</v>
      </c>
      <c r="L313" s="20" t="inlineStr">
        <is>
          <t>29.09.2024 03:03:22</t>
        </is>
      </c>
      <c r="M313" s="20" t="inlineStr">
        <is>
          <t>10 min</t>
        </is>
      </c>
      <c r="N313" s="20" t="inlineStr">
        <is>
          <t xml:space="preserve">         61K           174K             4K</t>
        </is>
      </c>
      <c r="O313" s="20" t="inlineStr">
        <is>
          <t>BmRh5KG7varzXM5KEzPYS7h6Ymon8efkcgsefhDFpump</t>
        </is>
      </c>
      <c r="P313" s="20">
        <f>HYPERLINK("https://dexscreener.com/solana/BmRh5KG7varzXM5KEzPYS7h6Ymon8efkcgsefhDFpump", "View")</f>
        <v/>
      </c>
    </row>
    <row r="314">
      <c r="A314" s="15" t="inlineStr">
        <is>
          <t>LOLCAT</t>
        </is>
      </c>
      <c r="B314" s="16" t="n">
        <v>198703</v>
      </c>
      <c r="C314" s="16" t="n">
        <v>198703</v>
      </c>
      <c r="D314" s="16" t="inlineStr">
        <is>
          <t>0.000170</t>
        </is>
      </c>
      <c r="E314" s="16" t="inlineStr">
        <is>
          <t>0.100 SOL</t>
        </is>
      </c>
      <c r="F314" s="16" t="inlineStr">
        <is>
          <t>0.489 SOL</t>
        </is>
      </c>
      <c r="G314" s="23" t="inlineStr">
        <is>
          <t>0.389 SOL</t>
        </is>
      </c>
      <c r="H314" s="23" t="inlineStr">
        <is>
          <t>388.43%</t>
        </is>
      </c>
      <c r="I314" s="16" t="inlineStr">
        <is>
          <t>N/A</t>
        </is>
      </c>
      <c r="J314" s="16" t="n">
        <v>1</v>
      </c>
      <c r="K314" s="16" t="n">
        <v>2</v>
      </c>
      <c r="L314" s="16" t="inlineStr">
        <is>
          <t>28.09.2024 16:41:26</t>
        </is>
      </c>
      <c r="M314" s="16" t="inlineStr">
        <is>
          <t>31 min</t>
        </is>
      </c>
      <c r="N314" s="16" t="inlineStr">
        <is>
          <t xml:space="preserve">         70K           464K            36K</t>
        </is>
      </c>
      <c r="O314" s="16" t="inlineStr">
        <is>
          <t>FNLK4bSwHNrVCeCXCKjY5y6ZCbYM25saKLD6cHhBpump</t>
        </is>
      </c>
      <c r="P314" s="16">
        <f>HYPERLINK("https://dexscreener.com/solana/FNLK4bSwHNrVCeCXCKjY5y6ZCbYM25saKLD6cHhBpump", "View")</f>
        <v/>
      </c>
    </row>
    <row r="315">
      <c r="A315" s="19" t="inlineStr">
        <is>
          <t>nala</t>
        </is>
      </c>
      <c r="B315" s="20" t="n">
        <v>55760</v>
      </c>
      <c r="C315" s="20" t="n">
        <v>55760</v>
      </c>
      <c r="D315" s="20" t="inlineStr">
        <is>
          <t>0.000160</t>
        </is>
      </c>
      <c r="E315" s="20" t="inlineStr">
        <is>
          <t>0.100 SOL</t>
        </is>
      </c>
      <c r="F315" s="20" t="inlineStr">
        <is>
          <t>0.175 SOL</t>
        </is>
      </c>
      <c r="G315" s="23" t="inlineStr">
        <is>
          <t>0.074 SOL</t>
        </is>
      </c>
      <c r="H315" s="23" t="inlineStr">
        <is>
          <t>74.32%</t>
        </is>
      </c>
      <c r="I315" s="20" t="inlineStr">
        <is>
          <t>N/A</t>
        </is>
      </c>
      <c r="J315" s="20" t="n">
        <v>1</v>
      </c>
      <c r="K315" s="20" t="n">
        <v>2</v>
      </c>
      <c r="L315" s="20" t="inlineStr">
        <is>
          <t>28.09.2024 15:57:18</t>
        </is>
      </c>
      <c r="M315" s="20" t="inlineStr">
        <is>
          <t>11 min</t>
        </is>
      </c>
      <c r="N315" s="20" t="inlineStr">
        <is>
          <t xml:space="preserve">        314K           525K            12K</t>
        </is>
      </c>
      <c r="O315" s="20" t="inlineStr">
        <is>
          <t>11W8vakvavnP9aryEK8jmDDsdeWE6S6SGu8Fjkipump</t>
        </is>
      </c>
      <c r="P315" s="20">
        <f>HYPERLINK("https://dexscreener.com/solana/11W8vakvavnP9aryEK8jmDDsdeWE6S6SGu8Fjkipump", "View")</f>
        <v/>
      </c>
    </row>
    <row r="316">
      <c r="A316" s="15" t="inlineStr">
        <is>
          <t>Fiona</t>
        </is>
      </c>
      <c r="B316" s="16" t="n">
        <v>194498</v>
      </c>
      <c r="C316" s="16" t="n">
        <v>0</v>
      </c>
      <c r="D316" s="16" t="inlineStr">
        <is>
          <t>0.000060</t>
        </is>
      </c>
      <c r="E316" s="16" t="inlineStr">
        <is>
          <t>0.100 SOL</t>
        </is>
      </c>
      <c r="F316" s="16" t="inlineStr">
        <is>
          <t>0.000 SOL</t>
        </is>
      </c>
      <c r="G316" s="17" t="inlineStr">
        <is>
          <t>-0.100 SOL</t>
        </is>
      </c>
      <c r="H316" s="17" t="inlineStr">
        <is>
          <t>0.00%</t>
        </is>
      </c>
      <c r="I316" s="16" t="inlineStr">
        <is>
          <t>194,498</t>
        </is>
      </c>
      <c r="J316" s="16" t="n">
        <v>1</v>
      </c>
      <c r="K316" s="16" t="n">
        <v>0</v>
      </c>
      <c r="L316" s="16" t="inlineStr">
        <is>
          <t>28.09.2024 13:42:27</t>
        </is>
      </c>
      <c r="M316" s="18" t="inlineStr">
        <is>
          <t>0 sec</t>
        </is>
      </c>
      <c r="N316" s="16" t="inlineStr">
        <is>
          <t xml:space="preserve">         90K            90K             3K</t>
        </is>
      </c>
      <c r="O316" s="16" t="inlineStr">
        <is>
          <t>EiXzPeaVRggVERLuXgbM919tHVfo3MKKuUnWT9Nppump</t>
        </is>
      </c>
      <c r="P316" s="16">
        <f>HYPERLINK("https://dexscreener.com/solana/EiXzPeaVRggVERLuXgbM919tHVfo3MKKuUnWT9Nppump", "View")</f>
        <v/>
      </c>
    </row>
    <row r="317">
      <c r="A317" s="19" t="inlineStr">
        <is>
          <t>moodeng</t>
        </is>
      </c>
      <c r="B317" s="20" t="n">
        <v>303955</v>
      </c>
      <c r="C317" s="20" t="n">
        <v>303955</v>
      </c>
      <c r="D317" s="20" t="inlineStr">
        <is>
          <t>0.000110</t>
        </is>
      </c>
      <c r="E317" s="20" t="inlineStr">
        <is>
          <t>0.104 SOL</t>
        </is>
      </c>
      <c r="F317" s="20" t="inlineStr">
        <is>
          <t>0.085 SOL</t>
        </is>
      </c>
      <c r="G317" s="21" t="inlineStr">
        <is>
          <t>-0.019 SOL</t>
        </is>
      </c>
      <c r="H317" s="21" t="inlineStr">
        <is>
          <t>-18.23%</t>
        </is>
      </c>
      <c r="I317" s="20" t="inlineStr">
        <is>
          <t>N/A</t>
        </is>
      </c>
      <c r="J317" s="20" t="n">
        <v>1</v>
      </c>
      <c r="K317" s="20" t="n">
        <v>1</v>
      </c>
      <c r="L317" s="20" t="inlineStr">
        <is>
          <t>28.09.2024 03:05:45</t>
        </is>
      </c>
      <c r="M317" s="20" t="inlineStr">
        <is>
          <t>42 min</t>
        </is>
      </c>
      <c r="N317" s="20" t="inlineStr">
        <is>
          <t xml:space="preserve">         60K            49K            11K</t>
        </is>
      </c>
      <c r="O317" s="20" t="inlineStr">
        <is>
          <t>BmFJfcX69jFkVqsyLeNkSaBJzmss2uWw9CEKyZNfpump</t>
        </is>
      </c>
      <c r="P317" s="20">
        <f>HYPERLINK("https://photon-sol.tinyastro.io/en/lp/BmFJfcX69jFkVqsyLeNkSaBJzmss2uWw9CEKyZNfpump?handle=676050794bc1b1657a56b", "View")</f>
        <v/>
      </c>
    </row>
    <row r="318">
      <c r="A318" s="15" t="inlineStr">
        <is>
          <t>PINJU</t>
        </is>
      </c>
      <c r="B318" s="16" t="n">
        <v>145915</v>
      </c>
      <c r="C318" s="16" t="n">
        <v>0</v>
      </c>
      <c r="D318" s="16" t="inlineStr">
        <is>
          <t>0.000060</t>
        </is>
      </c>
      <c r="E318" s="16" t="inlineStr">
        <is>
          <t>0.100 SOL</t>
        </is>
      </c>
      <c r="F318" s="16" t="inlineStr">
        <is>
          <t>0.000 SOL</t>
        </is>
      </c>
      <c r="G318" s="17" t="inlineStr">
        <is>
          <t>-0.100 SOL</t>
        </is>
      </c>
      <c r="H318" s="17" t="inlineStr">
        <is>
          <t>0.00%</t>
        </is>
      </c>
      <c r="I318" s="16" t="inlineStr">
        <is>
          <t>145,915</t>
        </is>
      </c>
      <c r="J318" s="16" t="n">
        <v>1</v>
      </c>
      <c r="K318" s="16" t="n">
        <v>0</v>
      </c>
      <c r="L318" s="16" t="inlineStr">
        <is>
          <t>27.09.2024 16:55:58</t>
        </is>
      </c>
      <c r="M318" s="18" t="inlineStr">
        <is>
          <t>0 sec</t>
        </is>
      </c>
      <c r="N318" s="16" t="inlineStr">
        <is>
          <t xml:space="preserve">        117K           117K             4K</t>
        </is>
      </c>
      <c r="O318" s="16" t="inlineStr">
        <is>
          <t>H7pRPRmbg7YkUUJ2AakDUKuVRvZ5aEdvcyrgBG9Tpump</t>
        </is>
      </c>
      <c r="P318" s="16">
        <f>HYPERLINK("https://dexscreener.com/solana/H7pRPRmbg7YkUUJ2AakDUKuVRvZ5aEdvcyrgBG9Tpump", "View")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2024-10-30T21:35:21Z</dcterms:created>
  <dcterms:modified xsi:type="dcterms:W3CDTF">2024-10-30T21:35:27Z</dcterms:modified>
</cp:coreProperties>
</file>