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USLAN\Downloads\"/>
    </mc:Choice>
  </mc:AlternateContent>
  <xr:revisionPtr revIDLastSave="0" documentId="13_ncr:1_{9DE716A0-B307-47DB-9B7C-512F77D0300D}" xr6:coauthVersionLast="47" xr6:coauthVersionMax="47" xr10:uidLastSave="{00000000-0000-0000-0000-000000000000}"/>
  <bookViews>
    <workbookView xWindow="6108" yWindow="2568" windowWidth="17280" windowHeight="8964" xr2:uid="{00000000-000D-0000-FFFF-FFFF00000000}"/>
  </bookViews>
  <sheets>
    <sheet name="ИДЗ_№3_вар_№3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5" i="2" l="1"/>
  <c r="K44" i="2"/>
  <c r="K43" i="2"/>
  <c r="K42" i="2"/>
  <c r="K41" i="2"/>
  <c r="K40" i="2"/>
  <c r="S16" i="2"/>
  <c r="J45" i="2" s="1"/>
  <c r="R16" i="2"/>
  <c r="J44" i="2" s="1"/>
  <c r="Q16" i="2"/>
  <c r="J43" i="2" s="1"/>
  <c r="L43" i="2" s="1"/>
  <c r="P16" i="2"/>
  <c r="J42" i="2" s="1"/>
  <c r="O16" i="2"/>
  <c r="J41" i="2" s="1"/>
  <c r="M16" i="2"/>
  <c r="J39" i="2" s="1"/>
  <c r="N16" i="2"/>
  <c r="J40" i="2" s="1"/>
  <c r="L16" i="2"/>
  <c r="J38" i="2" s="1"/>
  <c r="K16" i="2"/>
  <c r="J37" i="2" s="1"/>
  <c r="K27" i="2"/>
  <c r="S11" i="2"/>
  <c r="R11" i="2"/>
  <c r="Q11" i="2"/>
  <c r="P11" i="2"/>
  <c r="O11" i="2"/>
  <c r="P31" i="2" s="1"/>
  <c r="N11" i="2"/>
  <c r="M11" i="2"/>
  <c r="K39" i="2" s="1"/>
  <c r="L11" i="2"/>
  <c r="K38" i="2" s="1"/>
  <c r="K11" i="2"/>
  <c r="K37" i="2" s="1"/>
  <c r="K5" i="2"/>
  <c r="K6" i="2"/>
  <c r="K46" i="2" l="1"/>
  <c r="L38" i="2"/>
  <c r="L42" i="2"/>
  <c r="L39" i="2"/>
  <c r="L45" i="2"/>
  <c r="L41" i="2"/>
  <c r="L44" i="2"/>
  <c r="L40" i="2"/>
  <c r="L37" i="2"/>
  <c r="K18" i="2"/>
  <c r="L18" i="2"/>
  <c r="P18" i="2"/>
  <c r="M18" i="2"/>
  <c r="R18" i="2"/>
  <c r="O18" i="2"/>
  <c r="S18" i="2"/>
  <c r="N18" i="2"/>
  <c r="Q18" i="2"/>
  <c r="K17" i="2"/>
  <c r="S17" i="2"/>
  <c r="N17" i="2"/>
  <c r="Q17" i="2"/>
  <c r="M17" i="2"/>
  <c r="R17" i="2"/>
  <c r="P17" i="2"/>
  <c r="L17" i="2"/>
  <c r="O17" i="2"/>
  <c r="K7" i="2"/>
  <c r="N13" i="2" s="1"/>
  <c r="T11" i="2"/>
  <c r="L46" i="2" l="1"/>
  <c r="K47" i="2" s="1"/>
  <c r="P39" i="2" s="1"/>
  <c r="M39" i="2"/>
  <c r="M43" i="2"/>
  <c r="P44" i="2"/>
  <c r="P40" i="2"/>
  <c r="M38" i="2"/>
  <c r="M41" i="2"/>
  <c r="P37" i="2"/>
  <c r="M42" i="2"/>
  <c r="P38" i="2"/>
  <c r="M40" i="2"/>
  <c r="M45" i="2"/>
  <c r="P45" i="2"/>
  <c r="P42" i="2"/>
  <c r="M44" i="2"/>
  <c r="M37" i="2"/>
  <c r="P41" i="2"/>
  <c r="T18" i="2"/>
  <c r="T19" i="2" s="1"/>
  <c r="T17" i="2"/>
  <c r="T15" i="2" s="1"/>
  <c r="L13" i="2"/>
  <c r="P13" i="2"/>
  <c r="O13" i="2"/>
  <c r="R13" i="2"/>
  <c r="Q13" i="2"/>
  <c r="S13" i="2"/>
  <c r="K13" i="2"/>
  <c r="M13" i="2"/>
  <c r="K12" i="2"/>
  <c r="K14" i="2" s="1"/>
  <c r="P30" i="2"/>
  <c r="P27" i="2" s="1"/>
  <c r="M12" i="2"/>
  <c r="M14" i="2" s="1"/>
  <c r="P12" i="2"/>
  <c r="P14" i="2" s="1"/>
  <c r="O12" i="2"/>
  <c r="O14" i="2" s="1"/>
  <c r="L12" i="2"/>
  <c r="Q12" i="2"/>
  <c r="Q14" i="2" s="1"/>
  <c r="N12" i="2"/>
  <c r="N14" i="2" s="1"/>
  <c r="R12" i="2"/>
  <c r="R14" i="2" s="1"/>
  <c r="S12" i="2"/>
  <c r="S14" i="2" s="1"/>
  <c r="P43" i="2" l="1"/>
  <c r="T20" i="2"/>
  <c r="T21" i="2" s="1"/>
  <c r="M46" i="2"/>
  <c r="M48" i="2" s="1"/>
  <c r="P46" i="2"/>
  <c r="P47" i="2" s="1"/>
  <c r="T12" i="2"/>
  <c r="L14" i="2"/>
  <c r="P48" i="2" l="1"/>
  <c r="P35" i="2" s="1"/>
  <c r="M49" i="2"/>
  <c r="K35" i="2" s="1"/>
  <c r="T22" i="2"/>
  <c r="T23" i="2"/>
  <c r="K3" i="2"/>
  <c r="J3" i="2"/>
</calcChain>
</file>

<file path=xl/sharedStrings.xml><?xml version="1.0" encoding="utf-8"?>
<sst xmlns="http://schemas.openxmlformats.org/spreadsheetml/2006/main" count="80" uniqueCount="77">
  <si>
    <t>Мода</t>
  </si>
  <si>
    <t>Медиана</t>
  </si>
  <si>
    <t>Среднее</t>
  </si>
  <si>
    <t>Диапазон</t>
  </si>
  <si>
    <t>[-9;-36]</t>
  </si>
  <si>
    <t>МИНИМУМ</t>
  </si>
  <si>
    <t>МАКСИМУМ</t>
  </si>
  <si>
    <t>Формула подсчёта кол-ва интервалов       k=1+3,32*lgn</t>
  </si>
  <si>
    <t>∆x = x max - x min</t>
  </si>
  <si>
    <t>k*h = ∆x</t>
  </si>
  <si>
    <t>3 * -9 = -27</t>
  </si>
  <si>
    <t>(xi-1;xi]</t>
  </si>
  <si>
    <t>сумм</t>
  </si>
  <si>
    <t>[-36;-33]</t>
  </si>
  <si>
    <t>(-33;-30]</t>
  </si>
  <si>
    <t>(-30;-27]</t>
  </si>
  <si>
    <t>(-27;-24]</t>
  </si>
  <si>
    <t>(-24;-21]</t>
  </si>
  <si>
    <t>(-18;-15]</t>
  </si>
  <si>
    <t>(-21;-18]</t>
  </si>
  <si>
    <t>(-15;-12]</t>
  </si>
  <si>
    <t>(-12;-9]</t>
  </si>
  <si>
    <t>ni (частота наблюдения)</t>
  </si>
  <si>
    <t>wi (относительные частоты)</t>
  </si>
  <si>
    <t>h = ∆x/k (длина интервалов)</t>
  </si>
  <si>
    <t>ni/h (плотность частоты)</t>
  </si>
  <si>
    <t>wi/h (плотность относ. частоты)</t>
  </si>
  <si>
    <t>Начало интервала с наибольшей частотой xi</t>
  </si>
  <si>
    <t>Наибольшая частота ni</t>
  </si>
  <si>
    <t>Длина интервалов h</t>
  </si>
  <si>
    <t>Частоты смежных интервалов</t>
  </si>
  <si>
    <t>ni-1</t>
  </si>
  <si>
    <t>ni+1</t>
  </si>
  <si>
    <t>Начало медианного интервала</t>
  </si>
  <si>
    <t xml:space="preserve">Длина интервалов h </t>
  </si>
  <si>
    <t>Объём выборки</t>
  </si>
  <si>
    <t>Частота медианного интервала</t>
  </si>
  <si>
    <t xml:space="preserve">Сумма частот предшествующих интервалов </t>
  </si>
  <si>
    <t>xi * ni</t>
  </si>
  <si>
    <t>xi (Среднее, для каждого интервала)</t>
  </si>
  <si>
    <t>Выборочное (точечное) среднее xв</t>
  </si>
  <si>
    <t>xi^2*ni</t>
  </si>
  <si>
    <t>(xi^2*ni)/n</t>
  </si>
  <si>
    <t>Среднее квадратическое отклонение</t>
  </si>
  <si>
    <t>Дисперсия D</t>
  </si>
  <si>
    <r>
      <t xml:space="preserve">Среднее квадратическое отклонение </t>
    </r>
    <r>
      <rPr>
        <sz val="16"/>
        <color rgb="FF000000"/>
        <rFont val="Calibri"/>
        <family val="2"/>
        <charset val="204"/>
      </rPr>
      <t>σ</t>
    </r>
  </si>
  <si>
    <t>Исправленная выборочная дисперсия S^2</t>
  </si>
  <si>
    <t>Исправленное выборочное отклонение S</t>
  </si>
  <si>
    <t>xi</t>
  </si>
  <si>
    <t>ni</t>
  </si>
  <si>
    <t>xi*ni</t>
  </si>
  <si>
    <t>(xi - хв)^3 *n</t>
  </si>
  <si>
    <t>Сумма</t>
  </si>
  <si>
    <t>Ассиметрия незначительна</t>
  </si>
  <si>
    <t>Распределение скошено влево</t>
  </si>
  <si>
    <t>m3 (центральный эмпирический момент 3-го порядка)</t>
  </si>
  <si>
    <t>σ ^3 (Куб стандартного выборочного отклонения)</t>
  </si>
  <si>
    <t>(xi - xв)^4 *ni</t>
  </si>
  <si>
    <t xml:space="preserve">m4 </t>
  </si>
  <si>
    <t>σ ^ 4</t>
  </si>
  <si>
    <t>Распределение более высокое, отсровершинное</t>
  </si>
  <si>
    <t>Коэффициент эксцесса (Е)</t>
  </si>
  <si>
    <t>Коэффициент ассиметрии (А)</t>
  </si>
  <si>
    <t>Дисперсия</t>
  </si>
  <si>
    <t>Ассиметрия</t>
  </si>
  <si>
    <t>Эксцесс</t>
  </si>
  <si>
    <t>Исправленная дисперсия S^2</t>
  </si>
  <si>
    <t>(n/(n-1)) * D</t>
  </si>
  <si>
    <t>D</t>
  </si>
  <si>
    <t xml:space="preserve"> xв</t>
  </si>
  <si>
    <t>A</t>
  </si>
  <si>
    <t>E</t>
  </si>
  <si>
    <t xml:space="preserve"> σ</t>
  </si>
  <si>
    <t>Исправленное среднее квадратическое отклонение</t>
  </si>
  <si>
    <r>
      <rPr>
        <sz val="16"/>
        <color rgb="FF000000"/>
        <rFont val="Arial"/>
        <family val="2"/>
        <charset val="204"/>
        <scheme val="minor"/>
      </rPr>
      <t xml:space="preserve">σ = </t>
    </r>
    <r>
      <rPr>
        <sz val="16"/>
        <color rgb="FF000000"/>
        <rFont val="Calibri"/>
        <family val="2"/>
        <charset val="204"/>
      </rPr>
      <t>√D</t>
    </r>
  </si>
  <si>
    <t>S = √S^2</t>
  </si>
  <si>
    <t>Мода М0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</si>
</sst>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0000"/>
      <name val="Arial"/>
      <family val="2"/>
      <charset val="204"/>
      <scheme val="minor"/>
    </font>
    <font>
      <sz val="12"/>
      <color rgb="FF000000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16"/>
      <color rgb="FF000000"/>
      <name val="Calibri"/>
      <family val="2"/>
      <charset val="204"/>
    </font>
    <font>
      <sz val="14"/>
      <color rgb="FF000000"/>
      <name val="Arial"/>
      <family val="2"/>
      <charset val="204"/>
      <scheme val="minor"/>
    </font>
    <font>
      <sz val="16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1" fillId="0" borderId="0" xfId="0" applyNumberFormat="1" applyFont="1" applyAlignment="1">
      <alignment horizontal="center" vertical="center"/>
    </xf>
    <xf numFmtId="2" fontId="0" fillId="0" borderId="0" xfId="0" applyNumberFormat="1" applyFont="1" applyAlignment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2" fontId="0" fillId="0" borderId="1" xfId="0" applyNumberFormat="1" applyBorder="1"/>
    <xf numFmtId="0" fontId="4" fillId="0" borderId="1" xfId="0" applyFont="1" applyBorder="1" applyAlignment="1"/>
    <xf numFmtId="0" fontId="0" fillId="0" borderId="4" xfId="0" applyFont="1" applyBorder="1" applyAlignment="1"/>
    <xf numFmtId="0" fontId="0" fillId="0" borderId="1" xfId="0" applyFont="1" applyFill="1" applyBorder="1" applyAlignment="1">
      <alignment vertical="center"/>
    </xf>
    <xf numFmtId="164" fontId="0" fillId="0" borderId="1" xfId="0" applyNumberFormat="1" applyFont="1" applyBorder="1" applyAlignment="1"/>
    <xf numFmtId="0" fontId="4" fillId="0" borderId="0" xfId="0" applyFont="1" applyAlignment="1"/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6" xfId="0" applyFont="1" applyBorder="1" applyAlignment="1"/>
    <xf numFmtId="0" fontId="0" fillId="0" borderId="15" xfId="0" applyFont="1" applyBorder="1" applyAlignment="1"/>
    <xf numFmtId="0" fontId="0" fillId="0" borderId="14" xfId="0" applyFont="1" applyBorder="1" applyAlignment="1"/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/>
    <xf numFmtId="0" fontId="4" fillId="0" borderId="12" xfId="0" applyFont="1" applyBorder="1" applyAlignment="1"/>
    <xf numFmtId="0" fontId="4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8" xfId="0" applyFont="1" applyBorder="1" applyAlignment="1"/>
    <xf numFmtId="0" fontId="4" fillId="0" borderId="20" xfId="0" applyFont="1" applyBorder="1" applyAlignment="1">
      <alignment horizontal="center" vertical="center" wrapText="1"/>
    </xf>
    <xf numFmtId="0" fontId="0" fillId="0" borderId="21" xfId="0" applyFont="1" applyBorder="1" applyAlignment="1"/>
    <xf numFmtId="0" fontId="4" fillId="0" borderId="22" xfId="0" applyFont="1" applyBorder="1" applyAlignment="1">
      <alignment wrapText="1"/>
    </xf>
    <xf numFmtId="0" fontId="4" fillId="0" borderId="16" xfId="0" applyFont="1" applyBorder="1" applyAlignment="1"/>
    <xf numFmtId="0" fontId="4" fillId="0" borderId="23" xfId="0" applyFont="1" applyBorder="1" applyAlignment="1"/>
    <xf numFmtId="0" fontId="4" fillId="0" borderId="30" xfId="0" applyFont="1" applyBorder="1" applyAlignment="1">
      <alignment horizontal="right" vertical="center"/>
    </xf>
    <xf numFmtId="0" fontId="4" fillId="0" borderId="31" xfId="0" applyFont="1" applyBorder="1" applyAlignment="1">
      <alignment horizontal="right" vertical="center"/>
    </xf>
    <xf numFmtId="0" fontId="4" fillId="0" borderId="16" xfId="0" applyFont="1" applyBorder="1" applyAlignment="1">
      <alignment horizontal="right" vertical="center"/>
    </xf>
    <xf numFmtId="0" fontId="0" fillId="0" borderId="0" xfId="0" applyFont="1" applyFill="1" applyBorder="1" applyAlignment="1"/>
    <xf numFmtId="0" fontId="0" fillId="0" borderId="0" xfId="0" applyBorder="1"/>
    <xf numFmtId="0" fontId="4" fillId="0" borderId="9" xfId="0" applyFont="1" applyBorder="1" applyAlignment="1"/>
    <xf numFmtId="0" fontId="0" fillId="0" borderId="5" xfId="0" applyFont="1" applyBorder="1" applyAlignment="1"/>
    <xf numFmtId="0" fontId="0" fillId="0" borderId="13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7" fillId="0" borderId="12" xfId="0" applyFont="1" applyBorder="1" applyAlignment="1"/>
    <xf numFmtId="0" fontId="6" fillId="0" borderId="12" xfId="0" applyFont="1" applyBorder="1" applyAlignment="1"/>
    <xf numFmtId="0" fontId="4" fillId="0" borderId="9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2301004451646065E-2"/>
          <c:y val="0.10874899634830894"/>
          <c:w val="0.88174171741194718"/>
          <c:h val="0.8250376258196735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ИДЗ_№3_вар_№3!$K$10:$S$10</c:f>
              <c:strCache>
                <c:ptCount val="9"/>
                <c:pt idx="0">
                  <c:v>[-36;-33]</c:v>
                </c:pt>
                <c:pt idx="1">
                  <c:v>(-33;-30]</c:v>
                </c:pt>
                <c:pt idx="2">
                  <c:v>(-30;-27]</c:v>
                </c:pt>
                <c:pt idx="3">
                  <c:v>(-27;-24]</c:v>
                </c:pt>
                <c:pt idx="4">
                  <c:v>(-24;-21]</c:v>
                </c:pt>
                <c:pt idx="5">
                  <c:v>(-21;-18]</c:v>
                </c:pt>
                <c:pt idx="6">
                  <c:v>(-18;-15]</c:v>
                </c:pt>
                <c:pt idx="7">
                  <c:v>(-15;-12]</c:v>
                </c:pt>
                <c:pt idx="8">
                  <c:v>(-12;-9]</c:v>
                </c:pt>
              </c:strCache>
            </c:strRef>
          </c:cat>
          <c:val>
            <c:numRef>
              <c:f>ИДЗ_№3_вар_№3!$K$14:$S$14</c:f>
              <c:numCache>
                <c:formatCode>General</c:formatCode>
                <c:ptCount val="9"/>
                <c:pt idx="0">
                  <c:v>7.619047619047619E-3</c:v>
                </c:pt>
                <c:pt idx="1">
                  <c:v>1.7142857142857144E-2</c:v>
                </c:pt>
                <c:pt idx="2">
                  <c:v>1.9047619047619046E-2</c:v>
                </c:pt>
                <c:pt idx="3">
                  <c:v>6.8571428571428575E-2</c:v>
                </c:pt>
                <c:pt idx="4">
                  <c:v>7.8095238095238093E-2</c:v>
                </c:pt>
                <c:pt idx="5">
                  <c:v>6.8571428571428575E-2</c:v>
                </c:pt>
                <c:pt idx="6">
                  <c:v>4.3809523809523805E-2</c:v>
                </c:pt>
                <c:pt idx="7">
                  <c:v>1.9047619047619046E-2</c:v>
                </c:pt>
                <c:pt idx="8">
                  <c:v>1.1428571428571429E-2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8-44D0-8DAA-65757AC20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5801600"/>
        <c:axId val="1615802016"/>
      </c:barChart>
      <c:catAx>
        <c:axId val="161580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5802016"/>
        <c:crosses val="autoZero"/>
        <c:auto val="1"/>
        <c:lblAlgn val="ctr"/>
        <c:lblOffset val="100"/>
        <c:noMultiLvlLbl val="0"/>
      </c:catAx>
      <c:valAx>
        <c:axId val="16158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580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gif"/><Relationship Id="rId3" Type="http://schemas.openxmlformats.org/officeDocument/2006/relationships/image" Target="../media/image2.gif"/><Relationship Id="rId7" Type="http://schemas.openxmlformats.org/officeDocument/2006/relationships/image" Target="../media/image6.gif"/><Relationship Id="rId2" Type="http://schemas.openxmlformats.org/officeDocument/2006/relationships/image" Target="../media/image1.gif"/><Relationship Id="rId1" Type="http://schemas.openxmlformats.org/officeDocument/2006/relationships/chart" Target="../charts/chart1.xml"/><Relationship Id="rId6" Type="http://schemas.openxmlformats.org/officeDocument/2006/relationships/image" Target="../media/image5.gif"/><Relationship Id="rId5" Type="http://schemas.openxmlformats.org/officeDocument/2006/relationships/image" Target="../media/image4.gif"/><Relationship Id="rId10" Type="http://schemas.openxmlformats.org/officeDocument/2006/relationships/image" Target="../media/image9.gif"/><Relationship Id="rId4" Type="http://schemas.openxmlformats.org/officeDocument/2006/relationships/image" Target="../media/image3.gif"/><Relationship Id="rId9" Type="http://schemas.openxmlformats.org/officeDocument/2006/relationships/image" Target="../media/image8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169107</xdr:colOff>
      <xdr:row>25</xdr:row>
      <xdr:rowOff>42786</xdr:rowOff>
    </xdr:from>
    <xdr:to>
      <xdr:col>22</xdr:col>
      <xdr:colOff>396485</xdr:colOff>
      <xdr:row>41</xdr:row>
      <xdr:rowOff>60714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901695B-ADAB-4EC7-A368-1D528730D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27</xdr:row>
      <xdr:rowOff>26125</xdr:rowOff>
    </xdr:from>
    <xdr:to>
      <xdr:col>5</xdr:col>
      <xdr:colOff>5507</xdr:colOff>
      <xdr:row>27</xdr:row>
      <xdr:rowOff>446314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D88A824E-99A8-416A-90B1-067B87794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9868"/>
          <a:ext cx="1989909" cy="420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125506</xdr:colOff>
      <xdr:row>34</xdr:row>
      <xdr:rowOff>53788</xdr:rowOff>
    </xdr:from>
    <xdr:to>
      <xdr:col>1</xdr:col>
      <xdr:colOff>28687</xdr:colOff>
      <xdr:row>34</xdr:row>
      <xdr:rowOff>483966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624FF4DE-0919-41B1-9449-72E6D6D96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06" y="8265459"/>
          <a:ext cx="539675" cy="4301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44824</xdr:rowOff>
    </xdr:from>
    <xdr:to>
      <xdr:col>3</xdr:col>
      <xdr:colOff>17482</xdr:colOff>
      <xdr:row>38</xdr:row>
      <xdr:rowOff>140618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262993E1-F7D0-4689-8D19-F84224E5A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7483"/>
          <a:ext cx="1317364" cy="6157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98612</xdr:colOff>
      <xdr:row>42</xdr:row>
      <xdr:rowOff>98613</xdr:rowOff>
    </xdr:from>
    <xdr:to>
      <xdr:col>1</xdr:col>
      <xdr:colOff>222773</xdr:colOff>
      <xdr:row>45</xdr:row>
      <xdr:rowOff>10760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5686F413-9C73-41FE-BA90-F843FED0C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12" y="10022542"/>
          <a:ext cx="760655" cy="43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107577</xdr:colOff>
      <xdr:row>45</xdr:row>
      <xdr:rowOff>89647</xdr:rowOff>
    </xdr:from>
    <xdr:to>
      <xdr:col>3</xdr:col>
      <xdr:colOff>132679</xdr:colOff>
      <xdr:row>48</xdr:row>
      <xdr:rowOff>163668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FA8605A3-5F27-4F6D-AC24-EA757D6C9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77" y="10533529"/>
          <a:ext cx="1324984" cy="611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2</xdr:col>
      <xdr:colOff>250116</xdr:colOff>
      <xdr:row>29</xdr:row>
      <xdr:rowOff>269965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7B0E3032-4785-43F4-AF50-866BEA90C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66460"/>
          <a:ext cx="122682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80683</xdr:colOff>
      <xdr:row>31</xdr:row>
      <xdr:rowOff>8965</xdr:rowOff>
    </xdr:from>
    <xdr:to>
      <xdr:col>1</xdr:col>
      <xdr:colOff>89648</xdr:colOff>
      <xdr:row>31</xdr:row>
      <xdr:rowOff>617669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B3E0A96F-E517-476C-A087-F3E2BB7472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6809"/>
        <a:stretch/>
      </xdr:blipFill>
      <xdr:spPr bwMode="auto">
        <a:xfrm>
          <a:off x="80683" y="7198659"/>
          <a:ext cx="645459" cy="608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71719</xdr:rowOff>
    </xdr:from>
    <xdr:to>
      <xdr:col>7</xdr:col>
      <xdr:colOff>313716</xdr:colOff>
      <xdr:row>67</xdr:row>
      <xdr:rowOff>91441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976652FB-6798-4FFA-BB1E-2CFD127F9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4566"/>
          <a:ext cx="2940375" cy="530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53788</xdr:colOff>
      <xdr:row>71</xdr:row>
      <xdr:rowOff>35858</xdr:rowOff>
    </xdr:from>
    <xdr:to>
      <xdr:col>5</xdr:col>
      <xdr:colOff>147991</xdr:colOff>
      <xdr:row>74</xdr:row>
      <xdr:rowOff>166743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551DA4D1-052A-4CCA-82A4-03117C5E6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88" y="15491011"/>
          <a:ext cx="2057474" cy="641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ED5DD-D9DF-4940-87D5-D28B3445EB20}">
  <dimension ref="A1:V75"/>
  <sheetViews>
    <sheetView tabSelected="1" topLeftCell="A16" zoomScale="70" zoomScaleNormal="70" workbookViewId="0">
      <selection activeCell="J64" sqref="J64"/>
    </sheetView>
  </sheetViews>
  <sheetFormatPr defaultRowHeight="13.2" x14ac:dyDescent="0.25"/>
  <cols>
    <col min="1" max="1" width="9.21875" customWidth="1"/>
    <col min="2" max="8" width="4.88671875" customWidth="1"/>
    <col min="9" max="9" width="8.6640625" customWidth="1"/>
    <col min="10" max="10" width="27.44140625" customWidth="1"/>
    <col min="11" max="11" width="12.6640625" customWidth="1"/>
    <col min="12" max="12" width="13.77734375" customWidth="1"/>
    <col min="13" max="13" width="14.21875" customWidth="1"/>
    <col min="14" max="14" width="17.44140625" customWidth="1"/>
    <col min="15" max="15" width="13.21875" customWidth="1"/>
    <col min="16" max="16" width="12.6640625" customWidth="1"/>
    <col min="17" max="17" width="16.88671875" customWidth="1"/>
    <col min="18" max="32" width="12.6640625" customWidth="1"/>
  </cols>
  <sheetData>
    <row r="1" spans="1:22" x14ac:dyDescent="0.25">
      <c r="A1" s="1">
        <v>-29</v>
      </c>
      <c r="B1" s="1">
        <v>-22</v>
      </c>
      <c r="C1" s="2">
        <v>-16</v>
      </c>
      <c r="D1" s="2">
        <v>-20</v>
      </c>
      <c r="E1" s="2">
        <v>-16</v>
      </c>
      <c r="F1" s="2">
        <v>-18</v>
      </c>
      <c r="G1" s="2">
        <v>-28</v>
      </c>
      <c r="K1" s="3"/>
    </row>
    <row r="2" spans="1:22" x14ac:dyDescent="0.25">
      <c r="A2" s="2">
        <v>-20</v>
      </c>
      <c r="B2" s="2">
        <v>-32</v>
      </c>
      <c r="C2" s="2">
        <v>-22</v>
      </c>
      <c r="D2" s="2">
        <v>-23</v>
      </c>
      <c r="E2" s="2">
        <v>-26</v>
      </c>
      <c r="F2" s="2">
        <v>-10</v>
      </c>
      <c r="G2" s="2">
        <v>-25</v>
      </c>
      <c r="J2" t="s">
        <v>5</v>
      </c>
      <c r="K2" t="s">
        <v>6</v>
      </c>
    </row>
    <row r="3" spans="1:22" x14ac:dyDescent="0.25">
      <c r="A3" s="2">
        <v>-25</v>
      </c>
      <c r="B3" s="2">
        <v>-29</v>
      </c>
      <c r="C3" s="2">
        <v>-29</v>
      </c>
      <c r="D3" s="2">
        <v>-19</v>
      </c>
      <c r="E3" s="2">
        <v>-12</v>
      </c>
      <c r="F3" s="2">
        <v>-26</v>
      </c>
      <c r="G3" s="2">
        <v>-18</v>
      </c>
      <c r="J3" s="6">
        <f ca="1">MIN(A1:Y27)</f>
        <v>-36</v>
      </c>
      <c r="K3" s="6">
        <f ca="1">MAX(A1:Y27)</f>
        <v>-9</v>
      </c>
    </row>
    <row r="4" spans="1:22" x14ac:dyDescent="0.25">
      <c r="A4" s="2">
        <v>-20</v>
      </c>
      <c r="B4" s="2">
        <v>-9</v>
      </c>
      <c r="C4" s="2">
        <v>-24</v>
      </c>
      <c r="D4" s="2">
        <v>-20</v>
      </c>
      <c r="E4" s="1">
        <v>-19</v>
      </c>
      <c r="F4" s="1">
        <v>-26</v>
      </c>
      <c r="G4" s="2">
        <v>-23</v>
      </c>
      <c r="J4" t="s">
        <v>3</v>
      </c>
      <c r="K4" s="3" t="s">
        <v>4</v>
      </c>
    </row>
    <row r="5" spans="1:22" ht="52.8" customHeight="1" x14ac:dyDescent="0.25">
      <c r="A5" s="5">
        <v>-11</v>
      </c>
      <c r="B5" s="5">
        <v>-26</v>
      </c>
      <c r="C5" s="5">
        <v>-30</v>
      </c>
      <c r="D5" s="5">
        <v>-23</v>
      </c>
      <c r="E5" s="5">
        <v>-30</v>
      </c>
      <c r="F5" s="5">
        <v>-18</v>
      </c>
      <c r="G5" s="5">
        <v>-20</v>
      </c>
      <c r="J5" s="4" t="s">
        <v>7</v>
      </c>
      <c r="K5" s="3">
        <f>ROUNDUP(1+3.32*LOG(COUNT(A1:G25)),0)</f>
        <v>9</v>
      </c>
    </row>
    <row r="6" spans="1:22" x14ac:dyDescent="0.25">
      <c r="A6" s="2">
        <v>-13</v>
      </c>
      <c r="B6" s="2">
        <v>-17</v>
      </c>
      <c r="C6" s="2">
        <v>-24</v>
      </c>
      <c r="D6" s="2">
        <v>-28</v>
      </c>
      <c r="E6" s="2">
        <v>-26</v>
      </c>
      <c r="F6" s="2">
        <v>-21</v>
      </c>
      <c r="G6" s="2">
        <v>-21</v>
      </c>
      <c r="J6" t="s">
        <v>8</v>
      </c>
      <c r="K6" s="3">
        <f>-36 + 9</f>
        <v>-27</v>
      </c>
    </row>
    <row r="7" spans="1:22" x14ac:dyDescent="0.25">
      <c r="A7" s="2">
        <v>-26</v>
      </c>
      <c r="B7" s="2">
        <v>-24</v>
      </c>
      <c r="C7" s="2">
        <v>-36</v>
      </c>
      <c r="D7" s="2">
        <v>-23</v>
      </c>
      <c r="E7" s="2">
        <v>-24</v>
      </c>
      <c r="F7" s="2">
        <v>-25</v>
      </c>
      <c r="G7" s="2">
        <v>-20</v>
      </c>
      <c r="J7" t="s">
        <v>24</v>
      </c>
      <c r="K7" s="3">
        <f>K6/K5 *(-1)</f>
        <v>3</v>
      </c>
    </row>
    <row r="8" spans="1:22" x14ac:dyDescent="0.25">
      <c r="A8" s="2">
        <v>-23</v>
      </c>
      <c r="B8" s="1">
        <v>-17</v>
      </c>
      <c r="C8" s="1">
        <v>-11</v>
      </c>
      <c r="D8" s="2">
        <v>-22</v>
      </c>
      <c r="E8" s="2">
        <v>-19</v>
      </c>
      <c r="F8" s="2">
        <v>-19</v>
      </c>
      <c r="G8" s="2">
        <v>-25</v>
      </c>
      <c r="J8" t="s">
        <v>9</v>
      </c>
      <c r="K8" s="3" t="s">
        <v>10</v>
      </c>
    </row>
    <row r="9" spans="1:22" x14ac:dyDescent="0.25">
      <c r="A9" s="2">
        <v>-29</v>
      </c>
      <c r="B9" s="2">
        <v>-23</v>
      </c>
      <c r="C9" s="2">
        <v>-16</v>
      </c>
      <c r="D9" s="2">
        <v>-25</v>
      </c>
      <c r="E9" s="2">
        <v>-15</v>
      </c>
      <c r="F9" s="2">
        <v>-18</v>
      </c>
      <c r="G9" s="2">
        <v>-17</v>
      </c>
      <c r="K9" s="3"/>
    </row>
    <row r="10" spans="1:22" x14ac:dyDescent="0.25">
      <c r="A10" s="2">
        <v>-19</v>
      </c>
      <c r="B10" s="2">
        <v>-21</v>
      </c>
      <c r="C10" s="2">
        <v>-12</v>
      </c>
      <c r="D10" s="2">
        <v>-24</v>
      </c>
      <c r="E10" s="2">
        <v>-30</v>
      </c>
      <c r="F10" s="2">
        <v>-33</v>
      </c>
      <c r="G10" s="2">
        <v>-22</v>
      </c>
      <c r="J10" s="7" t="s">
        <v>11</v>
      </c>
      <c r="K10" s="9" t="s">
        <v>13</v>
      </c>
      <c r="L10" s="9" t="s">
        <v>14</v>
      </c>
      <c r="M10" s="9" t="s">
        <v>15</v>
      </c>
      <c r="N10" s="9" t="s">
        <v>16</v>
      </c>
      <c r="O10" s="9" t="s">
        <v>17</v>
      </c>
      <c r="P10" s="9" t="s">
        <v>19</v>
      </c>
      <c r="Q10" s="9" t="s">
        <v>18</v>
      </c>
      <c r="R10" s="9" t="s">
        <v>20</v>
      </c>
      <c r="S10" s="9" t="s">
        <v>21</v>
      </c>
      <c r="T10" s="7" t="s">
        <v>12</v>
      </c>
    </row>
    <row r="11" spans="1:22" x14ac:dyDescent="0.25">
      <c r="A11" s="2">
        <v>-15</v>
      </c>
      <c r="B11" s="2">
        <v>-18</v>
      </c>
      <c r="C11" s="2">
        <v>-26</v>
      </c>
      <c r="D11" s="2">
        <v>-22</v>
      </c>
      <c r="E11" s="2">
        <v>-19</v>
      </c>
      <c r="F11" s="1">
        <v>-25</v>
      </c>
      <c r="G11" s="1">
        <v>-23</v>
      </c>
      <c r="J11" s="7" t="s">
        <v>22</v>
      </c>
      <c r="K11" s="9">
        <f>COUNTIFS($A$1:$G$25,"&gt;=-36", $A$1:$G$25,"&lt;=-33")</f>
        <v>4</v>
      </c>
      <c r="L11" s="9">
        <f>COUNTIFS($A$1:$G$25,"&gt;-33", $A$1:$G$25,"&lt;=-30")</f>
        <v>9</v>
      </c>
      <c r="M11" s="9">
        <f>COUNTIFS($A$1:$G$25,"&gt;-30", $A$1:$G$25,"&lt;=-27")</f>
        <v>10</v>
      </c>
      <c r="N11" s="9">
        <f>COUNTIFS($A$1:$G$25,"&gt;-27", $A$1:$G$25,"&lt;=-24")</f>
        <v>36</v>
      </c>
      <c r="O11" s="9">
        <f>COUNTIFS($A$1:$G$25,"&gt;-24", $A$1:$G$25,"&lt;=-21")</f>
        <v>41</v>
      </c>
      <c r="P11" s="9">
        <f>COUNTIFS($A$1:$G$25,"&gt;-21", $A$1:$G$25,"&lt;=-18")</f>
        <v>36</v>
      </c>
      <c r="Q11" s="9">
        <f>COUNTIFS($A$1:$G$25,"&gt;-18", $A$1:$G$25,"&lt;=-15")</f>
        <v>23</v>
      </c>
      <c r="R11" s="9">
        <f>COUNTIFS($A$1:$G$25,"&gt;-15", $A$1:$G$25,"&lt;=-12")</f>
        <v>10</v>
      </c>
      <c r="S11" s="9">
        <f>COUNTIFS($A$1:$G$25,"&gt;-12", $A$1:$G$25,"&lt;=-9")</f>
        <v>6</v>
      </c>
      <c r="T11" s="7">
        <f>SUM(K11:S11)</f>
        <v>175</v>
      </c>
    </row>
    <row r="12" spans="1:22" x14ac:dyDescent="0.25">
      <c r="A12" s="2">
        <v>-21</v>
      </c>
      <c r="B12" s="2">
        <v>-22</v>
      </c>
      <c r="C12" s="2">
        <v>-22</v>
      </c>
      <c r="D12" s="2">
        <v>-25</v>
      </c>
      <c r="E12" s="2">
        <v>-16</v>
      </c>
      <c r="F12" s="2">
        <v>-25</v>
      </c>
      <c r="G12" s="2">
        <v>-19</v>
      </c>
      <c r="J12" s="7" t="s">
        <v>23</v>
      </c>
      <c r="K12" s="7">
        <f>K11/$T$11</f>
        <v>2.2857142857142857E-2</v>
      </c>
      <c r="L12" s="7">
        <f>L11/$T$11</f>
        <v>5.1428571428571428E-2</v>
      </c>
      <c r="M12" s="7">
        <f t="shared" ref="M12:S12" si="0">M11/$T$11</f>
        <v>5.7142857142857141E-2</v>
      </c>
      <c r="N12" s="7">
        <f t="shared" si="0"/>
        <v>0.20571428571428571</v>
      </c>
      <c r="O12" s="7">
        <f t="shared" si="0"/>
        <v>0.23428571428571429</v>
      </c>
      <c r="P12" s="7">
        <f t="shared" si="0"/>
        <v>0.20571428571428571</v>
      </c>
      <c r="Q12" s="7">
        <f t="shared" si="0"/>
        <v>0.13142857142857142</v>
      </c>
      <c r="R12" s="7">
        <f t="shared" si="0"/>
        <v>5.7142857142857141E-2</v>
      </c>
      <c r="S12" s="7">
        <f t="shared" si="0"/>
        <v>3.4285714285714287E-2</v>
      </c>
      <c r="T12" s="7">
        <f>SUM(K12:S12)</f>
        <v>1</v>
      </c>
    </row>
    <row r="13" spans="1:22" x14ac:dyDescent="0.25">
      <c r="A13" s="2">
        <v>-17</v>
      </c>
      <c r="B13" s="2">
        <v>-30</v>
      </c>
      <c r="C13" s="2">
        <v>-13</v>
      </c>
      <c r="D13" s="2">
        <v>-25</v>
      </c>
      <c r="E13" s="2">
        <v>-19</v>
      </c>
      <c r="F13" s="2">
        <v>-24</v>
      </c>
      <c r="G13" s="2">
        <v>-17</v>
      </c>
      <c r="J13" s="7" t="s">
        <v>25</v>
      </c>
      <c r="K13" s="8">
        <f>K11/$K$7</f>
        <v>1.3333333333333333</v>
      </c>
      <c r="L13" s="8">
        <f t="shared" ref="L13:S13" si="1">L11/$K$7</f>
        <v>3</v>
      </c>
      <c r="M13" s="8">
        <f t="shared" si="1"/>
        <v>3.3333333333333335</v>
      </c>
      <c r="N13" s="8">
        <f t="shared" si="1"/>
        <v>12</v>
      </c>
      <c r="O13" s="8">
        <f t="shared" si="1"/>
        <v>13.666666666666666</v>
      </c>
      <c r="P13" s="8">
        <f t="shared" si="1"/>
        <v>12</v>
      </c>
      <c r="Q13" s="8">
        <f t="shared" si="1"/>
        <v>7.666666666666667</v>
      </c>
      <c r="R13" s="8">
        <f t="shared" si="1"/>
        <v>3.3333333333333335</v>
      </c>
      <c r="S13" s="8">
        <f t="shared" si="1"/>
        <v>2</v>
      </c>
      <c r="T13" s="7"/>
    </row>
    <row r="14" spans="1:22" x14ac:dyDescent="0.25">
      <c r="A14" s="2">
        <v>-24</v>
      </c>
      <c r="B14" s="2">
        <v>-16</v>
      </c>
      <c r="C14" s="2">
        <v>-23</v>
      </c>
      <c r="D14" s="2">
        <v>-15</v>
      </c>
      <c r="E14" s="2">
        <v>-22</v>
      </c>
      <c r="F14" s="2">
        <v>-22</v>
      </c>
      <c r="G14" s="2">
        <v>-19</v>
      </c>
      <c r="J14" s="10" t="s">
        <v>26</v>
      </c>
      <c r="K14" s="7">
        <f>K12/$K$7</f>
        <v>7.619047619047619E-3</v>
      </c>
      <c r="L14" s="7">
        <f t="shared" ref="L14:S14" si="2">L12/$K$7</f>
        <v>1.7142857142857144E-2</v>
      </c>
      <c r="M14" s="7">
        <f t="shared" si="2"/>
        <v>1.9047619047619046E-2</v>
      </c>
      <c r="N14" s="7">
        <f t="shared" si="2"/>
        <v>6.8571428571428575E-2</v>
      </c>
      <c r="O14" s="7">
        <f t="shared" si="2"/>
        <v>7.8095238095238093E-2</v>
      </c>
      <c r="P14" s="7">
        <f t="shared" si="2"/>
        <v>6.8571428571428575E-2</v>
      </c>
      <c r="Q14" s="7">
        <f t="shared" si="2"/>
        <v>4.3809523809523805E-2</v>
      </c>
      <c r="R14" s="7">
        <f t="shared" si="2"/>
        <v>1.9047619047619046E-2</v>
      </c>
      <c r="S14" s="7">
        <f t="shared" si="2"/>
        <v>1.1428571428571429E-2</v>
      </c>
      <c r="T14" s="7"/>
    </row>
    <row r="15" spans="1:22" ht="23.4" customHeight="1" x14ac:dyDescent="0.25">
      <c r="A15" s="2">
        <v>-20</v>
      </c>
      <c r="B15" s="2">
        <v>-19</v>
      </c>
      <c r="C15" s="1">
        <v>-33</v>
      </c>
      <c r="D15" s="1">
        <v>-14</v>
      </c>
      <c r="E15" s="2">
        <v>-17</v>
      </c>
      <c r="F15" s="2">
        <v>-21</v>
      </c>
      <c r="G15" s="2">
        <v>-16</v>
      </c>
      <c r="J15" s="82" t="s">
        <v>40</v>
      </c>
      <c r="K15" s="82"/>
      <c r="L15" s="82"/>
      <c r="M15" s="82"/>
      <c r="N15" s="82"/>
      <c r="O15" s="82"/>
      <c r="P15" s="82"/>
      <c r="Q15" s="82"/>
      <c r="R15" s="82"/>
      <c r="S15" s="82"/>
      <c r="T15" s="7">
        <f>T17/T11</f>
        <v>-21.865714285714287</v>
      </c>
    </row>
    <row r="16" spans="1:22" ht="26.4" x14ac:dyDescent="0.25">
      <c r="A16" s="2">
        <v>-24</v>
      </c>
      <c r="B16" s="2">
        <v>-13</v>
      </c>
      <c r="C16" s="2">
        <v>-20</v>
      </c>
      <c r="D16" s="2">
        <v>-19</v>
      </c>
      <c r="E16" s="2">
        <v>-17</v>
      </c>
      <c r="F16" s="2">
        <v>-13</v>
      </c>
      <c r="G16" s="2">
        <v>-27</v>
      </c>
      <c r="J16" s="11" t="s">
        <v>39</v>
      </c>
      <c r="K16" s="7">
        <f>(-36-33)/2</f>
        <v>-34.5</v>
      </c>
      <c r="L16" s="7">
        <f>(-33-30)/2</f>
        <v>-31.5</v>
      </c>
      <c r="M16" s="7">
        <f>(-30-27)/2</f>
        <v>-28.5</v>
      </c>
      <c r="N16" s="7">
        <f>(-27-24)/2</f>
        <v>-25.5</v>
      </c>
      <c r="O16" s="7">
        <f>(-24-21)/2</f>
        <v>-22.5</v>
      </c>
      <c r="P16" s="7">
        <f>(-21-18)/2</f>
        <v>-19.5</v>
      </c>
      <c r="Q16" s="7">
        <f>(-18-15)/2</f>
        <v>-16.5</v>
      </c>
      <c r="R16" s="7">
        <f>(-15-12)/2</f>
        <v>-13.5</v>
      </c>
      <c r="S16" s="7">
        <f>(-12-9)/2</f>
        <v>-10.5</v>
      </c>
      <c r="T16" s="7"/>
      <c r="U16" s="28"/>
      <c r="V16" s="28"/>
    </row>
    <row r="17" spans="1:22" x14ac:dyDescent="0.25">
      <c r="A17" s="2">
        <v>-25</v>
      </c>
      <c r="B17" s="2">
        <v>-25</v>
      </c>
      <c r="C17" s="2">
        <v>-19</v>
      </c>
      <c r="D17" s="2">
        <v>-22</v>
      </c>
      <c r="E17" s="2">
        <v>-22</v>
      </c>
      <c r="F17" s="2">
        <v>-22</v>
      </c>
      <c r="G17" s="2">
        <v>-23</v>
      </c>
      <c r="J17" s="10" t="s">
        <v>38</v>
      </c>
      <c r="K17" s="7">
        <f>(K16*K11)</f>
        <v>-138</v>
      </c>
      <c r="L17" s="7">
        <f t="shared" ref="L17:S17" si="3">L16*L11</f>
        <v>-283.5</v>
      </c>
      <c r="M17" s="7">
        <f t="shared" si="3"/>
        <v>-285</v>
      </c>
      <c r="N17" s="7">
        <f t="shared" si="3"/>
        <v>-918</v>
      </c>
      <c r="O17" s="7">
        <f t="shared" si="3"/>
        <v>-922.5</v>
      </c>
      <c r="P17" s="7">
        <f t="shared" si="3"/>
        <v>-702</v>
      </c>
      <c r="Q17" s="7">
        <f t="shared" si="3"/>
        <v>-379.5</v>
      </c>
      <c r="R17" s="7">
        <f t="shared" si="3"/>
        <v>-135</v>
      </c>
      <c r="S17" s="7">
        <f t="shared" si="3"/>
        <v>-63</v>
      </c>
      <c r="T17" s="7">
        <f>SUM(K17:S17)</f>
        <v>-3826.5</v>
      </c>
      <c r="U17" s="48"/>
      <c r="V17" s="28"/>
    </row>
    <row r="18" spans="1:22" x14ac:dyDescent="0.25">
      <c r="A18" s="2">
        <v>-9</v>
      </c>
      <c r="B18" s="2">
        <v>-11</v>
      </c>
      <c r="C18" s="2">
        <v>-22</v>
      </c>
      <c r="D18" s="2">
        <v>-24</v>
      </c>
      <c r="E18" s="2">
        <v>-18</v>
      </c>
      <c r="F18" s="2">
        <v>-19</v>
      </c>
      <c r="G18" s="1">
        <v>-18</v>
      </c>
      <c r="J18" s="19" t="s">
        <v>41</v>
      </c>
      <c r="K18" s="16">
        <f>(K16^2)*K11</f>
        <v>4761</v>
      </c>
      <c r="L18" s="16">
        <f t="shared" ref="L18:S18" si="4">(L16^2)*L11</f>
        <v>8930.25</v>
      </c>
      <c r="M18" s="16">
        <f t="shared" si="4"/>
        <v>8122.5</v>
      </c>
      <c r="N18" s="16">
        <f t="shared" si="4"/>
        <v>23409</v>
      </c>
      <c r="O18" s="16">
        <f t="shared" si="4"/>
        <v>20756.25</v>
      </c>
      <c r="P18" s="16">
        <f t="shared" si="4"/>
        <v>13689</v>
      </c>
      <c r="Q18" s="16">
        <f t="shared" si="4"/>
        <v>6261.75</v>
      </c>
      <c r="R18" s="16">
        <f t="shared" si="4"/>
        <v>1822.5</v>
      </c>
      <c r="S18" s="16">
        <f t="shared" si="4"/>
        <v>661.5</v>
      </c>
      <c r="T18" s="16">
        <f>SUM(K18:S18)</f>
        <v>88413.75</v>
      </c>
      <c r="U18" s="28"/>
      <c r="V18" s="28"/>
    </row>
    <row r="19" spans="1:22" x14ac:dyDescent="0.25">
      <c r="A19" s="1">
        <v>-31</v>
      </c>
      <c r="B19" s="2">
        <v>-16</v>
      </c>
      <c r="C19" s="2">
        <v>-18</v>
      </c>
      <c r="D19" s="2">
        <v>-24</v>
      </c>
      <c r="E19" s="2">
        <v>-14</v>
      </c>
      <c r="F19" s="2">
        <v>-23</v>
      </c>
      <c r="G19" s="2">
        <v>-26</v>
      </c>
      <c r="J19" s="84" t="s">
        <v>42</v>
      </c>
      <c r="K19" s="85"/>
      <c r="L19" s="85"/>
      <c r="M19" s="85"/>
      <c r="N19" s="85"/>
      <c r="O19" s="85"/>
      <c r="P19" s="85"/>
      <c r="Q19" s="85"/>
      <c r="R19" s="85"/>
      <c r="S19" s="86"/>
      <c r="T19" s="16">
        <f>T18/T11</f>
        <v>505.22142857142859</v>
      </c>
      <c r="U19" s="28"/>
      <c r="V19" s="49"/>
    </row>
    <row r="20" spans="1:22" ht="13.8" x14ac:dyDescent="0.25">
      <c r="A20" s="2">
        <v>-25</v>
      </c>
      <c r="B20" s="2">
        <v>-19</v>
      </c>
      <c r="C20" s="2">
        <v>-23</v>
      </c>
      <c r="D20" s="2">
        <v>-24</v>
      </c>
      <c r="E20" s="2">
        <v>-21</v>
      </c>
      <c r="F20" s="2">
        <v>-26</v>
      </c>
      <c r="G20" s="2">
        <v>-25</v>
      </c>
      <c r="J20" s="83" t="s">
        <v>44</v>
      </c>
      <c r="K20" s="83"/>
      <c r="L20" s="83"/>
      <c r="M20" s="83"/>
      <c r="N20" s="83"/>
      <c r="O20" s="83"/>
      <c r="P20" s="83"/>
      <c r="Q20" s="83"/>
      <c r="R20" s="83"/>
      <c r="S20" s="83"/>
      <c r="T20" s="20">
        <f>T19-T15^2</f>
        <v>27.111967346938741</v>
      </c>
      <c r="U20" s="28"/>
      <c r="V20" s="49"/>
    </row>
    <row r="21" spans="1:22" ht="21" x14ac:dyDescent="0.4">
      <c r="A21" s="2">
        <v>-18</v>
      </c>
      <c r="B21" s="2">
        <v>-16</v>
      </c>
      <c r="C21" s="2">
        <v>-30</v>
      </c>
      <c r="D21" s="2">
        <v>-16</v>
      </c>
      <c r="E21" s="2">
        <v>-24</v>
      </c>
      <c r="F21" s="2">
        <v>-13</v>
      </c>
      <c r="G21" s="2">
        <v>-14</v>
      </c>
      <c r="J21" s="80" t="s">
        <v>45</v>
      </c>
      <c r="K21" s="81"/>
      <c r="L21" s="81"/>
      <c r="M21" s="81"/>
      <c r="N21" s="81"/>
      <c r="O21" s="81"/>
      <c r="P21" s="81"/>
      <c r="Q21" s="81"/>
      <c r="R21" s="81"/>
      <c r="S21" s="81"/>
      <c r="T21" s="10">
        <f>SQRT(T20)</f>
        <v>5.2069153389448095</v>
      </c>
      <c r="U21" s="28"/>
      <c r="V21" s="49"/>
    </row>
    <row r="22" spans="1:22" ht="13.8" x14ac:dyDescent="0.25">
      <c r="A22" s="2">
        <v>-18</v>
      </c>
      <c r="B22" s="2">
        <v>-22</v>
      </c>
      <c r="C22" s="2">
        <v>-22</v>
      </c>
      <c r="D22" s="1">
        <v>-28</v>
      </c>
      <c r="E22" s="1">
        <v>-18</v>
      </c>
      <c r="F22" s="2">
        <v>-21</v>
      </c>
      <c r="G22" s="2">
        <v>-27</v>
      </c>
      <c r="J22" s="74" t="s">
        <v>46</v>
      </c>
      <c r="K22" s="75"/>
      <c r="L22" s="75"/>
      <c r="M22" s="75"/>
      <c r="N22" s="75"/>
      <c r="O22" s="75"/>
      <c r="P22" s="75"/>
      <c r="Q22" s="75"/>
      <c r="R22" s="75"/>
      <c r="S22" s="76"/>
      <c r="T22" s="10">
        <f>(T11/(T11 - 1))*T20</f>
        <v>27.267783251231492</v>
      </c>
      <c r="U22" s="28"/>
      <c r="V22" s="49"/>
    </row>
    <row r="23" spans="1:22" ht="15" x14ac:dyDescent="0.25">
      <c r="A23" s="2">
        <v>-31</v>
      </c>
      <c r="B23" s="2">
        <v>-23</v>
      </c>
      <c r="C23" s="2">
        <v>-23</v>
      </c>
      <c r="D23" s="2">
        <v>-27</v>
      </c>
      <c r="E23" s="2">
        <v>-21</v>
      </c>
      <c r="F23" s="2">
        <v>-21</v>
      </c>
      <c r="G23" s="2">
        <v>-22</v>
      </c>
      <c r="J23" s="77" t="s">
        <v>47</v>
      </c>
      <c r="K23" s="78"/>
      <c r="L23" s="78"/>
      <c r="M23" s="78"/>
      <c r="N23" s="78"/>
      <c r="O23" s="78"/>
      <c r="P23" s="78"/>
      <c r="Q23" s="78"/>
      <c r="R23" s="78"/>
      <c r="S23" s="79"/>
      <c r="T23" s="17">
        <f>SQRT((T11/(T11 - 1))*T20)</f>
        <v>5.2218563031963541</v>
      </c>
      <c r="U23" s="28"/>
      <c r="V23" s="49"/>
    </row>
    <row r="24" spans="1:22" x14ac:dyDescent="0.25">
      <c r="A24" s="2">
        <v>-34</v>
      </c>
      <c r="B24" s="2">
        <v>-24</v>
      </c>
      <c r="C24" s="2">
        <v>-20</v>
      </c>
      <c r="D24" s="2">
        <v>-24</v>
      </c>
      <c r="E24" s="2">
        <v>-21</v>
      </c>
      <c r="F24" s="2">
        <v>-32</v>
      </c>
      <c r="G24" s="2">
        <v>-16</v>
      </c>
      <c r="U24" s="28"/>
      <c r="V24" s="28"/>
    </row>
    <row r="25" spans="1:22" x14ac:dyDescent="0.25">
      <c r="A25" s="2">
        <v>-18</v>
      </c>
      <c r="B25" s="2">
        <v>-15</v>
      </c>
      <c r="C25" s="2">
        <v>-22</v>
      </c>
      <c r="D25" s="2">
        <v>-15</v>
      </c>
      <c r="E25" s="2">
        <v>-15</v>
      </c>
      <c r="F25" s="2">
        <v>-22</v>
      </c>
      <c r="G25" s="2">
        <v>-18</v>
      </c>
    </row>
    <row r="27" spans="1:22" x14ac:dyDescent="0.25">
      <c r="A27" s="50" t="s">
        <v>63</v>
      </c>
      <c r="B27" s="51"/>
      <c r="C27" s="53" t="s">
        <v>68</v>
      </c>
      <c r="D27" s="51"/>
      <c r="E27" s="51"/>
      <c r="F27" s="24"/>
      <c r="J27" s="10" t="s">
        <v>0</v>
      </c>
      <c r="K27" s="10">
        <f>K28+((K29-K32)*K30)/((K29+L32)+(K29-K32))</f>
        <v>-23.817073170731707</v>
      </c>
      <c r="L27" s="10"/>
      <c r="O27" s="10" t="s">
        <v>1</v>
      </c>
      <c r="P27" s="10">
        <f>P28+P29*((P30/2-P32)/P31)</f>
        <v>-21.914634146341463</v>
      </c>
    </row>
    <row r="28" spans="1:22" ht="39.6" x14ac:dyDescent="0.25">
      <c r="A28" s="37"/>
      <c r="B28" s="28"/>
      <c r="C28" s="28"/>
      <c r="D28" s="28"/>
      <c r="E28" s="28"/>
      <c r="F28" s="25"/>
      <c r="J28" s="11" t="s">
        <v>27</v>
      </c>
      <c r="K28" s="12">
        <v>-24</v>
      </c>
      <c r="L28" s="10"/>
      <c r="O28" s="22" t="s">
        <v>33</v>
      </c>
      <c r="P28" s="10">
        <v>-24</v>
      </c>
    </row>
    <row r="29" spans="1:22" ht="26.4" x14ac:dyDescent="0.25">
      <c r="A29" s="37"/>
      <c r="B29" s="28"/>
      <c r="C29" s="28"/>
      <c r="D29" s="28"/>
      <c r="E29" s="28"/>
      <c r="F29" s="25"/>
      <c r="J29" s="10" t="s">
        <v>28</v>
      </c>
      <c r="K29" s="10">
        <v>41</v>
      </c>
      <c r="L29" s="10"/>
      <c r="O29" s="11" t="s">
        <v>34</v>
      </c>
      <c r="P29" s="10">
        <v>3</v>
      </c>
    </row>
    <row r="30" spans="1:22" ht="26.4" x14ac:dyDescent="0.25">
      <c r="A30" s="38"/>
      <c r="B30" s="52"/>
      <c r="C30" s="52"/>
      <c r="D30" s="52"/>
      <c r="E30" s="52"/>
      <c r="F30" s="26"/>
      <c r="J30" s="10" t="s">
        <v>29</v>
      </c>
      <c r="K30" s="10">
        <v>3</v>
      </c>
      <c r="L30" s="10"/>
      <c r="O30" s="11" t="s">
        <v>35</v>
      </c>
      <c r="P30" s="10">
        <f>T11</f>
        <v>175</v>
      </c>
    </row>
    <row r="31" spans="1:22" ht="39.6" x14ac:dyDescent="0.25">
      <c r="A31" s="50" t="s">
        <v>2</v>
      </c>
      <c r="B31" s="54" t="s">
        <v>69</v>
      </c>
      <c r="J31" s="72" t="s">
        <v>30</v>
      </c>
      <c r="K31" s="13" t="s">
        <v>31</v>
      </c>
      <c r="L31" s="13" t="s">
        <v>32</v>
      </c>
      <c r="O31" s="11" t="s">
        <v>36</v>
      </c>
      <c r="P31" s="10">
        <f>O11</f>
        <v>41</v>
      </c>
    </row>
    <row r="32" spans="1:22" ht="52.8" x14ac:dyDescent="0.25">
      <c r="A32" s="38"/>
      <c r="B32" s="26"/>
      <c r="J32" s="73"/>
      <c r="K32" s="10">
        <v>36</v>
      </c>
      <c r="L32" s="10">
        <v>36</v>
      </c>
      <c r="O32" s="22" t="s">
        <v>37</v>
      </c>
      <c r="P32" s="10">
        <v>59</v>
      </c>
    </row>
    <row r="33" spans="1:18" x14ac:dyDescent="0.25">
      <c r="N33" s="4"/>
    </row>
    <row r="34" spans="1:18" ht="13.8" thickBot="1" x14ac:dyDescent="0.3">
      <c r="A34" s="50" t="s">
        <v>64</v>
      </c>
      <c r="B34" s="51"/>
      <c r="C34" s="53" t="s">
        <v>70</v>
      </c>
      <c r="D34" s="24"/>
      <c r="N34" s="4"/>
    </row>
    <row r="35" spans="1:18" ht="40.200000000000003" thickBot="1" x14ac:dyDescent="0.3">
      <c r="A35" s="37"/>
      <c r="B35" s="28"/>
      <c r="C35" s="28"/>
      <c r="D35" s="25"/>
      <c r="I35" s="28"/>
      <c r="J35" s="30" t="s">
        <v>62</v>
      </c>
      <c r="K35" s="31">
        <f>M48/M49</f>
        <v>-8.4192174000799244E-2</v>
      </c>
      <c r="L35" s="32" t="s">
        <v>53</v>
      </c>
      <c r="M35" s="33" t="s">
        <v>54</v>
      </c>
      <c r="N35" s="4"/>
      <c r="O35" s="40" t="s">
        <v>61</v>
      </c>
      <c r="P35" s="41">
        <f>P47/P48</f>
        <v>2.9106691844423933</v>
      </c>
      <c r="Q35" s="42" t="s">
        <v>60</v>
      </c>
      <c r="R35" s="28"/>
    </row>
    <row r="36" spans="1:18" ht="13.8" thickBot="1" x14ac:dyDescent="0.3">
      <c r="A36" s="37"/>
      <c r="B36" s="28"/>
      <c r="C36" s="28"/>
      <c r="D36" s="25"/>
      <c r="I36" s="28"/>
      <c r="J36" s="34" t="s">
        <v>48</v>
      </c>
      <c r="K36" s="35" t="s">
        <v>49</v>
      </c>
      <c r="L36" s="35" t="s">
        <v>50</v>
      </c>
      <c r="M36" s="36" t="s">
        <v>51</v>
      </c>
      <c r="O36" s="69"/>
      <c r="P36" s="43" t="s">
        <v>57</v>
      </c>
      <c r="Q36" s="66"/>
      <c r="R36" s="28"/>
    </row>
    <row r="37" spans="1:18" x14ac:dyDescent="0.25">
      <c r="A37" s="37"/>
      <c r="B37" s="28"/>
      <c r="C37" s="28"/>
      <c r="D37" s="25"/>
      <c r="I37" s="28"/>
      <c r="J37" s="15">
        <f>K16</f>
        <v>-34.5</v>
      </c>
      <c r="K37" s="15">
        <f>K11</f>
        <v>4</v>
      </c>
      <c r="L37" s="15">
        <f>J37*K37</f>
        <v>-138</v>
      </c>
      <c r="M37" s="15">
        <f>((J37-$K$47)^3) *K37</f>
        <v>-8067.0002983556833</v>
      </c>
      <c r="O37" s="67"/>
      <c r="P37" s="39">
        <f t="shared" ref="P37:P45" si="5">(J37-$K$47)^4 *K37</f>
        <v>101920.7866266538</v>
      </c>
      <c r="Q37" s="67"/>
      <c r="R37" s="28"/>
    </row>
    <row r="38" spans="1:18" x14ac:dyDescent="0.25">
      <c r="A38" s="37"/>
      <c r="B38" s="28"/>
      <c r="C38" s="28"/>
      <c r="D38" s="25"/>
      <c r="I38" s="28"/>
      <c r="J38" s="13">
        <f>L16</f>
        <v>-31.5</v>
      </c>
      <c r="K38" s="13">
        <f>L11</f>
        <v>9</v>
      </c>
      <c r="L38" s="13">
        <f t="shared" ref="L38:L45" si="6">J38*K38</f>
        <v>-283.5</v>
      </c>
      <c r="M38" s="13">
        <f>((J38-$K$47)^3) *K38</f>
        <v>-8048.2428835451883</v>
      </c>
      <c r="O38" s="67"/>
      <c r="P38" s="10">
        <f t="shared" si="5"/>
        <v>77539.071438041065</v>
      </c>
      <c r="Q38" s="67"/>
      <c r="R38" s="28"/>
    </row>
    <row r="39" spans="1:18" x14ac:dyDescent="0.25">
      <c r="A39" s="38"/>
      <c r="B39" s="52"/>
      <c r="C39" s="52"/>
      <c r="D39" s="26"/>
      <c r="I39" s="28"/>
      <c r="J39" s="13">
        <f>M16</f>
        <v>-28.5</v>
      </c>
      <c r="K39" s="13">
        <f>M11</f>
        <v>10</v>
      </c>
      <c r="L39" s="13">
        <f t="shared" si="6"/>
        <v>-285</v>
      </c>
      <c r="M39" s="13">
        <f t="shared" ref="M39:M45" si="7">((J39-$K$47)^3) *K39</f>
        <v>-2919.9977254810483</v>
      </c>
      <c r="O39" s="67"/>
      <c r="P39" s="10">
        <f t="shared" si="5"/>
        <v>19372.099195905696</v>
      </c>
      <c r="Q39" s="67"/>
      <c r="R39" s="28"/>
    </row>
    <row r="40" spans="1:18" x14ac:dyDescent="0.25">
      <c r="I40" s="28"/>
      <c r="J40" s="13">
        <f>N16</f>
        <v>-25.5</v>
      </c>
      <c r="K40" s="23">
        <f>COUNTIFS($A$1:$G$25,"&gt;-27", $A$1:$G$25,"&lt;=-24")</f>
        <v>36</v>
      </c>
      <c r="L40" s="13">
        <f t="shared" si="6"/>
        <v>-918</v>
      </c>
      <c r="M40" s="13">
        <f t="shared" si="7"/>
        <v>-1728.0635178542261</v>
      </c>
      <c r="O40" s="67"/>
      <c r="P40" s="10">
        <f t="shared" si="5"/>
        <v>6280.2765563159292</v>
      </c>
      <c r="Q40" s="67"/>
      <c r="R40" s="28"/>
    </row>
    <row r="41" spans="1:18" x14ac:dyDescent="0.25">
      <c r="I41" s="28"/>
      <c r="J41" s="13">
        <f>O16</f>
        <v>-22.5</v>
      </c>
      <c r="K41" s="23">
        <f>COUNTIFS($A$1:$G$25,"&gt;-24", $A$1:$G$25,"&lt;=-21")</f>
        <v>41</v>
      </c>
      <c r="L41" s="13">
        <f t="shared" si="6"/>
        <v>-922.5</v>
      </c>
      <c r="M41" s="13">
        <f t="shared" si="7"/>
        <v>-10.462576513119494</v>
      </c>
      <c r="O41" s="67"/>
      <c r="P41" s="10">
        <f t="shared" si="5"/>
        <v>6.6362628168929261</v>
      </c>
      <c r="Q41" s="67"/>
      <c r="R41" s="28"/>
    </row>
    <row r="42" spans="1:18" x14ac:dyDescent="0.25">
      <c r="A42" s="50" t="s">
        <v>65</v>
      </c>
      <c r="B42" s="51"/>
      <c r="C42" s="53" t="s">
        <v>71</v>
      </c>
      <c r="D42" s="24"/>
      <c r="I42" s="28"/>
      <c r="J42" s="13">
        <f>P16</f>
        <v>-19.5</v>
      </c>
      <c r="K42" s="23">
        <f>COUNTIFS($A$1:$G$25,"&gt;-21", $A$1:$G$25,"&lt;=-18")</f>
        <v>36</v>
      </c>
      <c r="L42" s="13">
        <f t="shared" si="6"/>
        <v>-702</v>
      </c>
      <c r="M42" s="13">
        <f t="shared" si="7"/>
        <v>476.63878418658942</v>
      </c>
      <c r="O42" s="67"/>
      <c r="P42" s="10">
        <f t="shared" si="5"/>
        <v>1127.5911808757035</v>
      </c>
      <c r="Q42" s="67"/>
      <c r="R42" s="28"/>
    </row>
    <row r="43" spans="1:18" x14ac:dyDescent="0.25">
      <c r="A43" s="37"/>
      <c r="B43" s="28"/>
      <c r="C43" s="28"/>
      <c r="D43" s="25"/>
      <c r="I43" s="28"/>
      <c r="J43" s="13">
        <f>Q16</f>
        <v>-16.5</v>
      </c>
      <c r="K43" s="23">
        <f>COUNTIFS($A$1:$G$25,"&gt;-18", $A$1:$G$25,"&lt;=-15")</f>
        <v>23</v>
      </c>
      <c r="L43" s="13">
        <f t="shared" si="6"/>
        <v>-379.5</v>
      </c>
      <c r="M43" s="13">
        <f t="shared" si="7"/>
        <v>3553.1248395568527</v>
      </c>
      <c r="O43" s="67"/>
      <c r="P43" s="10">
        <f t="shared" si="5"/>
        <v>19065.052710536485</v>
      </c>
      <c r="Q43" s="67"/>
      <c r="R43" s="28"/>
    </row>
    <row r="44" spans="1:18" x14ac:dyDescent="0.25">
      <c r="A44" s="37"/>
      <c r="B44" s="28"/>
      <c r="C44" s="28"/>
      <c r="D44" s="25"/>
      <c r="I44" s="28"/>
      <c r="J44" s="13">
        <f>R16</f>
        <v>-13.5</v>
      </c>
      <c r="K44" s="23">
        <f>COUNTIFS($A$1:$G$25,"&gt;-15", $A$1:$G$25,"&lt;=-12")</f>
        <v>10</v>
      </c>
      <c r="L44" s="13">
        <f t="shared" si="6"/>
        <v>-135</v>
      </c>
      <c r="M44" s="13">
        <f t="shared" si="7"/>
        <v>5854.7598255393605</v>
      </c>
      <c r="O44" s="67"/>
      <c r="P44" s="10">
        <f t="shared" si="5"/>
        <v>48979.247911940722</v>
      </c>
      <c r="Q44" s="67"/>
      <c r="R44" s="28"/>
    </row>
    <row r="45" spans="1:18" ht="13.8" thickBot="1" x14ac:dyDescent="0.3">
      <c r="A45" s="37"/>
      <c r="B45" s="28"/>
      <c r="C45" s="28"/>
      <c r="D45" s="25"/>
      <c r="I45" s="28"/>
      <c r="J45" s="14">
        <f>S16</f>
        <v>-10.5</v>
      </c>
      <c r="K45" s="23">
        <f>COUNTIFS($A$1:$G$25,"&gt;-12", $A$1:$G$25,"&lt;=-9")</f>
        <v>6</v>
      </c>
      <c r="L45" s="13">
        <f t="shared" si="6"/>
        <v>-63</v>
      </c>
      <c r="M45" s="13">
        <f t="shared" si="7"/>
        <v>8809.301087160351</v>
      </c>
      <c r="O45" s="67"/>
      <c r="P45" s="10">
        <f t="shared" si="5"/>
        <v>100123.99921349681</v>
      </c>
      <c r="Q45" s="67"/>
      <c r="R45" s="28"/>
    </row>
    <row r="46" spans="1:18" ht="13.8" thickBot="1" x14ac:dyDescent="0.3">
      <c r="A46" s="37"/>
      <c r="B46" s="28"/>
      <c r="C46" s="28"/>
      <c r="D46" s="25"/>
      <c r="I46" s="28"/>
      <c r="J46" s="43" t="s">
        <v>52</v>
      </c>
      <c r="K46" s="27">
        <f>SUM(K37:K45)</f>
        <v>175</v>
      </c>
      <c r="L46" s="13">
        <f>SUM(L37:L45)</f>
        <v>-3826.5</v>
      </c>
      <c r="M46" s="13">
        <f>SUM(M37:M45)</f>
        <v>-2079.9424653061105</v>
      </c>
      <c r="O46" s="45" t="s">
        <v>52</v>
      </c>
      <c r="P46" s="18">
        <f>SUM(P37:P45)</f>
        <v>374414.7610965831</v>
      </c>
      <c r="Q46" s="67"/>
      <c r="R46" s="28"/>
    </row>
    <row r="47" spans="1:18" ht="13.8" thickBot="1" x14ac:dyDescent="0.3">
      <c r="A47" s="37"/>
      <c r="B47" s="28"/>
      <c r="C47" s="28"/>
      <c r="D47" s="25"/>
      <c r="I47" s="28"/>
      <c r="J47" s="44" t="s">
        <v>2</v>
      </c>
      <c r="K47" s="70">
        <f>L46/K46</f>
        <v>-21.865714285714287</v>
      </c>
      <c r="L47" s="71"/>
      <c r="M47" s="10"/>
      <c r="O47" s="47" t="s">
        <v>58</v>
      </c>
      <c r="P47" s="18">
        <f>P46/K46</f>
        <v>2139.5129205519033</v>
      </c>
      <c r="Q47" s="67"/>
      <c r="R47" s="28"/>
    </row>
    <row r="48" spans="1:18" ht="13.8" thickBot="1" x14ac:dyDescent="0.3">
      <c r="A48" s="37"/>
      <c r="B48" s="28"/>
      <c r="C48" s="28"/>
      <c r="D48" s="25"/>
      <c r="J48" s="60" t="s">
        <v>55</v>
      </c>
      <c r="K48" s="61"/>
      <c r="L48" s="62"/>
      <c r="M48" s="18">
        <f>M46/K46</f>
        <v>-11.885385516034917</v>
      </c>
      <c r="O48" s="46" t="s">
        <v>59</v>
      </c>
      <c r="P48" s="18">
        <f>T21^4</f>
        <v>735.05877342147255</v>
      </c>
      <c r="Q48" s="68"/>
      <c r="R48" s="28"/>
    </row>
    <row r="49" spans="1:18" ht="13.8" thickBot="1" x14ac:dyDescent="0.3">
      <c r="A49" s="38"/>
      <c r="B49" s="52"/>
      <c r="C49" s="52"/>
      <c r="D49" s="26"/>
      <c r="J49" s="63" t="s">
        <v>56</v>
      </c>
      <c r="K49" s="64"/>
      <c r="L49" s="65"/>
      <c r="M49" s="18">
        <f>T21^3</f>
        <v>141.16971864774615</v>
      </c>
      <c r="R49" s="28"/>
    </row>
    <row r="50" spans="1:18" x14ac:dyDescent="0.25">
      <c r="R50" s="28"/>
    </row>
    <row r="51" spans="1:18" x14ac:dyDescent="0.25">
      <c r="A51" s="50" t="s">
        <v>43</v>
      </c>
      <c r="B51" s="51"/>
      <c r="C51" s="51"/>
      <c r="D51" s="51"/>
      <c r="E51" s="51"/>
      <c r="F51" s="51"/>
      <c r="G51" s="54" t="s">
        <v>72</v>
      </c>
      <c r="R51" s="28"/>
    </row>
    <row r="52" spans="1:18" x14ac:dyDescent="0.25">
      <c r="A52" s="37"/>
      <c r="B52" s="28"/>
      <c r="C52" s="28"/>
      <c r="D52" s="28"/>
      <c r="E52" s="28"/>
      <c r="F52" s="28"/>
      <c r="G52" s="25"/>
    </row>
    <row r="53" spans="1:18" ht="21" x14ac:dyDescent="0.4">
      <c r="A53" s="55" t="s">
        <v>74</v>
      </c>
      <c r="B53" s="52"/>
      <c r="C53" s="52"/>
      <c r="D53" s="52"/>
      <c r="E53" s="52"/>
      <c r="F53" s="52"/>
      <c r="G53" s="26"/>
      <c r="K53" s="21"/>
      <c r="L53" s="21"/>
      <c r="M53" s="21"/>
    </row>
    <row r="55" spans="1:18" x14ac:dyDescent="0.25">
      <c r="A55" s="50" t="s">
        <v>66</v>
      </c>
      <c r="B55" s="51"/>
      <c r="C55" s="51"/>
      <c r="D55" s="51"/>
      <c r="E55" s="24"/>
    </row>
    <row r="56" spans="1:18" x14ac:dyDescent="0.25">
      <c r="A56" s="37"/>
      <c r="B56" s="28"/>
      <c r="C56" s="28"/>
      <c r="D56" s="28"/>
      <c r="E56" s="25"/>
    </row>
    <row r="57" spans="1:18" x14ac:dyDescent="0.25">
      <c r="A57" s="29" t="s">
        <v>67</v>
      </c>
      <c r="B57" s="52"/>
      <c r="C57" s="52"/>
      <c r="D57" s="52"/>
      <c r="E57" s="26"/>
    </row>
    <row r="58" spans="1:18" x14ac:dyDescent="0.25">
      <c r="J58" s="21"/>
    </row>
    <row r="59" spans="1:18" ht="44.4" customHeight="1" x14ac:dyDescent="0.25">
      <c r="A59" s="57" t="s">
        <v>73</v>
      </c>
      <c r="B59" s="58"/>
      <c r="C59" s="58"/>
      <c r="D59" s="59"/>
    </row>
    <row r="60" spans="1:18" x14ac:dyDescent="0.25">
      <c r="A60" s="37"/>
      <c r="B60" s="28"/>
      <c r="C60" s="28"/>
      <c r="D60" s="25"/>
      <c r="M60" s="21"/>
    </row>
    <row r="61" spans="1:18" ht="17.399999999999999" x14ac:dyDescent="0.3">
      <c r="A61" s="56" t="s">
        <v>75</v>
      </c>
      <c r="B61" s="52"/>
      <c r="C61" s="52"/>
      <c r="D61" s="26"/>
    </row>
    <row r="64" spans="1:18" x14ac:dyDescent="0.25">
      <c r="A64" s="50" t="s">
        <v>76</v>
      </c>
      <c r="B64" s="51"/>
      <c r="C64" s="51"/>
      <c r="D64" s="51"/>
      <c r="E64" s="51"/>
      <c r="F64" s="51"/>
      <c r="G64" s="51"/>
      <c r="H64" s="24"/>
    </row>
    <row r="65" spans="1:8" x14ac:dyDescent="0.25">
      <c r="A65" s="37"/>
      <c r="B65" s="28"/>
      <c r="C65" s="28"/>
      <c r="D65" s="28"/>
      <c r="E65" s="28"/>
      <c r="F65" s="28"/>
      <c r="G65" s="28"/>
      <c r="H65" s="25"/>
    </row>
    <row r="66" spans="1:8" x14ac:dyDescent="0.25">
      <c r="A66" s="37"/>
      <c r="B66" s="28"/>
      <c r="C66" s="28"/>
      <c r="D66" s="28"/>
      <c r="E66" s="28"/>
      <c r="F66" s="28"/>
      <c r="G66" s="28"/>
      <c r="H66" s="25"/>
    </row>
    <row r="67" spans="1:8" x14ac:dyDescent="0.25">
      <c r="A67" s="37"/>
      <c r="B67" s="28"/>
      <c r="C67" s="28"/>
      <c r="D67" s="28"/>
      <c r="E67" s="28"/>
      <c r="F67" s="28"/>
      <c r="G67" s="28"/>
      <c r="H67" s="25"/>
    </row>
    <row r="68" spans="1:8" x14ac:dyDescent="0.25">
      <c r="A68" s="38"/>
      <c r="B68" s="52"/>
      <c r="C68" s="52"/>
      <c r="D68" s="52"/>
      <c r="E68" s="52"/>
      <c r="F68" s="52"/>
      <c r="G68" s="52"/>
      <c r="H68" s="26"/>
    </row>
    <row r="71" spans="1:8" x14ac:dyDescent="0.25">
      <c r="A71" s="50" t="s">
        <v>1</v>
      </c>
      <c r="B71" s="51"/>
      <c r="C71" s="51"/>
      <c r="D71" s="51"/>
      <c r="E71" s="51"/>
      <c r="F71" s="24"/>
    </row>
    <row r="72" spans="1:8" x14ac:dyDescent="0.25">
      <c r="A72" s="37"/>
      <c r="B72" s="28"/>
      <c r="C72" s="28"/>
      <c r="D72" s="28"/>
      <c r="E72" s="28"/>
      <c r="F72" s="25"/>
    </row>
    <row r="73" spans="1:8" x14ac:dyDescent="0.25">
      <c r="A73" s="37"/>
      <c r="B73" s="28"/>
      <c r="C73" s="28"/>
      <c r="D73" s="28"/>
      <c r="E73" s="28"/>
      <c r="F73" s="25"/>
    </row>
    <row r="74" spans="1:8" x14ac:dyDescent="0.25">
      <c r="A74" s="37"/>
      <c r="B74" s="28"/>
      <c r="C74" s="28"/>
      <c r="D74" s="28"/>
      <c r="E74" s="28"/>
      <c r="F74" s="25"/>
    </row>
    <row r="75" spans="1:8" x14ac:dyDescent="0.25">
      <c r="A75" s="38"/>
      <c r="B75" s="52"/>
      <c r="C75" s="52"/>
      <c r="D75" s="52"/>
      <c r="E75" s="52"/>
      <c r="F75" s="26"/>
    </row>
  </sheetData>
  <mergeCells count="13">
    <mergeCell ref="J31:J32"/>
    <mergeCell ref="J22:S22"/>
    <mergeCell ref="J23:S23"/>
    <mergeCell ref="J21:S21"/>
    <mergeCell ref="J15:S15"/>
    <mergeCell ref="J20:S20"/>
    <mergeCell ref="J19:S19"/>
    <mergeCell ref="A59:D59"/>
    <mergeCell ref="J48:L48"/>
    <mergeCell ref="J49:L49"/>
    <mergeCell ref="Q36:Q48"/>
    <mergeCell ref="O36:O45"/>
    <mergeCell ref="K47:L4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ИДЗ_№3_вар_№3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RUSLAN</cp:lastModifiedBy>
  <dcterms:modified xsi:type="dcterms:W3CDTF">2023-09-28T15:42:38Z</dcterms:modified>
</cp:coreProperties>
</file>