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" sheetId="1" r:id="rId1"/>
    <sheet name="D" sheetId="4" r:id="rId2"/>
    <sheet name="Esquema de Variables" sheetId="5" r:id="rId3"/>
    <sheet name="Solution" sheetId="6" r:id="rId4"/>
    <sheet name="Graficos" sheetId="7" r:id="rId5"/>
    <sheet name="demanda" sheetId="8" r:id="rId6"/>
    <sheet name="Sol" sheetId="9" r:id="rId7"/>
  </sheets>
  <definedNames>
    <definedName name="solver_adj" localSheetId="5" hidden="1">demanda!$B$19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0" localSheetId="5" hidden="1">demanda!$B$20</definedName>
    <definedName name="solver_lhs1" localSheetId="5" hidden="1">demanda!$A$20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</definedName>
    <definedName name="solver_nwt" localSheetId="5" hidden="1">1</definedName>
    <definedName name="solver_opt" localSheetId="5" hidden="1">demanda!$B$19</definedName>
    <definedName name="solver_pre" localSheetId="5" hidden="1">0.000001</definedName>
    <definedName name="solver_rbv" localSheetId="5" hidden="1">1</definedName>
    <definedName name="solver_rel0" localSheetId="5" hidden="1">2</definedName>
    <definedName name="solver_rel1" localSheetId="5" hidden="1">2</definedName>
    <definedName name="solver_rhs0" localSheetId="5" hidden="1">"="</definedName>
    <definedName name="solver_rhs1" localSheetId="5" hidden="1">demanda!$B$20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</definedName>
    <definedName name="solver_ver" localSheetId="5" hidden="1">3</definedName>
  </definedNames>
  <calcPr calcId="162913"/>
</workbook>
</file>

<file path=xl/calcChain.xml><?xml version="1.0" encoding="utf-8"?>
<calcChain xmlns="http://schemas.openxmlformats.org/spreadsheetml/2006/main">
  <c r="C3" i="4" l="1"/>
  <c r="C4" i="4"/>
  <c r="C5" i="4" s="1"/>
  <c r="C6" i="4" s="1"/>
  <c r="C14" i="1" l="1"/>
  <c r="C13" i="1" l="1"/>
  <c r="C10" i="4" l="1"/>
  <c r="C11" i="4" s="1"/>
  <c r="C12" i="4" s="1"/>
  <c r="C13" i="4" s="1"/>
  <c r="C14" i="4" s="1"/>
  <c r="C15" i="4" s="1"/>
  <c r="C16" i="4" s="1"/>
  <c r="C17" i="4" s="1"/>
  <c r="C18" i="4" s="1"/>
  <c r="N50" i="6" l="1"/>
  <c r="M50" i="6"/>
  <c r="H50" i="6" l="1"/>
  <c r="I50" i="6"/>
  <c r="J50" i="6"/>
  <c r="L50" i="6"/>
  <c r="K50" i="6"/>
  <c r="E12" i="8" l="1"/>
  <c r="E8" i="8"/>
  <c r="B11" i="8"/>
  <c r="B10" i="8"/>
  <c r="B9" i="8"/>
  <c r="B8" i="8"/>
  <c r="B16" i="6" l="1"/>
  <c r="C16" i="6" s="1"/>
  <c r="D15" i="6"/>
  <c r="D16" i="6" l="1"/>
  <c r="B5" i="8"/>
  <c r="B3" i="8"/>
  <c r="B2" i="8"/>
  <c r="B6" i="8"/>
  <c r="E2" i="8" l="1"/>
  <c r="E9" i="8"/>
  <c r="E10" i="8" s="1"/>
  <c r="E11" i="8" s="1"/>
  <c r="E13" i="8" s="1"/>
  <c r="E14" i="8" s="1"/>
  <c r="E15" i="8" s="1"/>
  <c r="E16" i="8" s="1"/>
  <c r="E17" i="8" s="1"/>
  <c r="E23" i="8"/>
  <c r="E21" i="8"/>
  <c r="E22" i="8"/>
  <c r="E3" i="8"/>
  <c r="E4" i="8" s="1"/>
  <c r="E5" i="8" s="1"/>
  <c r="E6" i="8" s="1"/>
  <c r="E7" i="8" s="1"/>
  <c r="E25" i="8"/>
  <c r="E18" i="8"/>
  <c r="E19" i="8" s="1"/>
  <c r="E20" i="8" s="1"/>
  <c r="E24" i="8" l="1"/>
  <c r="E26" i="8" s="1"/>
  <c r="F2" i="8" s="1"/>
  <c r="J12" i="8" s="1"/>
  <c r="C19" i="4"/>
  <c r="J11" i="8" l="1"/>
  <c r="K11" i="8" s="1"/>
  <c r="J9" i="8"/>
  <c r="K9" i="8" s="1"/>
  <c r="K12" i="8"/>
  <c r="J10" i="8"/>
  <c r="K10" i="8" s="1"/>
  <c r="J4" i="8"/>
  <c r="K4" i="8" s="1"/>
  <c r="J5" i="8"/>
  <c r="K5" i="8" s="1"/>
  <c r="J7" i="8"/>
  <c r="K7" i="8" s="1"/>
  <c r="J3" i="8"/>
  <c r="K3" i="8" s="1"/>
  <c r="J8" i="8"/>
  <c r="K8" i="8" s="1"/>
  <c r="J6" i="8"/>
  <c r="K6" i="8" s="1"/>
  <c r="K13" i="8" l="1"/>
  <c r="A20" i="8" s="1"/>
  <c r="C21" i="4"/>
  <c r="C20" i="4"/>
  <c r="E7" i="5"/>
  <c r="F7" i="5" s="1"/>
  <c r="G7" i="5" s="1"/>
  <c r="H7" i="5" s="1"/>
  <c r="I7" i="5" s="1"/>
  <c r="J7" i="5" s="1"/>
  <c r="K7" i="5" s="1"/>
  <c r="L7" i="5" s="1"/>
  <c r="C22" i="4" l="1"/>
  <c r="F14" i="1"/>
  <c r="E14" i="1"/>
  <c r="D14" i="1"/>
  <c r="F10" i="1"/>
  <c r="F13" i="1" s="1"/>
  <c r="E10" i="1"/>
  <c r="E13" i="1" s="1"/>
  <c r="D10" i="1"/>
  <c r="D13" i="1" s="1"/>
  <c r="C10" i="1"/>
  <c r="C8" i="1"/>
  <c r="C7" i="4" l="1"/>
  <c r="C8" i="4" s="1"/>
  <c r="C25" i="4" s="1"/>
  <c r="C23" i="4"/>
  <c r="N7" i="5"/>
  <c r="A16" i="8"/>
  <c r="C17" i="8" s="1"/>
  <c r="C24" i="4" l="1"/>
</calcChain>
</file>

<file path=xl/sharedStrings.xml><?xml version="1.0" encoding="utf-8"?>
<sst xmlns="http://schemas.openxmlformats.org/spreadsheetml/2006/main" count="133" uniqueCount="117">
  <si>
    <t>Usefull life span
(h)</t>
  </si>
  <si>
    <t>Maximun heat to power rate
()</t>
  </si>
  <si>
    <t>AnnuF</t>
  </si>
  <si>
    <t>Coef1</t>
  </si>
  <si>
    <t xml:space="preserve"> Costo inversion
($/kWe)</t>
  </si>
  <si>
    <t>Heat Storage</t>
  </si>
  <si>
    <t>Demand</t>
  </si>
  <si>
    <t>Capacidades</t>
  </si>
  <si>
    <t>Potencias</t>
  </si>
  <si>
    <t>PHP</t>
  </si>
  <si>
    <t>Calor</t>
  </si>
  <si>
    <t>HHP</t>
  </si>
  <si>
    <t>HS2</t>
  </si>
  <si>
    <t>Capital Coef</t>
  </si>
  <si>
    <t>Fuel Cost($/kWh)</t>
  </si>
  <si>
    <t>Fuel specific consumption
(kWh/kWeh)</t>
  </si>
  <si>
    <t>Disponibilidad</t>
  </si>
  <si>
    <t>PV</t>
  </si>
  <si>
    <t>ES</t>
  </si>
  <si>
    <t>PS2</t>
  </si>
  <si>
    <t>P2S</t>
  </si>
  <si>
    <t xml:space="preserve">Electric Storage </t>
  </si>
  <si>
    <t>H2S</t>
  </si>
  <si>
    <t>HS</t>
  </si>
  <si>
    <t>Charge Factor</t>
  </si>
  <si>
    <t>Recover Factor</t>
  </si>
  <si>
    <t>CPV</t>
  </si>
  <si>
    <t>CES</t>
  </si>
  <si>
    <t>CHS</t>
  </si>
  <si>
    <t>CCHP</t>
  </si>
  <si>
    <t>Efficiency out</t>
  </si>
  <si>
    <t>CHP  CPV</t>
  </si>
  <si>
    <t>CES   CHS</t>
  </si>
  <si>
    <t>Costo fijo O&amp;M %inversion</t>
  </si>
  <si>
    <t>Variable cost O&amp;M not fuel ($/kWh)</t>
  </si>
  <si>
    <t>Tasa de descuento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</si>
  <si>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</si>
  <si>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</si>
  <si>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</si>
  <si>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</si>
  <si>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</si>
  <si>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</si>
  <si>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</si>
  <si>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</si>
  <si>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</si>
  <si>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</si>
  <si>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</si>
  <si>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</si>
  <si>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</si>
  <si>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</si>
  <si>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</si>
  <si>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</si>
  <si>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</si>
  <si>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</si>
  <si>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</si>
  <si>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</si>
  <si>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</si>
  <si>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</si>
  <si>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</si>
  <si>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</si>
  <si>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Electric load(kWeh/h)</t>
  </si>
  <si>
    <t>Heat load(kWth/h)</t>
  </si>
  <si>
    <t>Op Cost ($)</t>
  </si>
  <si>
    <t>Comp</t>
  </si>
  <si>
    <t>Hornilla</t>
  </si>
  <si>
    <t>Tele</t>
  </si>
  <si>
    <t>Venti</t>
  </si>
  <si>
    <t>Equipos</t>
  </si>
  <si>
    <t>Potencia(kW)</t>
  </si>
  <si>
    <t>Horas</t>
  </si>
  <si>
    <t>Ducha</t>
  </si>
  <si>
    <t>Lamp x4</t>
  </si>
  <si>
    <t>Lamp x1</t>
  </si>
  <si>
    <t>Bomb</t>
  </si>
  <si>
    <t>Bomb x2</t>
  </si>
  <si>
    <t>Consumo(kWh)</t>
  </si>
  <si>
    <t>Ref x2</t>
  </si>
  <si>
    <t>Para determinar fracc tiempo</t>
  </si>
  <si>
    <t>Gas($)</t>
  </si>
  <si>
    <t>Meses</t>
  </si>
  <si>
    <t>Batidora</t>
  </si>
  <si>
    <t>Total Mes</t>
  </si>
  <si>
    <t>Tarifa eléctrica</t>
  </si>
  <si>
    <t>Más de</t>
  </si>
  <si>
    <t>Rango(Cons)</t>
  </si>
  <si>
    <t>Cons(kWh)</t>
  </si>
  <si>
    <t>Imp($)</t>
  </si>
  <si>
    <t>Precio($)</t>
  </si>
  <si>
    <t>Total Pagar</t>
  </si>
  <si>
    <t>Electricidad importada</t>
  </si>
  <si>
    <t>Precio de electricidad</t>
  </si>
  <si>
    <t>ESt</t>
  </si>
  <si>
    <t>HSt</t>
  </si>
  <si>
    <t>FCOM</t>
  </si>
  <si>
    <t>CI</t>
  </si>
  <si>
    <t>VCOM</t>
  </si>
  <si>
    <t>ULS</t>
  </si>
  <si>
    <t>FSC</t>
  </si>
  <si>
    <t>FC</t>
  </si>
  <si>
    <t>H2P</t>
  </si>
  <si>
    <t>ChF</t>
  </si>
  <si>
    <t>RF</t>
  </si>
  <si>
    <t>InvCoef</t>
  </si>
  <si>
    <t>Efi</t>
  </si>
  <si>
    <t>TD</t>
  </si>
  <si>
    <t>Cap</t>
  </si>
  <si>
    <t>Pow</t>
  </si>
  <si>
    <t>Sti</t>
  </si>
  <si>
    <t>PGenSti</t>
  </si>
  <si>
    <t>PGenPv</t>
  </si>
  <si>
    <t>PGenES</t>
  </si>
  <si>
    <t>HGenSti</t>
  </si>
  <si>
    <t>HGenHS</t>
  </si>
  <si>
    <t>C-STi</t>
  </si>
  <si>
    <t>C-PV</t>
  </si>
  <si>
    <t>C-ES</t>
  </si>
  <si>
    <t>C-HS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</si>
</sst>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Border="1"/>
    <xf numFmtId="0" fontId="0" fillId="8" borderId="3" xfId="0" applyFill="1" applyBorder="1"/>
    <xf numFmtId="0" fontId="1" fillId="6" borderId="1" xfId="0" applyFont="1" applyFill="1" applyBorder="1"/>
    <xf numFmtId="0" fontId="1" fillId="6" borderId="4" xfId="0" applyFont="1" applyFill="1" applyBorder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2" fontId="2" fillId="0" borderId="0" xfId="0" applyNumberFormat="1" applyFont="1"/>
    <xf numFmtId="0" fontId="0" fillId="8" borderId="2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12" borderId="1" xfId="0" applyFill="1" applyBorder="1"/>
    <xf numFmtId="0" fontId="0" fillId="0" borderId="8" xfId="0" applyBorder="1"/>
    <xf numFmtId="1" fontId="0" fillId="0" borderId="8" xfId="0" applyNumberFormat="1" applyBorder="1"/>
    <xf numFmtId="0" fontId="0" fillId="11" borderId="0" xfId="0" applyFill="1" applyBorder="1"/>
    <xf numFmtId="0" fontId="0" fillId="11" borderId="12" xfId="0" applyFill="1" applyBorder="1"/>
    <xf numFmtId="2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3" fillId="9" borderId="9" xfId="0" applyFont="1" applyFill="1" applyBorder="1"/>
    <xf numFmtId="0" fontId="3" fillId="9" borderId="15" xfId="0" applyFont="1" applyFill="1" applyBorder="1"/>
    <xf numFmtId="0" fontId="3" fillId="9" borderId="11" xfId="0" applyFont="1" applyFill="1" applyBorder="1"/>
    <xf numFmtId="0" fontId="3" fillId="9" borderId="0" xfId="0" applyFont="1" applyFill="1" applyBorder="1"/>
    <xf numFmtId="0" fontId="3" fillId="9" borderId="13" xfId="0" applyFont="1" applyFill="1" applyBorder="1" applyAlignment="1">
      <alignment horizontal="right"/>
    </xf>
    <xf numFmtId="0" fontId="3" fillId="9" borderId="1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0" fillId="4" borderId="0" xfId="0" applyFill="1"/>
    <xf numFmtId="0" fontId="2" fillId="4" borderId="0" xfId="0" applyFont="1" applyFill="1"/>
    <xf numFmtId="2" fontId="0" fillId="12" borderId="8" xfId="0" applyNumberFormat="1" applyFill="1" applyBorder="1"/>
    <xf numFmtId="0" fontId="0" fillId="12" borderId="1" xfId="0" applyNumberFormat="1" applyFill="1" applyBorder="1"/>
    <xf numFmtId="0" fontId="0" fillId="12" borderId="8" xfId="0" applyFill="1" applyBorder="1"/>
    <xf numFmtId="0" fontId="1" fillId="0" borderId="1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1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CC"/>
      <color rgb="FF834D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Electrical</a:t>
            </a:r>
            <a:r>
              <a:rPr lang="es-ES_tradnl" baseline="0"/>
              <a:t> and Heat demand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D!$B$1</c:f>
              <c:strCache>
                <c:ptCount val="1"/>
                <c:pt idx="0">
                  <c:v>Electric load(kWeh/h)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D!$B$2:$B$25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83-4F8B-A866-C406456E573C}"/>
            </c:ext>
          </c:extLst>
        </c:ser>
        <c:ser>
          <c:idx val="1"/>
          <c:order val="1"/>
          <c:tx>
            <c:strRef>
              <c:f>D!$C$1</c:f>
              <c:strCache>
                <c:ptCount val="1"/>
                <c:pt idx="0">
                  <c:v>Heat load(kWth/h)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D!$C$2:$C$25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83-4F8B-A866-C406456E5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97926448"/>
        <c:axId val="-797922640"/>
      </c:barChart>
      <c:catAx>
        <c:axId val="-797926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797922640"/>
        <c:crosses val="autoZero"/>
        <c:auto val="1"/>
        <c:lblAlgn val="ctr"/>
        <c:lblOffset val="100"/>
        <c:noMultiLvlLbl val="0"/>
      </c:catAx>
      <c:valAx>
        <c:axId val="-7979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79792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Sun </a:t>
            </a:r>
            <a:r>
              <a:rPr lang="es-ES_tradnl" sz="1800"/>
              <a:t>Aviability</a:t>
            </a:r>
            <a:r>
              <a:rPr lang="es-ES_tradnl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D!$D$2:$D$25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0.2</c:v>
                </c:pt>
                <c:pt idx="7">
                  <c:v>0.6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0.95</c:v>
                </c:pt>
                <c:pt idx="15">
                  <c:v>0.9</c:v>
                </c:pt>
                <c:pt idx="16">
                  <c:v>0.8</c:v>
                </c:pt>
                <c:pt idx="17">
                  <c:v>0.6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A-48F8-AF68-41645D769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7925904"/>
        <c:axId val="-797925360"/>
      </c:areaChart>
      <c:catAx>
        <c:axId val="-7979259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797925360"/>
        <c:crosses val="autoZero"/>
        <c:auto val="1"/>
        <c:lblAlgn val="ctr"/>
        <c:lblOffset val="100"/>
        <c:noMultiLvlLbl val="0"/>
      </c:catAx>
      <c:valAx>
        <c:axId val="-7979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79792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Solution!$F$2:$F$49</c:f>
              <c:numCache>
                <c:formatCode>0.00</c:formatCode>
                <c:ptCount val="48"/>
                <c:pt idx="0">
                  <c:v>8.0678030303230166</c:v>
                </c:pt>
                <c:pt idx="1">
                  <c:v>8.0678030303224197</c:v>
                </c:pt>
                <c:pt idx="2">
                  <c:v>8.0678030303218247</c:v>
                </c:pt>
                <c:pt idx="3">
                  <c:v>8.0678030303212278</c:v>
                </c:pt>
                <c:pt idx="4">
                  <c:v>8.0678030303200359</c:v>
                </c:pt>
                <c:pt idx="5">
                  <c:v>8.0678030302682568</c:v>
                </c:pt>
                <c:pt idx="6">
                  <c:v>6.6666666666667052</c:v>
                </c:pt>
                <c:pt idx="7">
                  <c:v>-7.651616394853216E-16</c:v>
                </c:pt>
                <c:pt idx="8">
                  <c:v>-2.0090595853616833E-12</c:v>
                </c:pt>
                <c:pt idx="9">
                  <c:v>-8.8817841970012523E-16</c:v>
                </c:pt>
                <c:pt idx="10">
                  <c:v>-2.014388655879884E-12</c:v>
                </c:pt>
                <c:pt idx="11">
                  <c:v>-1.3367085216486885E-12</c:v>
                </c:pt>
                <c:pt idx="12">
                  <c:v>-1.7763568394002505E-15</c:v>
                </c:pt>
                <c:pt idx="13">
                  <c:v>-1.7763568394002505E-15</c:v>
                </c:pt>
                <c:pt idx="14">
                  <c:v>-8.8817841970012523E-16</c:v>
                </c:pt>
                <c:pt idx="15">
                  <c:v>-5.5333515547317802E-13</c:v>
                </c:pt>
                <c:pt idx="16">
                  <c:v>-1.3322676295501878E-15</c:v>
                </c:pt>
                <c:pt idx="17">
                  <c:v>-6.6968652845389443E-13</c:v>
                </c:pt>
                <c:pt idx="18">
                  <c:v>6.6666666666667052</c:v>
                </c:pt>
                <c:pt idx="19">
                  <c:v>8.0678030303188013</c:v>
                </c:pt>
                <c:pt idx="20">
                  <c:v>8.0678030303175081</c:v>
                </c:pt>
                <c:pt idx="21">
                  <c:v>8.0678030302799613</c:v>
                </c:pt>
                <c:pt idx="22">
                  <c:v>8.0678030302723975</c:v>
                </c:pt>
                <c:pt idx="23">
                  <c:v>8.0678030302696087</c:v>
                </c:pt>
                <c:pt idx="24">
                  <c:v>2.4515944829772707E-12</c:v>
                </c:pt>
                <c:pt idx="25">
                  <c:v>1.8385293287792592E-12</c:v>
                </c:pt>
                <c:pt idx="26">
                  <c:v>1.2259082637910979E-12</c:v>
                </c:pt>
                <c:pt idx="27">
                  <c:v>6.1284310959308641E-13</c:v>
                </c:pt>
                <c:pt idx="28">
                  <c:v>0</c:v>
                </c:pt>
                <c:pt idx="29">
                  <c:v>-5.5511151231257827E-17</c:v>
                </c:pt>
                <c:pt idx="30">
                  <c:v>-8.3519302584988964E-13</c:v>
                </c:pt>
                <c:pt idx="31">
                  <c:v>-9.3847152271564482E-13</c:v>
                </c:pt>
                <c:pt idx="32">
                  <c:v>-9.3658414357378206E-13</c:v>
                </c:pt>
                <c:pt idx="33">
                  <c:v>-9.3614005436393199E-13</c:v>
                </c:pt>
                <c:pt idx="34">
                  <c:v>-9.3658414357378206E-13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-9.3636209896885703E-13</c:v>
                </c:pt>
                <c:pt idx="39">
                  <c:v>-9.354739205491569E-13</c:v>
                </c:pt>
                <c:pt idx="40">
                  <c:v>-9.3658414357378206E-13</c:v>
                </c:pt>
                <c:pt idx="41">
                  <c:v>-9.3658414357378206E-13</c:v>
                </c:pt>
                <c:pt idx="42">
                  <c:v>-2.1629920077259612E-13</c:v>
                </c:pt>
                <c:pt idx="43">
                  <c:v>0</c:v>
                </c:pt>
                <c:pt idx="44">
                  <c:v>0</c:v>
                </c:pt>
                <c:pt idx="45">
                  <c:v>6.1839422471621219E-14</c:v>
                </c:pt>
                <c:pt idx="46">
                  <c:v>2.5024426975051028E-13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06-4AEC-AF75-9E4969DC343D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Solution!$G$2:$G$49</c:f>
              <c:numCache>
                <c:formatCode>0.00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0.83333333333354731</c:v>
                </c:pt>
                <c:pt idx="6">
                  <c:v>3.3333333333332944</c:v>
                </c:pt>
                <c:pt idx="7">
                  <c:v>10.000000000000599</c:v>
                </c:pt>
                <c:pt idx="8">
                  <c:v>13.333333333333893</c:v>
                </c:pt>
                <c:pt idx="9">
                  <c:v>14.999999999999824</c:v>
                </c:pt>
                <c:pt idx="10">
                  <c:v>15.833333333333146</c:v>
                </c:pt>
                <c:pt idx="11">
                  <c:v>16.666666666666472</c:v>
                </c:pt>
                <c:pt idx="12">
                  <c:v>16.666666666666472</c:v>
                </c:pt>
                <c:pt idx="13">
                  <c:v>16.666666666666472</c:v>
                </c:pt>
                <c:pt idx="14">
                  <c:v>15.833333333333146</c:v>
                </c:pt>
                <c:pt idx="15">
                  <c:v>14.999999999999824</c:v>
                </c:pt>
                <c:pt idx="16">
                  <c:v>13.333333333333179</c:v>
                </c:pt>
                <c:pt idx="17">
                  <c:v>10.00000000000067</c:v>
                </c:pt>
                <c:pt idx="18">
                  <c:v>3.3333333333332944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9.6779510936123789E-2</c:v>
                </c:pt>
                <c:pt idx="30">
                  <c:v>0.38711804374516356</c:v>
                </c:pt>
                <c:pt idx="31">
                  <c:v>1.161354131235095</c:v>
                </c:pt>
                <c:pt idx="32">
                  <c:v>1.5484721749779811</c:v>
                </c:pt>
                <c:pt idx="33">
                  <c:v>1.7420311968502282</c:v>
                </c:pt>
                <c:pt idx="34">
                  <c:v>1.8388107078376033</c:v>
                </c:pt>
                <c:pt idx="35">
                  <c:v>1.9355902187224756</c:v>
                </c:pt>
                <c:pt idx="36">
                  <c:v>1.9355902187224756</c:v>
                </c:pt>
                <c:pt idx="37">
                  <c:v>1.9355902187224756</c:v>
                </c:pt>
                <c:pt idx="38">
                  <c:v>1.838810707786352</c:v>
                </c:pt>
                <c:pt idx="39">
                  <c:v>1.7420311968502282</c:v>
                </c:pt>
                <c:pt idx="40">
                  <c:v>1.2539629002190871</c:v>
                </c:pt>
                <c:pt idx="41">
                  <c:v>1.1613541312341986</c:v>
                </c:pt>
                <c:pt idx="42">
                  <c:v>0.38711804374449515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06-4AEC-AF75-9E4969DC343D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Solution!$H$2:$H$49</c:f>
              <c:numCache>
                <c:formatCode>0.00</c:formatCode>
                <c:ptCount val="48"/>
                <c:pt idx="0">
                  <c:v>1.9321969696769834</c:v>
                </c:pt>
                <c:pt idx="1">
                  <c:v>1.9321969696775796</c:v>
                </c:pt>
                <c:pt idx="2">
                  <c:v>1.9321969696781756</c:v>
                </c:pt>
                <c:pt idx="3">
                  <c:v>1.932196969678772</c:v>
                </c:pt>
                <c:pt idx="4">
                  <c:v>1.9321969696799641</c:v>
                </c:pt>
                <c:pt idx="5">
                  <c:v>1.0988636363981958</c:v>
                </c:pt>
                <c:pt idx="6">
                  <c:v>0</c:v>
                </c:pt>
                <c:pt idx="7">
                  <c:v>-5.9786709323839908E-13</c:v>
                </c:pt>
                <c:pt idx="8">
                  <c:v>-5.9605262808303621E-13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1.9321969696811987</c:v>
                </c:pt>
                <c:pt idx="20">
                  <c:v>1.9321969696824923</c:v>
                </c:pt>
                <c:pt idx="21">
                  <c:v>1.9321969697200392</c:v>
                </c:pt>
                <c:pt idx="22">
                  <c:v>1.9321969697276025</c:v>
                </c:pt>
                <c:pt idx="23">
                  <c:v>1.9321969697303909</c:v>
                </c:pt>
                <c:pt idx="24">
                  <c:v>0.34999999999754838</c:v>
                </c:pt>
                <c:pt idx="25">
                  <c:v>0.34999999999816145</c:v>
                </c:pt>
                <c:pt idx="26">
                  <c:v>0.34999999999877407</c:v>
                </c:pt>
                <c:pt idx="27">
                  <c:v>0.34999999999938713</c:v>
                </c:pt>
                <c:pt idx="28">
                  <c:v>0.35</c:v>
                </c:pt>
                <c:pt idx="29">
                  <c:v>0.46322048906387631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0.21288195625572123</c:v>
                </c:pt>
                <c:pt idx="43">
                  <c:v>1.73</c:v>
                </c:pt>
                <c:pt idx="44">
                  <c:v>0.65</c:v>
                </c:pt>
                <c:pt idx="45">
                  <c:v>0.64999999999993818</c:v>
                </c:pt>
                <c:pt idx="46">
                  <c:v>0.64999999999974978</c:v>
                </c:pt>
                <c:pt idx="47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06-4AEC-AF75-9E4969DC3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798587552"/>
        <c:axId val="-798582112"/>
      </c:barChart>
      <c:catAx>
        <c:axId val="-798587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798582112"/>
        <c:crosses val="autoZero"/>
        <c:auto val="1"/>
        <c:lblAlgn val="ctr"/>
        <c:lblOffset val="100"/>
        <c:noMultiLvlLbl val="0"/>
      </c:catAx>
      <c:valAx>
        <c:axId val="-798582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79858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100"/>
              <a:t>Satisfaction of the electrical demand</a:t>
            </a:r>
          </a:p>
        </c:rich>
      </c:tx>
      <c:layout>
        <c:manualLayout>
          <c:xMode val="edge"/>
          <c:yMode val="edge"/>
          <c:x val="0.26537510936132985"/>
          <c:y val="5.269036289856501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413670166229221"/>
          <c:y val="0.14766542939588492"/>
          <c:w val="0.82864107611548554"/>
          <c:h val="0.6653274869040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Solution!$F$1</c:f>
              <c:strCache>
                <c:ptCount val="1"/>
                <c:pt idx="0">
                  <c:v>PHP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Solution!$F$2:$F$25</c:f>
              <c:numCache>
                <c:formatCode>0.00</c:formatCode>
                <c:ptCount val="24"/>
                <c:pt idx="0">
                  <c:v>8.0678030303230166</c:v>
                </c:pt>
                <c:pt idx="1">
                  <c:v>8.0678030303224197</c:v>
                </c:pt>
                <c:pt idx="2">
                  <c:v>8.0678030303218247</c:v>
                </c:pt>
                <c:pt idx="3">
                  <c:v>8.0678030303212278</c:v>
                </c:pt>
                <c:pt idx="4">
                  <c:v>8.0678030303200359</c:v>
                </c:pt>
                <c:pt idx="5">
                  <c:v>8.0678030302682568</c:v>
                </c:pt>
                <c:pt idx="6">
                  <c:v>6.6666666666667052</c:v>
                </c:pt>
                <c:pt idx="7">
                  <c:v>-7.651616394853216E-16</c:v>
                </c:pt>
                <c:pt idx="8">
                  <c:v>-2.0090595853616833E-12</c:v>
                </c:pt>
                <c:pt idx="9">
                  <c:v>-8.8817841970012523E-16</c:v>
                </c:pt>
                <c:pt idx="10">
                  <c:v>-2.014388655879884E-12</c:v>
                </c:pt>
                <c:pt idx="11">
                  <c:v>-1.3367085216486885E-12</c:v>
                </c:pt>
                <c:pt idx="12">
                  <c:v>-1.7763568394002505E-15</c:v>
                </c:pt>
                <c:pt idx="13">
                  <c:v>-1.7763568394002505E-15</c:v>
                </c:pt>
                <c:pt idx="14">
                  <c:v>-8.8817841970012523E-16</c:v>
                </c:pt>
                <c:pt idx="15">
                  <c:v>-5.5333515547317802E-13</c:v>
                </c:pt>
                <c:pt idx="16">
                  <c:v>-1.3322676295501878E-15</c:v>
                </c:pt>
                <c:pt idx="17">
                  <c:v>-6.6968652845389443E-13</c:v>
                </c:pt>
                <c:pt idx="18">
                  <c:v>6.6666666666667052</c:v>
                </c:pt>
                <c:pt idx="19">
                  <c:v>8.0678030303188013</c:v>
                </c:pt>
                <c:pt idx="20">
                  <c:v>8.0678030303175081</c:v>
                </c:pt>
                <c:pt idx="21">
                  <c:v>8.0678030302799613</c:v>
                </c:pt>
                <c:pt idx="22">
                  <c:v>8.0678030302723975</c:v>
                </c:pt>
                <c:pt idx="23">
                  <c:v>8.0678030302696087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2-4BD8-9074-9149E6ADF51E}"/>
            </c:ext>
          </c:extLst>
        </c:ser>
        <c:ser>
          <c:idx val="1"/>
          <c:order val="1"/>
          <c:tx>
            <c:strRef>
              <c:f>Solution!$G$1</c:f>
              <c:strCache>
                <c:ptCount val="1"/>
                <c:pt idx="0">
                  <c:v>PV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Solution!$G$2:$G$25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0.83333333333354731</c:v>
                </c:pt>
                <c:pt idx="6">
                  <c:v>3.3333333333332944</c:v>
                </c:pt>
                <c:pt idx="7">
                  <c:v>10.000000000000599</c:v>
                </c:pt>
                <c:pt idx="8">
                  <c:v>13.333333333333893</c:v>
                </c:pt>
                <c:pt idx="9">
                  <c:v>14.999999999999824</c:v>
                </c:pt>
                <c:pt idx="10">
                  <c:v>15.833333333333146</c:v>
                </c:pt>
                <c:pt idx="11">
                  <c:v>16.666666666666472</c:v>
                </c:pt>
                <c:pt idx="12">
                  <c:v>16.666666666666472</c:v>
                </c:pt>
                <c:pt idx="13">
                  <c:v>16.666666666666472</c:v>
                </c:pt>
                <c:pt idx="14">
                  <c:v>15.833333333333146</c:v>
                </c:pt>
                <c:pt idx="15">
                  <c:v>14.999999999999824</c:v>
                </c:pt>
                <c:pt idx="16">
                  <c:v>13.333333333333179</c:v>
                </c:pt>
                <c:pt idx="17">
                  <c:v>10.00000000000067</c:v>
                </c:pt>
                <c:pt idx="18">
                  <c:v>3.3333333333332944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2-4BD8-9074-9149E6ADF51E}"/>
            </c:ext>
          </c:extLst>
        </c:ser>
        <c:ser>
          <c:idx val="2"/>
          <c:order val="2"/>
          <c:tx>
            <c:strRef>
              <c:f>Solution!$H$1</c:f>
              <c:strCache>
                <c:ptCount val="1"/>
                <c:pt idx="0">
                  <c:v>PS2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Solution!$H$2:$H$25</c:f>
              <c:numCache>
                <c:formatCode>0.00</c:formatCode>
                <c:ptCount val="24"/>
                <c:pt idx="0">
                  <c:v>1.9321969696769834</c:v>
                </c:pt>
                <c:pt idx="1">
                  <c:v>1.9321969696775796</c:v>
                </c:pt>
                <c:pt idx="2">
                  <c:v>1.9321969696781756</c:v>
                </c:pt>
                <c:pt idx="3">
                  <c:v>1.932196969678772</c:v>
                </c:pt>
                <c:pt idx="4">
                  <c:v>1.9321969696799641</c:v>
                </c:pt>
                <c:pt idx="5">
                  <c:v>1.0988636363981958</c:v>
                </c:pt>
                <c:pt idx="6">
                  <c:v>0</c:v>
                </c:pt>
                <c:pt idx="7">
                  <c:v>-5.9786709323839908E-13</c:v>
                </c:pt>
                <c:pt idx="8">
                  <c:v>-5.9605262808303621E-13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1.9321969696811987</c:v>
                </c:pt>
                <c:pt idx="20">
                  <c:v>1.9321969696824923</c:v>
                </c:pt>
                <c:pt idx="21">
                  <c:v>1.9321969697200392</c:v>
                </c:pt>
                <c:pt idx="22">
                  <c:v>1.9321969697276025</c:v>
                </c:pt>
                <c:pt idx="23">
                  <c:v>1.9321969697303909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D2-4BD8-9074-9149E6ADF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798585376"/>
        <c:axId val="-798587008"/>
      </c:barChart>
      <c:lineChart>
        <c:grouping val="standard"/>
        <c:varyColors val="0"/>
        <c:ser>
          <c:idx val="3"/>
          <c:order val="3"/>
          <c:tx>
            <c:strRef>
              <c:f>D!$B$1</c:f>
              <c:strCache>
                <c:ptCount val="1"/>
                <c:pt idx="0">
                  <c:v>Electric load(kWeh/h)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D!$B$2:$B$25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D2-4BD8-9074-9149E6ADF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8585376"/>
        <c:axId val="-798587008"/>
      </c:lineChart>
      <c:catAx>
        <c:axId val="-79858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Hours</a:t>
                </a:r>
              </a:p>
            </c:rich>
          </c:tx>
          <c:layout>
            <c:manualLayout>
              <c:xMode val="edge"/>
              <c:yMode val="edge"/>
              <c:x val="0.89181824146981614"/>
              <c:y val="0.905059131147283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798587008"/>
        <c:crosses val="autoZero"/>
        <c:auto val="1"/>
        <c:lblAlgn val="ctr"/>
        <c:lblOffset val="100"/>
        <c:noMultiLvlLbl val="0"/>
      </c:catAx>
      <c:valAx>
        <c:axId val="-798587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kW</a:t>
                </a:r>
              </a:p>
            </c:rich>
          </c:tx>
          <c:layout>
            <c:manualLayout>
              <c:xMode val="edge"/>
              <c:yMode val="edge"/>
              <c:x val="4.4444444444444446E-2"/>
              <c:y val="5.03946750163635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79858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/>
              <a:t>Satisfaction of the heat demand</a:t>
            </a:r>
          </a:p>
        </c:rich>
      </c:tx>
      <c:layout>
        <c:manualLayout>
          <c:xMode val="edge"/>
          <c:yMode val="edge"/>
          <c:x val="0.28204177602799646"/>
          <c:y val="5.7315252354678823E-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Solution!$I$1</c:f>
              <c:strCache>
                <c:ptCount val="1"/>
                <c:pt idx="0">
                  <c:v>HS2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Solution!$I$2:$I$25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4.0000000000013403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7-437A-9B5E-1A60B4097108}"/>
            </c:ext>
          </c:extLst>
        </c:ser>
        <c:ser>
          <c:idx val="1"/>
          <c:order val="1"/>
          <c:tx>
            <c:strRef>
              <c:f>Solution!$J$1</c:f>
              <c:strCache>
                <c:ptCount val="1"/>
                <c:pt idx="0">
                  <c:v>HHP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Solution!$J$2:$J$25</c:f>
              <c:numCache>
                <c:formatCode>0.00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5.5363321799326499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-1.3399755112337328E-12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7-437A-9B5E-1A60B4097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798588096"/>
        <c:axId val="-798588640"/>
      </c:barChart>
      <c:lineChart>
        <c:grouping val="standard"/>
        <c:varyColors val="0"/>
        <c:ser>
          <c:idx val="3"/>
          <c:order val="2"/>
          <c:tx>
            <c:strRef>
              <c:f>D!$C$1</c:f>
              <c:strCache>
                <c:ptCount val="1"/>
                <c:pt idx="0">
                  <c:v>Heat load(kWth/h)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D!$C$2:$C$25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C7-437A-9B5E-1A60B4097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8588096"/>
        <c:axId val="-798588640"/>
      </c:lineChart>
      <c:catAx>
        <c:axId val="-79858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Hours</a:t>
                </a:r>
              </a:p>
            </c:rich>
          </c:tx>
          <c:layout>
            <c:manualLayout>
              <c:xMode val="edge"/>
              <c:yMode val="edge"/>
              <c:x val="0.88348490813648295"/>
              <c:y val="0.79648160953266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798588640"/>
        <c:crosses val="autoZero"/>
        <c:auto val="1"/>
        <c:lblAlgn val="ctr"/>
        <c:lblOffset val="100"/>
        <c:noMultiLvlLbl val="0"/>
      </c:catAx>
      <c:valAx>
        <c:axId val="-7985886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kW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1.56498680996847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79858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339916885389327"/>
          <c:y val="0.80944593660167063"/>
          <c:w val="0.56986811023622053"/>
          <c:h val="7.3290340054538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Sol!$J$1</c:f>
              <c:strCache>
                <c:ptCount val="1"/>
                <c:pt idx="0">
                  <c:v>HGenSti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Sol!$J$2:$J$25</c:f>
              <c:numCache>
                <c:formatCode>General</c:formatCode>
                <c:ptCount val="2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4.4647491349480957</c:v>
                </c:pt>
                <c:pt idx="4">
                  <c:v>4</c:v>
                </c:pt>
                <c:pt idx="5">
                  <c:v>4.6875000000000009</c:v>
                </c:pt>
                <c:pt idx="6">
                  <c:v>3.7500000000000004</c:v>
                </c:pt>
                <c:pt idx="7">
                  <c:v>0.34602076124567405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1.2500000000000004</c:v>
                </c:pt>
                <c:pt idx="18">
                  <c:v>3.7500000000000004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5-4B51-BA0E-D9828536CECA}"/>
            </c:ext>
          </c:extLst>
        </c:ser>
        <c:ser>
          <c:idx val="1"/>
          <c:order val="2"/>
          <c:tx>
            <c:strRef>
              <c:f>Sol!$K$1</c:f>
              <c:strCache>
                <c:ptCount val="1"/>
                <c:pt idx="0">
                  <c:v>HGenHS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Sol!$K$2:$K$25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0.24999999999999958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2.7500000000000004</c:v>
                </c:pt>
                <c:pt idx="18">
                  <c:v>0.24999999999999958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F5-4B51-BA0E-D9828536C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3672912"/>
        <c:axId val="363677832"/>
      </c:barChart>
      <c:lineChart>
        <c:grouping val="standard"/>
        <c:varyColors val="0"/>
        <c:ser>
          <c:idx val="2"/>
          <c:order val="0"/>
          <c:tx>
            <c:strRef>
              <c:f>D!$C$1</c:f>
              <c:strCache>
                <c:ptCount val="1"/>
                <c:pt idx="0">
                  <c:v>Heat load(kWth/h)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D!$C$2:$C$25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96-4F8B-BCBF-6C32A0044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672912"/>
        <c:axId val="363677832"/>
      </c:lineChart>
      <c:catAx>
        <c:axId val="36367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3677832"/>
        <c:crosses val="autoZero"/>
        <c:auto val="1"/>
        <c:lblAlgn val="ctr"/>
        <c:lblOffset val="100"/>
        <c:noMultiLvlLbl val="0"/>
      </c:catAx>
      <c:valAx>
        <c:axId val="36367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367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Sol!$E$1</c:f>
              <c:strCache>
                <c:ptCount val="1"/>
                <c:pt idx="0">
                  <c:v>PGenSti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Sol!$E$2:$E$25</c:f>
              <c:numCache>
                <c:formatCode>General</c:formatCode>
                <c:ptCount val="24"/>
                <c:pt idx="0">
                  <c:v>10.000000000000002</c:v>
                </c:pt>
                <c:pt idx="1">
                  <c:v>10.000000000000002</c:v>
                </c:pt>
                <c:pt idx="2">
                  <c:v>10.000000000000002</c:v>
                </c:pt>
                <c:pt idx="3">
                  <c:v>10.000000000000002</c:v>
                </c:pt>
                <c:pt idx="4">
                  <c:v>10.000000000000002</c:v>
                </c:pt>
                <c:pt idx="5">
                  <c:v>9.3750000000000018</c:v>
                </c:pt>
                <c:pt idx="6">
                  <c:v>7.5000000000000018</c:v>
                </c:pt>
                <c:pt idx="7">
                  <c:v>2.5000000000000013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2.5000000000000013</c:v>
                </c:pt>
                <c:pt idx="18">
                  <c:v>7.5000000000000018</c:v>
                </c:pt>
                <c:pt idx="19">
                  <c:v>10.000000000000002</c:v>
                </c:pt>
                <c:pt idx="20">
                  <c:v>10.000000000000002</c:v>
                </c:pt>
                <c:pt idx="21">
                  <c:v>8.1906249999999972</c:v>
                </c:pt>
                <c:pt idx="22">
                  <c:v>8.0000000000000018</c:v>
                </c:pt>
                <c:pt idx="23">
                  <c:v>8.0000000000000018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8-425B-AC19-C94AC0D32367}"/>
            </c:ext>
          </c:extLst>
        </c:ser>
        <c:ser>
          <c:idx val="1"/>
          <c:order val="1"/>
          <c:tx>
            <c:strRef>
              <c:f>Sol!$F$1</c:f>
              <c:strCache>
                <c:ptCount val="1"/>
                <c:pt idx="0">
                  <c:v>PGenPv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Sol!$F$2:$F$25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0.625</c:v>
                </c:pt>
                <c:pt idx="6">
                  <c:v>2.5</c:v>
                </c:pt>
                <c:pt idx="7">
                  <c:v>7.5</c:v>
                </c:pt>
                <c:pt idx="8">
                  <c:v>10</c:v>
                </c:pt>
                <c:pt idx="9">
                  <c:v>11.25</c:v>
                </c:pt>
                <c:pt idx="10">
                  <c:v>11.875000000000002</c:v>
                </c:pt>
                <c:pt idx="11">
                  <c:v>12.500000000000002</c:v>
                </c:pt>
                <c:pt idx="12">
                  <c:v>12.500000000000002</c:v>
                </c:pt>
                <c:pt idx="13">
                  <c:v>12.500000000000002</c:v>
                </c:pt>
                <c:pt idx="14">
                  <c:v>11.875000000000002</c:v>
                </c:pt>
                <c:pt idx="15">
                  <c:v>11.25</c:v>
                </c:pt>
                <c:pt idx="16">
                  <c:v>10</c:v>
                </c:pt>
                <c:pt idx="17">
                  <c:v>7.5</c:v>
                </c:pt>
                <c:pt idx="18">
                  <c:v>2.5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C8-425B-AC19-C94AC0D32367}"/>
            </c:ext>
          </c:extLst>
        </c:ser>
        <c:ser>
          <c:idx val="2"/>
          <c:order val="2"/>
          <c:tx>
            <c:strRef>
              <c:f>Sol!$G$1</c:f>
              <c:strCache>
                <c:ptCount val="1"/>
                <c:pt idx="0">
                  <c:v>PGenES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Sol!$G$2:$G$25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1.8093750000000042</c:v>
                </c:pt>
                <c:pt idx="22">
                  <c:v>2.0000000000000004</c:v>
                </c:pt>
                <c:pt idx="23">
                  <c:v>2.0000000000000004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8-425B-AC19-C94AC0D32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0465376"/>
        <c:axId val="430460784"/>
      </c:barChart>
      <c:catAx>
        <c:axId val="43046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460784"/>
        <c:crosses val="autoZero"/>
        <c:auto val="1"/>
        <c:lblAlgn val="ctr"/>
        <c:lblOffset val="100"/>
        <c:noMultiLvlLbl val="0"/>
      </c:catAx>
      <c:valAx>
        <c:axId val="4304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46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146066</xdr:colOff>
      <xdr:row>0</xdr:row>
      <xdr:rowOff>12240</xdr:rowOff>
    </xdr:from>
    <xdr:to>
      <xdr:col>12</xdr:col>
      <xdr:colOff>146066</xdr:colOff>
      <xdr:row>14</xdr:row>
      <xdr:rowOff>88440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150719</xdr:colOff>
      <xdr:row>14</xdr:row>
      <xdr:rowOff>104494</xdr:rowOff>
    </xdr:from>
    <xdr:to>
      <xdr:col>12</xdr:col>
      <xdr:colOff>150719</xdr:colOff>
      <xdr:row>28</xdr:row>
      <xdr:rowOff>180694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505051</xdr:colOff>
      <xdr:row>3</xdr:row>
      <xdr:rowOff>108185</xdr:rowOff>
    </xdr:from>
    <xdr:to>
      <xdr:col>6</xdr:col>
      <xdr:colOff>13895</xdr:colOff>
      <xdr:row>17</xdr:row>
      <xdr:rowOff>184385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</xdr:row>
      <xdr:rowOff>76200</xdr:rowOff>
    </xdr:from>
    <xdr:to>
      <xdr:col>9</xdr:col>
      <xdr:colOff>495300</xdr:colOff>
      <xdr:row>17</xdr:row>
      <xdr:rowOff>142878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752475</xdr:colOff>
      <xdr:row>2</xdr:row>
      <xdr:rowOff>66675</xdr:rowOff>
    </xdr:from>
    <xdr:to>
      <xdr:col>15</xdr:col>
      <xdr:colOff>752475</xdr:colOff>
      <xdr:row>17</xdr:row>
      <xdr:rowOff>133353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2</xdr:row>
      <xdr:rowOff>38100</xdr:rowOff>
    </xdr:from>
    <xdr:to>
      <xdr:col>15</xdr:col>
      <xdr:colOff>628650</xdr:colOff>
      <xdr:row>16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452437</xdr:colOff>
      <xdr:row>16</xdr:row>
      <xdr:rowOff>47625</xdr:rowOff>
    </xdr:from>
    <xdr:to>
      <xdr:col>15</xdr:col>
      <xdr:colOff>452437</xdr:colOff>
      <xdr:row>30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workbookViewId="0">
      <selection activeCell="D3" sqref="D3"/>
    </sheetView>
  </sheetViews>
  <sheetFormatPr baseColWidth="10" defaultColWidth="9.140625" defaultRowHeight="15" x14ac:dyDescent="0.25"/>
  <cols>
    <col min="1" max="2" width="42.85546875" customWidth="1"/>
    <col min="3" max="3" width="12.5703125" bestFit="1" customWidth="1"/>
    <col min="4" max="4" width="8.85546875" bestFit="1" customWidth="1"/>
    <col min="5" max="5" width="12.42578125" bestFit="1" customWidth="1"/>
    <col min="6" max="6" width="12.28515625" bestFit="1" customWidth="1"/>
  </cols>
  <sheetData>
    <row r="1" spans="1:6" x14ac:dyDescent="0.25">
      <c r="A1" s="7"/>
      <c r="B1" s="7"/>
      <c r="C1" t="s">
        <v>107</v>
      </c>
      <c r="D1" t="s">
        <v>17</v>
      </c>
      <c r="E1" t="s">
        <v>91</v>
      </c>
      <c r="F1" t="s">
        <v>92</v>
      </c>
    </row>
    <row r="2" spans="1:6" x14ac:dyDescent="0.25">
      <c r="A2" s="6" t="s">
        <v>4</v>
      </c>
      <c r="B2" s="6" t="s">
        <v>94</v>
      </c>
      <c r="C2">
        <v>1500</v>
      </c>
      <c r="D2">
        <v>3000</v>
      </c>
      <c r="E2">
        <v>65</v>
      </c>
      <c r="F2">
        <v>20</v>
      </c>
    </row>
    <row r="3" spans="1:6" x14ac:dyDescent="0.25">
      <c r="A3" s="6" t="s">
        <v>35</v>
      </c>
      <c r="B3" s="6" t="s">
        <v>104</v>
      </c>
      <c r="C3">
        <v>0.1</v>
      </c>
      <c r="D3">
        <v>0.1</v>
      </c>
      <c r="E3">
        <v>0.1</v>
      </c>
      <c r="F3">
        <v>0.1</v>
      </c>
    </row>
    <row r="4" spans="1:6" x14ac:dyDescent="0.25">
      <c r="A4" s="6" t="s">
        <v>33</v>
      </c>
      <c r="B4" s="6" t="s">
        <v>93</v>
      </c>
      <c r="C4">
        <v>1.4999999999999999E-2</v>
      </c>
      <c r="D4">
        <v>0.01</v>
      </c>
      <c r="E4">
        <v>0.05</v>
      </c>
      <c r="F4">
        <v>0.01</v>
      </c>
    </row>
    <row r="5" spans="1:6" x14ac:dyDescent="0.25">
      <c r="A5" s="7" t="s">
        <v>34</v>
      </c>
      <c r="B5" s="7" t="s">
        <v>95</v>
      </c>
      <c r="C5">
        <v>0.01</v>
      </c>
      <c r="D5">
        <v>1E-3</v>
      </c>
      <c r="E5">
        <v>1E-3</v>
      </c>
      <c r="F5">
        <v>1E-3</v>
      </c>
    </row>
    <row r="6" spans="1:6" x14ac:dyDescent="0.25">
      <c r="A6" s="6" t="s">
        <v>0</v>
      </c>
      <c r="B6" s="6" t="s">
        <v>96</v>
      </c>
      <c r="C6">
        <v>15</v>
      </c>
      <c r="D6">
        <v>20</v>
      </c>
      <c r="E6">
        <v>3</v>
      </c>
      <c r="F6">
        <v>15</v>
      </c>
    </row>
    <row r="7" spans="1:6" ht="30" x14ac:dyDescent="0.25">
      <c r="A7" s="7" t="s">
        <v>15</v>
      </c>
      <c r="B7" s="7" t="s">
        <v>97</v>
      </c>
      <c r="C7">
        <v>4</v>
      </c>
      <c r="D7">
        <v>0</v>
      </c>
      <c r="E7">
        <v>0</v>
      </c>
      <c r="F7">
        <v>0</v>
      </c>
    </row>
    <row r="8" spans="1:6" x14ac:dyDescent="0.25">
      <c r="A8" s="7" t="s">
        <v>14</v>
      </c>
      <c r="B8" s="7" t="s">
        <v>98</v>
      </c>
      <c r="C8">
        <f>4.75/100</f>
        <v>4.7500000000000001E-2</v>
      </c>
      <c r="D8">
        <v>0</v>
      </c>
      <c r="E8">
        <v>0</v>
      </c>
      <c r="F8">
        <v>0</v>
      </c>
    </row>
    <row r="9" spans="1:6" x14ac:dyDescent="0.25">
      <c r="A9" s="6" t="s">
        <v>1</v>
      </c>
      <c r="B9" s="7" t="s">
        <v>99</v>
      </c>
      <c r="C9">
        <v>2</v>
      </c>
      <c r="D9">
        <v>0</v>
      </c>
      <c r="E9">
        <v>0</v>
      </c>
      <c r="F9">
        <v>0</v>
      </c>
    </row>
    <row r="10" spans="1:6" x14ac:dyDescent="0.25">
      <c r="A10" s="6" t="s">
        <v>2</v>
      </c>
      <c r="B10" s="7" t="s">
        <v>2</v>
      </c>
      <c r="C10" s="1">
        <f>C3/(1-(1/(1+C3)^C6))</f>
        <v>0.13147377688737216</v>
      </c>
      <c r="D10" s="1">
        <f>D3/(1-(1/(1+D3)^D6))</f>
        <v>0.11745962477254576</v>
      </c>
      <c r="E10" s="1">
        <f t="shared" ref="E10:F10" si="0">E3/(1-(1/(1+E3)^E6))</f>
        <v>0.40211480362537733</v>
      </c>
      <c r="F10" s="1">
        <f t="shared" si="0"/>
        <v>0.13147377688737216</v>
      </c>
    </row>
    <row r="11" spans="1:6" x14ac:dyDescent="0.25">
      <c r="A11" t="s">
        <v>24</v>
      </c>
      <c r="B11" s="7" t="s">
        <v>100</v>
      </c>
      <c r="C11">
        <v>0</v>
      </c>
      <c r="D11">
        <v>0</v>
      </c>
      <c r="E11">
        <v>0.9</v>
      </c>
      <c r="F11">
        <v>0.92</v>
      </c>
    </row>
    <row r="12" spans="1:6" x14ac:dyDescent="0.25">
      <c r="A12" t="s">
        <v>25</v>
      </c>
      <c r="B12" s="7" t="s">
        <v>101</v>
      </c>
      <c r="C12">
        <v>0</v>
      </c>
      <c r="D12">
        <v>0</v>
      </c>
      <c r="E12">
        <v>0.8</v>
      </c>
      <c r="F12">
        <v>0.9</v>
      </c>
    </row>
    <row r="13" spans="1:6" x14ac:dyDescent="0.25">
      <c r="A13" t="s">
        <v>13</v>
      </c>
      <c r="B13" s="7" t="s">
        <v>102</v>
      </c>
      <c r="C13" s="3">
        <f>(C10+C4)*C2/8760*COUNT(D!$B2:$B300)</f>
        <v>0.60194702830426927</v>
      </c>
      <c r="D13" s="3">
        <f>(D10+D4)*D2/8760*COUNT(D!$B2:$B300)</f>
        <v>1.0476133542948967</v>
      </c>
      <c r="E13" s="3">
        <f>(E10+E4)*E2/8760*COUNT(D!$B2:$B300)</f>
        <v>8.0513595166163077E-2</v>
      </c>
      <c r="F13" s="3">
        <f>(F10+F4)*F2/8760*COUNT(D!$B2:$B300)</f>
        <v>7.7519877746505296E-3</v>
      </c>
    </row>
    <row r="14" spans="1:6" x14ac:dyDescent="0.25">
      <c r="A14" t="s">
        <v>3</v>
      </c>
      <c r="B14" s="7" t="s">
        <v>3</v>
      </c>
      <c r="C14" s="3">
        <f>C7*C8</f>
        <v>0.19</v>
      </c>
      <c r="D14" s="3">
        <f t="shared" ref="D14:F14" si="1">D7*D8+D5</f>
        <v>1E-3</v>
      </c>
      <c r="E14" s="3">
        <f t="shared" si="1"/>
        <v>1E-3</v>
      </c>
      <c r="F14" s="3">
        <f t="shared" si="1"/>
        <v>1E-3</v>
      </c>
    </row>
    <row r="15" spans="1:6" x14ac:dyDescent="0.25">
      <c r="A15" t="s">
        <v>30</v>
      </c>
      <c r="B15" t="s">
        <v>103</v>
      </c>
      <c r="E15">
        <v>0.65</v>
      </c>
      <c r="F15">
        <v>0.85</v>
      </c>
    </row>
    <row r="16" spans="1:6" x14ac:dyDescent="0.25">
      <c r="B16" s="7" t="s">
        <v>105</v>
      </c>
    </row>
    <row r="17" spans="2:2" x14ac:dyDescent="0.25">
      <c r="B17" s="7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85" zoomScaleNormal="85" workbookViewId="0">
      <selection activeCell="C10" sqref="C10"/>
    </sheetView>
  </sheetViews>
  <sheetFormatPr baseColWidth="10" defaultColWidth="11.42578125" defaultRowHeight="15" x14ac:dyDescent="0.25"/>
  <cols>
    <col min="2" max="2" width="13.85546875" customWidth="1"/>
    <col min="3" max="3" width="14" customWidth="1"/>
    <col min="4" max="4" width="15.140625" bestFit="1" customWidth="1"/>
    <col min="5" max="5" width="14.42578125" customWidth="1"/>
  </cols>
  <sheetData>
    <row r="1" spans="1:5" ht="30" x14ac:dyDescent="0.25">
      <c r="A1" s="42" t="s">
        <v>6</v>
      </c>
      <c r="B1" s="43" t="s">
        <v>60</v>
      </c>
      <c r="C1" s="43" t="s">
        <v>61</v>
      </c>
      <c r="D1" s="43" t="s">
        <v>16</v>
      </c>
      <c r="E1" s="43" t="s">
        <v>90</v>
      </c>
    </row>
    <row r="2" spans="1:5" x14ac:dyDescent="0.25">
      <c r="A2" t="s">
        <v>36</v>
      </c>
      <c r="B2">
        <v>10</v>
      </c>
      <c r="C2">
        <v>4</v>
      </c>
      <c r="D2">
        <v>0</v>
      </c>
      <c r="E2">
        <v>0.21</v>
      </c>
    </row>
    <row r="3" spans="1:5" x14ac:dyDescent="0.25">
      <c r="A3" t="s">
        <v>37</v>
      </c>
      <c r="B3">
        <v>10</v>
      </c>
      <c r="C3">
        <f t="shared" ref="C3:C6" si="0">C2</f>
        <v>4</v>
      </c>
      <c r="D3">
        <v>0</v>
      </c>
      <c r="E3">
        <v>0.21</v>
      </c>
    </row>
    <row r="4" spans="1:5" x14ac:dyDescent="0.25">
      <c r="A4" t="s">
        <v>38</v>
      </c>
      <c r="B4">
        <v>10</v>
      </c>
      <c r="C4">
        <f t="shared" si="0"/>
        <v>4</v>
      </c>
      <c r="D4">
        <v>0</v>
      </c>
      <c r="E4">
        <v>0.21</v>
      </c>
    </row>
    <row r="5" spans="1:5" x14ac:dyDescent="0.25">
      <c r="A5" t="s">
        <v>39</v>
      </c>
      <c r="B5">
        <v>10</v>
      </c>
      <c r="C5">
        <f t="shared" si="0"/>
        <v>4</v>
      </c>
      <c r="D5">
        <v>0</v>
      </c>
      <c r="E5">
        <v>0.21</v>
      </c>
    </row>
    <row r="6" spans="1:5" x14ac:dyDescent="0.25">
      <c r="A6" t="s">
        <v>40</v>
      </c>
      <c r="B6">
        <v>10</v>
      </c>
      <c r="C6">
        <f t="shared" si="0"/>
        <v>4</v>
      </c>
      <c r="D6">
        <v>0</v>
      </c>
      <c r="E6">
        <v>0.21</v>
      </c>
    </row>
    <row r="7" spans="1:5" x14ac:dyDescent="0.25">
      <c r="A7" t="s">
        <v>41</v>
      </c>
      <c r="B7">
        <v>10</v>
      </c>
      <c r="C7">
        <f t="shared" ref="C7:C8" si="1">C6</f>
        <v>4</v>
      </c>
      <c r="D7">
        <v>0.05</v>
      </c>
      <c r="E7">
        <v>0.21</v>
      </c>
    </row>
    <row r="8" spans="1:5" x14ac:dyDescent="0.25">
      <c r="A8" t="s">
        <v>42</v>
      </c>
      <c r="B8">
        <v>10</v>
      </c>
      <c r="C8">
        <f t="shared" si="1"/>
        <v>4</v>
      </c>
      <c r="D8">
        <v>0.2</v>
      </c>
      <c r="E8">
        <v>0.21</v>
      </c>
    </row>
    <row r="9" spans="1:5" x14ac:dyDescent="0.25">
      <c r="A9" t="s">
        <v>43</v>
      </c>
      <c r="B9">
        <v>10</v>
      </c>
      <c r="C9">
        <v>0</v>
      </c>
      <c r="D9">
        <v>0.6</v>
      </c>
      <c r="E9">
        <v>0.21</v>
      </c>
    </row>
    <row r="10" spans="1:5" x14ac:dyDescent="0.25">
      <c r="A10" t="s">
        <v>44</v>
      </c>
      <c r="B10">
        <v>10</v>
      </c>
      <c r="C10">
        <f t="shared" ref="C10:C17" si="2">C9</f>
        <v>0</v>
      </c>
      <c r="D10">
        <v>0.8</v>
      </c>
      <c r="E10">
        <v>0.21</v>
      </c>
    </row>
    <row r="11" spans="1:5" x14ac:dyDescent="0.25">
      <c r="A11" t="s">
        <v>45</v>
      </c>
      <c r="B11">
        <v>10</v>
      </c>
      <c r="C11">
        <f t="shared" si="2"/>
        <v>0</v>
      </c>
      <c r="D11">
        <v>0.9</v>
      </c>
      <c r="E11">
        <v>0.21</v>
      </c>
    </row>
    <row r="12" spans="1:5" x14ac:dyDescent="0.25">
      <c r="A12" t="s">
        <v>46</v>
      </c>
      <c r="B12">
        <v>10</v>
      </c>
      <c r="C12">
        <f t="shared" si="2"/>
        <v>0</v>
      </c>
      <c r="D12">
        <v>0.95</v>
      </c>
      <c r="E12">
        <v>0.21</v>
      </c>
    </row>
    <row r="13" spans="1:5" x14ac:dyDescent="0.25">
      <c r="A13" t="s">
        <v>47</v>
      </c>
      <c r="B13">
        <v>10</v>
      </c>
      <c r="C13">
        <f t="shared" si="2"/>
        <v>0</v>
      </c>
      <c r="D13">
        <v>1</v>
      </c>
      <c r="E13">
        <v>0.21</v>
      </c>
    </row>
    <row r="14" spans="1:5" x14ac:dyDescent="0.25">
      <c r="A14" t="s">
        <v>48</v>
      </c>
      <c r="B14">
        <v>10</v>
      </c>
      <c r="C14">
        <f t="shared" si="2"/>
        <v>0</v>
      </c>
      <c r="D14">
        <v>1</v>
      </c>
      <c r="E14">
        <v>0.21</v>
      </c>
    </row>
    <row r="15" spans="1:5" x14ac:dyDescent="0.25">
      <c r="A15" t="s">
        <v>49</v>
      </c>
      <c r="B15">
        <v>10</v>
      </c>
      <c r="C15">
        <f t="shared" si="2"/>
        <v>0</v>
      </c>
      <c r="D15">
        <v>1</v>
      </c>
      <c r="E15">
        <v>0.21</v>
      </c>
    </row>
    <row r="16" spans="1:5" x14ac:dyDescent="0.25">
      <c r="A16" t="s">
        <v>50</v>
      </c>
      <c r="B16">
        <v>10</v>
      </c>
      <c r="C16">
        <f t="shared" si="2"/>
        <v>0</v>
      </c>
      <c r="D16">
        <v>0.95</v>
      </c>
      <c r="E16">
        <v>0.21</v>
      </c>
    </row>
    <row r="17" spans="1:5" x14ac:dyDescent="0.25">
      <c r="A17" t="s">
        <v>51</v>
      </c>
      <c r="B17">
        <v>10</v>
      </c>
      <c r="C17">
        <f t="shared" si="2"/>
        <v>0</v>
      </c>
      <c r="D17">
        <v>0.9</v>
      </c>
      <c r="E17">
        <v>0.21</v>
      </c>
    </row>
    <row r="18" spans="1:5" x14ac:dyDescent="0.25">
      <c r="A18" t="s">
        <v>52</v>
      </c>
      <c r="B18">
        <v>10</v>
      </c>
      <c r="C18">
        <f>C17</f>
        <v>0</v>
      </c>
      <c r="D18">
        <v>0.8</v>
      </c>
      <c r="E18">
        <v>0.21</v>
      </c>
    </row>
    <row r="19" spans="1:5" x14ac:dyDescent="0.25">
      <c r="A19" t="s">
        <v>53</v>
      </c>
      <c r="B19">
        <v>10</v>
      </c>
      <c r="C19">
        <f t="shared" ref="C19:C21" si="3">C2</f>
        <v>4</v>
      </c>
      <c r="D19">
        <v>0.6</v>
      </c>
      <c r="E19">
        <v>0.21</v>
      </c>
    </row>
    <row r="20" spans="1:5" x14ac:dyDescent="0.25">
      <c r="A20" t="s">
        <v>54</v>
      </c>
      <c r="B20">
        <v>10</v>
      </c>
      <c r="C20">
        <f t="shared" si="3"/>
        <v>4</v>
      </c>
      <c r="D20">
        <v>0.2</v>
      </c>
      <c r="E20">
        <v>0.21</v>
      </c>
    </row>
    <row r="21" spans="1:5" x14ac:dyDescent="0.25">
      <c r="A21" t="s">
        <v>55</v>
      </c>
      <c r="B21">
        <v>10</v>
      </c>
      <c r="C21">
        <f t="shared" si="3"/>
        <v>4</v>
      </c>
      <c r="D21">
        <v>0</v>
      </c>
      <c r="E21">
        <v>0.21</v>
      </c>
    </row>
    <row r="22" spans="1:5" x14ac:dyDescent="0.25">
      <c r="A22" t="s">
        <v>56</v>
      </c>
      <c r="B22">
        <v>10</v>
      </c>
      <c r="C22">
        <f t="shared" ref="C22:C24" si="4">C5</f>
        <v>4</v>
      </c>
      <c r="D22">
        <v>0</v>
      </c>
      <c r="E22">
        <v>0.21</v>
      </c>
    </row>
    <row r="23" spans="1:5" x14ac:dyDescent="0.25">
      <c r="A23" t="s">
        <v>57</v>
      </c>
      <c r="B23">
        <v>10</v>
      </c>
      <c r="C23">
        <f t="shared" si="4"/>
        <v>4</v>
      </c>
      <c r="D23">
        <v>0</v>
      </c>
      <c r="E23">
        <v>0.21</v>
      </c>
    </row>
    <row r="24" spans="1:5" x14ac:dyDescent="0.25">
      <c r="A24" t="s">
        <v>58</v>
      </c>
      <c r="B24">
        <v>10</v>
      </c>
      <c r="C24">
        <f t="shared" si="4"/>
        <v>4</v>
      </c>
      <c r="D24">
        <v>0</v>
      </c>
      <c r="E24">
        <v>0.21</v>
      </c>
    </row>
    <row r="25" spans="1:5" x14ac:dyDescent="0.25">
      <c r="A25" t="s">
        <v>59</v>
      </c>
      <c r="B25">
        <v>10</v>
      </c>
      <c r="C25">
        <f>C8</f>
        <v>4</v>
      </c>
      <c r="D25">
        <v>0</v>
      </c>
      <c r="E25">
        <v>0.21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>
      <selection activeCell="M7" sqref="M7"/>
    </sheetView>
  </sheetViews>
  <sheetFormatPr baseColWidth="10" defaultColWidth="11.42578125" defaultRowHeight="15" x14ac:dyDescent="0.25"/>
  <sheetData>
    <row r="2" spans="2:14" ht="15.75" customHeight="1" x14ac:dyDescent="0.25">
      <c r="B2" s="45" t="s">
        <v>7</v>
      </c>
      <c r="C2" s="45"/>
      <c r="D2" s="46" t="s">
        <v>8</v>
      </c>
      <c r="E2" s="46"/>
      <c r="F2" s="46"/>
      <c r="G2" s="47" t="s">
        <v>10</v>
      </c>
      <c r="H2" s="47"/>
      <c r="I2" s="48" t="s">
        <v>21</v>
      </c>
      <c r="J2" s="48"/>
      <c r="K2" s="49" t="s">
        <v>5</v>
      </c>
      <c r="L2" s="49"/>
      <c r="M2" s="44" t="s">
        <v>89</v>
      </c>
    </row>
    <row r="3" spans="2:14" x14ac:dyDescent="0.25">
      <c r="B3" s="45"/>
      <c r="C3" s="45"/>
      <c r="D3" s="46"/>
      <c r="E3" s="46"/>
      <c r="F3" s="46"/>
      <c r="G3" s="47"/>
      <c r="H3" s="47"/>
      <c r="I3" s="48"/>
      <c r="J3" s="48"/>
      <c r="K3" s="49"/>
      <c r="L3" s="49"/>
      <c r="M3" s="44"/>
    </row>
    <row r="4" spans="2:14" x14ac:dyDescent="0.25">
      <c r="B4" s="45"/>
      <c r="C4" s="45"/>
      <c r="D4" s="46"/>
      <c r="E4" s="46"/>
      <c r="F4" s="46"/>
      <c r="G4" s="47"/>
      <c r="H4" s="47"/>
      <c r="I4" s="48"/>
      <c r="J4" s="48"/>
      <c r="K4" s="49"/>
      <c r="L4" s="49"/>
      <c r="M4" s="44"/>
    </row>
    <row r="5" spans="2:14" x14ac:dyDescent="0.25">
      <c r="B5" s="45"/>
      <c r="C5" s="45"/>
      <c r="D5" s="46"/>
      <c r="E5" s="46"/>
      <c r="F5" s="46"/>
      <c r="G5" s="47"/>
      <c r="H5" s="47"/>
      <c r="I5" s="48"/>
      <c r="J5" s="48"/>
      <c r="K5" s="49"/>
      <c r="L5" s="49"/>
      <c r="M5" s="44"/>
    </row>
    <row r="6" spans="2:14" x14ac:dyDescent="0.25">
      <c r="B6" t="s">
        <v>31</v>
      </c>
      <c r="C6" t="s">
        <v>32</v>
      </c>
      <c r="D6" t="s">
        <v>9</v>
      </c>
      <c r="E6" t="s">
        <v>17</v>
      </c>
      <c r="F6" t="s">
        <v>19</v>
      </c>
      <c r="G6" t="s">
        <v>12</v>
      </c>
      <c r="H6" t="s">
        <v>11</v>
      </c>
      <c r="I6" t="s">
        <v>20</v>
      </c>
      <c r="J6" t="s">
        <v>18</v>
      </c>
      <c r="K6" t="s">
        <v>22</v>
      </c>
      <c r="L6" t="s">
        <v>23</v>
      </c>
    </row>
    <row r="7" spans="2:14" x14ac:dyDescent="0.25">
      <c r="C7">
        <v>4</v>
      </c>
      <c r="D7">
        <v>24</v>
      </c>
      <c r="E7">
        <f>D7</f>
        <v>24</v>
      </c>
      <c r="F7">
        <f t="shared" ref="F7:L7" si="0">E7</f>
        <v>24</v>
      </c>
      <c r="G7">
        <f t="shared" si="0"/>
        <v>24</v>
      </c>
      <c r="H7">
        <f t="shared" si="0"/>
        <v>24</v>
      </c>
      <c r="I7">
        <f t="shared" si="0"/>
        <v>24</v>
      </c>
      <c r="J7">
        <f t="shared" si="0"/>
        <v>24</v>
      </c>
      <c r="K7">
        <f t="shared" si="0"/>
        <v>24</v>
      </c>
      <c r="L7">
        <f t="shared" si="0"/>
        <v>24</v>
      </c>
      <c r="M7">
        <v>24</v>
      </c>
      <c r="N7">
        <f>SUM(B7:L7)</f>
        <v>220</v>
      </c>
    </row>
    <row r="11" spans="2:14" x14ac:dyDescent="0.25">
      <c r="D11">
        <v>-1</v>
      </c>
      <c r="E11">
        <v>0</v>
      </c>
    </row>
    <row r="12" spans="2:14" x14ac:dyDescent="0.25">
      <c r="D12">
        <v>-1</v>
      </c>
      <c r="E12">
        <v>0</v>
      </c>
    </row>
    <row r="13" spans="2:14" x14ac:dyDescent="0.25">
      <c r="D13">
        <v>-1</v>
      </c>
      <c r="E13">
        <v>0</v>
      </c>
    </row>
    <row r="14" spans="2:14" x14ac:dyDescent="0.25">
      <c r="D14">
        <v>-1</v>
      </c>
      <c r="E14">
        <v>0</v>
      </c>
    </row>
    <row r="16" spans="2:14" x14ac:dyDescent="0.25">
      <c r="D16">
        <v>0</v>
      </c>
      <c r="E16">
        <v>0.05</v>
      </c>
    </row>
    <row r="17" spans="4:5" x14ac:dyDescent="0.25">
      <c r="D17">
        <v>0</v>
      </c>
      <c r="E17">
        <v>0.2</v>
      </c>
    </row>
    <row r="18" spans="4:5" x14ac:dyDescent="0.25">
      <c r="D18">
        <v>0</v>
      </c>
      <c r="E18">
        <v>0.6</v>
      </c>
    </row>
  </sheetData>
  <mergeCells count="6">
    <mergeCell ref="M2:M5"/>
    <mergeCell ref="B2:C5"/>
    <mergeCell ref="D2:F5"/>
    <mergeCell ref="G2:H5"/>
    <mergeCell ref="I2:J5"/>
    <mergeCell ref="K2:L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zoomScale="130" zoomScaleNormal="130" workbookViewId="0">
      <selection activeCell="K50" sqref="K50"/>
    </sheetView>
  </sheetViews>
  <sheetFormatPr baseColWidth="10" defaultRowHeight="15" x14ac:dyDescent="0.25"/>
  <cols>
    <col min="4" max="4" width="13.85546875" bestFit="1" customWidth="1"/>
    <col min="5" max="5" width="13.85546875" customWidth="1"/>
    <col min="6" max="6" width="13.85546875" bestFit="1" customWidth="1"/>
    <col min="7" max="9" width="11.5703125" bestFit="1" customWidth="1"/>
    <col min="10" max="13" width="13.85546875" bestFit="1" customWidth="1"/>
    <col min="14" max="14" width="11.5703125" bestFit="1" customWidth="1"/>
  </cols>
  <sheetData>
    <row r="1" spans="1:14" x14ac:dyDescent="0.25">
      <c r="A1" t="s">
        <v>29</v>
      </c>
      <c r="B1" t="s">
        <v>26</v>
      </c>
      <c r="C1" t="s">
        <v>27</v>
      </c>
      <c r="D1" t="s">
        <v>28</v>
      </c>
      <c r="E1" t="s">
        <v>62</v>
      </c>
      <c r="F1" t="s">
        <v>9</v>
      </c>
      <c r="G1" t="s">
        <v>17</v>
      </c>
      <c r="H1" t="s">
        <v>19</v>
      </c>
      <c r="I1" t="s">
        <v>12</v>
      </c>
      <c r="J1" t="s">
        <v>11</v>
      </c>
      <c r="K1" t="s">
        <v>20</v>
      </c>
      <c r="L1" t="s">
        <v>18</v>
      </c>
      <c r="M1" t="s">
        <v>22</v>
      </c>
      <c r="N1" t="s">
        <v>23</v>
      </c>
    </row>
    <row r="2" spans="1:14" x14ac:dyDescent="0.25">
      <c r="A2" s="4">
        <v>8.0678030302682568</v>
      </c>
      <c r="B2" s="4">
        <v>16.666666666666472</v>
      </c>
      <c r="C2" s="4">
        <v>31.416666666590455</v>
      </c>
      <c r="D2" s="4">
        <v>4.7058823529421625</v>
      </c>
      <c r="E2" s="4">
        <v>39.668574664000573</v>
      </c>
      <c r="F2" s="2">
        <v>8.0678030303230166</v>
      </c>
      <c r="G2" s="2">
        <v>0</v>
      </c>
      <c r="H2" s="2">
        <v>1.9321969696769834</v>
      </c>
      <c r="I2" s="2">
        <v>0</v>
      </c>
      <c r="J2" s="2">
        <v>4</v>
      </c>
      <c r="K2" s="2">
        <v>0</v>
      </c>
      <c r="L2" s="2">
        <v>13.581002330942598</v>
      </c>
      <c r="M2" s="5">
        <v>0</v>
      </c>
      <c r="N2" s="5">
        <v>0</v>
      </c>
    </row>
    <row r="3" spans="1:14" x14ac:dyDescent="0.25">
      <c r="F3" s="2">
        <v>8.0678030303224197</v>
      </c>
      <c r="G3" s="2">
        <v>0</v>
      </c>
      <c r="H3" s="2">
        <v>1.9321969696775796</v>
      </c>
      <c r="I3" s="2">
        <v>0</v>
      </c>
      <c r="J3" s="2">
        <v>4</v>
      </c>
      <c r="K3" s="2">
        <v>0</v>
      </c>
      <c r="L3" s="2">
        <v>10.608391608361705</v>
      </c>
      <c r="M3" s="5">
        <v>0</v>
      </c>
      <c r="N3" s="5">
        <v>0</v>
      </c>
    </row>
    <row r="4" spans="1:14" x14ac:dyDescent="0.25">
      <c r="F4" s="2">
        <v>8.0678030303218247</v>
      </c>
      <c r="G4" s="2">
        <v>0</v>
      </c>
      <c r="H4" s="2">
        <v>1.9321969696781756</v>
      </c>
      <c r="I4" s="2">
        <v>0</v>
      </c>
      <c r="J4" s="2">
        <v>4</v>
      </c>
      <c r="K4" s="2">
        <v>0</v>
      </c>
      <c r="L4" s="2">
        <v>7.6357808857798961</v>
      </c>
      <c r="M4" s="5">
        <v>0</v>
      </c>
      <c r="N4" s="5">
        <v>0</v>
      </c>
    </row>
    <row r="5" spans="1:14" x14ac:dyDescent="0.25">
      <c r="F5" s="2">
        <v>8.0678030303212278</v>
      </c>
      <c r="G5" s="2">
        <v>0</v>
      </c>
      <c r="H5" s="2">
        <v>1.932196969678772</v>
      </c>
      <c r="I5" s="2">
        <v>0</v>
      </c>
      <c r="J5" s="2">
        <v>4</v>
      </c>
      <c r="K5" s="2">
        <v>0</v>
      </c>
      <c r="L5" s="2">
        <v>4.6631701631971696</v>
      </c>
      <c r="M5" s="5">
        <v>0</v>
      </c>
      <c r="N5" s="5">
        <v>0</v>
      </c>
    </row>
    <row r="6" spans="1:14" x14ac:dyDescent="0.25">
      <c r="F6" s="2">
        <v>8.0678030303200359</v>
      </c>
      <c r="G6" s="2">
        <v>0</v>
      </c>
      <c r="H6" s="2">
        <v>1.9321969696799641</v>
      </c>
      <c r="I6" s="2">
        <v>0</v>
      </c>
      <c r="J6" s="2">
        <v>4</v>
      </c>
      <c r="K6" s="2">
        <v>0</v>
      </c>
      <c r="L6" s="2">
        <v>1.690559440612609</v>
      </c>
      <c r="M6" s="5">
        <v>0</v>
      </c>
      <c r="N6" s="5">
        <v>0</v>
      </c>
    </row>
    <row r="7" spans="1:14" x14ac:dyDescent="0.25">
      <c r="F7" s="2">
        <v>8.0678030302682568</v>
      </c>
      <c r="G7" s="2">
        <v>0.83333333333354731</v>
      </c>
      <c r="H7" s="2">
        <v>1.0988636363981958</v>
      </c>
      <c r="I7" s="2">
        <v>0</v>
      </c>
      <c r="J7" s="2">
        <v>4</v>
      </c>
      <c r="K7" s="2">
        <v>0</v>
      </c>
      <c r="L7" s="2">
        <v>0</v>
      </c>
      <c r="M7" s="5">
        <v>0</v>
      </c>
      <c r="N7" s="5">
        <v>0</v>
      </c>
    </row>
    <row r="8" spans="1:14" x14ac:dyDescent="0.25">
      <c r="F8" s="2">
        <v>6.6666666666667052</v>
      </c>
      <c r="G8" s="2">
        <v>3.3333333333332944</v>
      </c>
      <c r="H8" s="2">
        <v>0</v>
      </c>
      <c r="I8" s="2">
        <v>0</v>
      </c>
      <c r="J8" s="2">
        <v>5.5363321799326499</v>
      </c>
      <c r="K8" s="2">
        <v>0</v>
      </c>
      <c r="L8" s="2">
        <v>-3.7037498348224755E-28</v>
      </c>
      <c r="M8" s="5">
        <v>5.5363321799326499</v>
      </c>
      <c r="N8" s="5">
        <v>4.7058823529427523</v>
      </c>
    </row>
    <row r="9" spans="1:14" x14ac:dyDescent="0.25">
      <c r="F9" s="2">
        <v>-7.651616394853216E-16</v>
      </c>
      <c r="G9" s="2">
        <v>10.000000000000599</v>
      </c>
      <c r="H9" s="2">
        <v>-5.9786709323839908E-13</v>
      </c>
      <c r="I9" s="2">
        <v>0</v>
      </c>
      <c r="J9" s="2">
        <v>0</v>
      </c>
      <c r="K9" s="2">
        <v>0</v>
      </c>
      <c r="L9" s="2">
        <v>9.1979552805907508E-13</v>
      </c>
      <c r="M9" s="5">
        <v>0</v>
      </c>
      <c r="N9" s="5">
        <v>4.7058823529427523</v>
      </c>
    </row>
    <row r="10" spans="1:14" x14ac:dyDescent="0.25">
      <c r="F10" s="2">
        <v>-2.0090595853616833E-12</v>
      </c>
      <c r="G10" s="2">
        <v>13.333333333333893</v>
      </c>
      <c r="H10" s="2">
        <v>-5.9605262808303621E-13</v>
      </c>
      <c r="I10" s="2">
        <v>0</v>
      </c>
      <c r="J10" s="2">
        <v>0</v>
      </c>
      <c r="K10" s="2">
        <v>3.3333333333312885</v>
      </c>
      <c r="L10" s="2">
        <v>2.1666666666671746</v>
      </c>
      <c r="M10" s="5">
        <v>0</v>
      </c>
      <c r="N10" s="5">
        <v>4.7058823529427523</v>
      </c>
    </row>
    <row r="11" spans="1:14" x14ac:dyDescent="0.25">
      <c r="F11" s="2">
        <v>-8.8817841970012523E-16</v>
      </c>
      <c r="G11" s="2">
        <v>14.999999999999824</v>
      </c>
      <c r="H11" s="2">
        <v>0</v>
      </c>
      <c r="I11" s="2">
        <v>0</v>
      </c>
      <c r="J11" s="2">
        <v>0</v>
      </c>
      <c r="K11" s="2">
        <v>4.9999999999998233</v>
      </c>
      <c r="L11" s="2">
        <v>5.4166666666670595</v>
      </c>
      <c r="M11" s="5">
        <v>0</v>
      </c>
      <c r="N11" s="5">
        <v>4.7058823529427523</v>
      </c>
    </row>
    <row r="12" spans="1:14" x14ac:dyDescent="0.25">
      <c r="F12" s="2">
        <v>-2.014388655879884E-12</v>
      </c>
      <c r="G12" s="2">
        <v>15.833333333333146</v>
      </c>
      <c r="H12" s="2">
        <v>0</v>
      </c>
      <c r="I12" s="2">
        <v>0</v>
      </c>
      <c r="J12" s="2">
        <v>0</v>
      </c>
      <c r="K12" s="2">
        <v>5.8333333333311312</v>
      </c>
      <c r="L12" s="2">
        <v>9.2083333333322965</v>
      </c>
      <c r="M12" s="5">
        <v>0</v>
      </c>
      <c r="N12" s="5">
        <v>4.7058823529427523</v>
      </c>
    </row>
    <row r="13" spans="1:14" x14ac:dyDescent="0.25">
      <c r="F13" s="2">
        <v>-1.3367085216486885E-12</v>
      </c>
      <c r="G13" s="2">
        <v>16.666666666666472</v>
      </c>
      <c r="H13" s="2">
        <v>0</v>
      </c>
      <c r="I13" s="2">
        <v>0</v>
      </c>
      <c r="J13" s="2">
        <v>0</v>
      </c>
      <c r="K13" s="2">
        <v>6.6666666666651357</v>
      </c>
      <c r="L13" s="2">
        <v>13.541666666664634</v>
      </c>
      <c r="M13" s="5">
        <v>0</v>
      </c>
      <c r="N13" s="5">
        <v>4.7058823529427523</v>
      </c>
    </row>
    <row r="14" spans="1:14" x14ac:dyDescent="0.25">
      <c r="F14" s="2">
        <v>-1.7763568394002505E-15</v>
      </c>
      <c r="G14" s="2">
        <v>16.666666666666472</v>
      </c>
      <c r="H14" s="2">
        <v>0</v>
      </c>
      <c r="I14" s="2">
        <v>0</v>
      </c>
      <c r="J14" s="2">
        <v>0</v>
      </c>
      <c r="K14" s="2">
        <v>6.6666666666664707</v>
      </c>
      <c r="L14" s="2">
        <v>17.87499999999784</v>
      </c>
      <c r="M14" s="5">
        <v>0</v>
      </c>
      <c r="N14" s="5">
        <v>4.7058823529427523</v>
      </c>
    </row>
    <row r="15" spans="1:14" x14ac:dyDescent="0.25">
      <c r="D15" s="4">
        <f>B2*2000+C2*65</f>
        <v>35375.416666661324</v>
      </c>
      <c r="F15" s="2">
        <v>-1.7763568394002505E-15</v>
      </c>
      <c r="G15" s="2">
        <v>16.666666666666472</v>
      </c>
      <c r="H15" s="2">
        <v>0</v>
      </c>
      <c r="I15" s="2">
        <v>0</v>
      </c>
      <c r="J15" s="2">
        <v>0</v>
      </c>
      <c r="K15" s="2">
        <v>6.6666666666664707</v>
      </c>
      <c r="L15" s="2">
        <v>22.208333333331044</v>
      </c>
      <c r="M15" s="5">
        <v>0</v>
      </c>
      <c r="N15" s="5">
        <v>4.7058823529427523</v>
      </c>
    </row>
    <row r="16" spans="1:14" x14ac:dyDescent="0.25">
      <c r="B16">
        <f>0.21*300</f>
        <v>63</v>
      </c>
      <c r="C16">
        <f>B16*12</f>
        <v>756</v>
      </c>
      <c r="D16">
        <f>D15/C16</f>
        <v>46.792879188705456</v>
      </c>
      <c r="F16" s="2">
        <v>-8.8817841970012523E-16</v>
      </c>
      <c r="G16" s="2">
        <v>15.833333333333146</v>
      </c>
      <c r="H16" s="2">
        <v>0</v>
      </c>
      <c r="I16" s="2">
        <v>0</v>
      </c>
      <c r="J16" s="2">
        <v>0</v>
      </c>
      <c r="K16" s="2">
        <v>5.8333333333331447</v>
      </c>
      <c r="L16" s="2">
        <v>25.999999999997591</v>
      </c>
      <c r="M16" s="5">
        <v>0</v>
      </c>
      <c r="N16" s="5">
        <v>4.7058823529427523</v>
      </c>
    </row>
    <row r="17" spans="6:14" x14ac:dyDescent="0.25">
      <c r="F17" s="2">
        <v>-5.5333515547317802E-13</v>
      </c>
      <c r="G17" s="2">
        <v>14.999999999999824</v>
      </c>
      <c r="H17" s="2">
        <v>0</v>
      </c>
      <c r="I17" s="2">
        <v>0</v>
      </c>
      <c r="J17" s="2">
        <v>0</v>
      </c>
      <c r="K17" s="2">
        <v>4.9999999999992708</v>
      </c>
      <c r="L17" s="2">
        <v>29.249999999997119</v>
      </c>
      <c r="M17" s="5">
        <v>0</v>
      </c>
      <c r="N17" s="5">
        <v>4.7058823529427523</v>
      </c>
    </row>
    <row r="18" spans="6:14" x14ac:dyDescent="0.25">
      <c r="F18" s="2">
        <v>-1.3322676295501878E-15</v>
      </c>
      <c r="G18" s="2">
        <v>13.333333333333179</v>
      </c>
      <c r="H18" s="2">
        <v>0</v>
      </c>
      <c r="I18" s="2">
        <v>0</v>
      </c>
      <c r="J18" s="2">
        <v>0</v>
      </c>
      <c r="K18" s="2">
        <v>3.3333333333331781</v>
      </c>
      <c r="L18" s="2">
        <v>31.416666666663687</v>
      </c>
      <c r="M18" s="5">
        <v>0</v>
      </c>
      <c r="N18" s="5">
        <v>4.7058823529427523</v>
      </c>
    </row>
    <row r="19" spans="6:14" x14ac:dyDescent="0.25">
      <c r="F19" s="2">
        <v>-6.6968652845389443E-13</v>
      </c>
      <c r="G19" s="2">
        <v>10.00000000000067</v>
      </c>
      <c r="H19" s="2">
        <v>0</v>
      </c>
      <c r="I19" s="2">
        <v>4.0000000000013403</v>
      </c>
      <c r="J19" s="2">
        <v>-1.3399755112337328E-12</v>
      </c>
      <c r="K19" s="2">
        <v>0</v>
      </c>
      <c r="L19" s="2">
        <v>31.416666666663687</v>
      </c>
      <c r="M19" s="5">
        <v>0</v>
      </c>
      <c r="N19" s="5">
        <v>0</v>
      </c>
    </row>
    <row r="20" spans="6:14" x14ac:dyDescent="0.25">
      <c r="F20" s="2">
        <v>6.6666666666667052</v>
      </c>
      <c r="G20" s="2">
        <v>3.3333333333332944</v>
      </c>
      <c r="H20" s="2">
        <v>0</v>
      </c>
      <c r="I20" s="2">
        <v>0</v>
      </c>
      <c r="J20" s="2">
        <v>4</v>
      </c>
      <c r="K20" s="2">
        <v>0</v>
      </c>
      <c r="L20" s="2">
        <v>31.416666666663687</v>
      </c>
      <c r="M20" s="5">
        <v>0</v>
      </c>
      <c r="N20" s="5">
        <v>0</v>
      </c>
    </row>
    <row r="21" spans="6:14" x14ac:dyDescent="0.25">
      <c r="F21" s="2">
        <v>8.0678030303188013</v>
      </c>
      <c r="G21" s="2">
        <v>0</v>
      </c>
      <c r="H21" s="2">
        <v>1.9321969696811987</v>
      </c>
      <c r="I21" s="2">
        <v>0</v>
      </c>
      <c r="J21" s="2">
        <v>4</v>
      </c>
      <c r="K21" s="2">
        <v>0</v>
      </c>
      <c r="L21" s="2">
        <v>28.444055944077228</v>
      </c>
      <c r="M21" s="5">
        <v>0</v>
      </c>
      <c r="N21" s="5">
        <v>0</v>
      </c>
    </row>
    <row r="22" spans="6:14" x14ac:dyDescent="0.25">
      <c r="F22" s="2">
        <v>8.0678030303175081</v>
      </c>
      <c r="G22" s="2">
        <v>0</v>
      </c>
      <c r="H22" s="2">
        <v>1.9321969696824923</v>
      </c>
      <c r="I22" s="2">
        <v>0</v>
      </c>
      <c r="J22" s="2">
        <v>4</v>
      </c>
      <c r="K22" s="2">
        <v>0</v>
      </c>
      <c r="L22" s="2">
        <v>25.471445221488775</v>
      </c>
      <c r="M22" s="5">
        <v>0</v>
      </c>
      <c r="N22" s="5">
        <v>0</v>
      </c>
    </row>
    <row r="23" spans="6:14" x14ac:dyDescent="0.25">
      <c r="F23" s="2">
        <v>8.0678030302799613</v>
      </c>
      <c r="G23" s="2">
        <v>0</v>
      </c>
      <c r="H23" s="2">
        <v>1.9321969697200392</v>
      </c>
      <c r="I23" s="2">
        <v>0</v>
      </c>
      <c r="J23" s="2">
        <v>4</v>
      </c>
      <c r="K23" s="2">
        <v>0</v>
      </c>
      <c r="L23" s="2">
        <v>22.498834498842559</v>
      </c>
      <c r="M23" s="5">
        <v>0</v>
      </c>
      <c r="N23" s="5">
        <v>0</v>
      </c>
    </row>
    <row r="24" spans="6:14" x14ac:dyDescent="0.25">
      <c r="F24" s="2">
        <v>8.0678030302723975</v>
      </c>
      <c r="G24" s="2">
        <v>0</v>
      </c>
      <c r="H24" s="2">
        <v>1.9321969697276025</v>
      </c>
      <c r="I24" s="2">
        <v>0</v>
      </c>
      <c r="J24" s="2">
        <v>4</v>
      </c>
      <c r="K24" s="2">
        <v>0</v>
      </c>
      <c r="L24" s="2">
        <v>19.526223776184711</v>
      </c>
      <c r="M24" s="5">
        <v>0</v>
      </c>
      <c r="N24" s="5">
        <v>0</v>
      </c>
    </row>
    <row r="25" spans="6:14" x14ac:dyDescent="0.25">
      <c r="F25" s="2">
        <v>8.0678030302696087</v>
      </c>
      <c r="G25" s="2">
        <v>0</v>
      </c>
      <c r="H25" s="2">
        <v>1.9321969697303909</v>
      </c>
      <c r="I25" s="2">
        <v>0</v>
      </c>
      <c r="J25" s="2">
        <v>0</v>
      </c>
      <c r="K25" s="2">
        <v>0</v>
      </c>
      <c r="L25" s="2">
        <v>16.553613053522572</v>
      </c>
      <c r="M25" s="5">
        <v>0</v>
      </c>
      <c r="N25" s="5">
        <v>0</v>
      </c>
    </row>
    <row r="26" spans="6:14" x14ac:dyDescent="0.25">
      <c r="F26" s="2">
        <v>2.4515944829772707E-12</v>
      </c>
      <c r="G26" s="2">
        <v>0</v>
      </c>
      <c r="H26" s="2">
        <v>0.34999999999754838</v>
      </c>
      <c r="I26" s="2">
        <v>0</v>
      </c>
      <c r="J26" s="2">
        <v>0</v>
      </c>
      <c r="K26" s="2">
        <v>0</v>
      </c>
      <c r="L26" s="2">
        <v>3.2370694513432245</v>
      </c>
      <c r="M26" s="5">
        <v>0</v>
      </c>
      <c r="N26" s="5">
        <v>0</v>
      </c>
    </row>
    <row r="27" spans="6:14" x14ac:dyDescent="0.25">
      <c r="F27" s="2">
        <v>1.8385293287792592E-12</v>
      </c>
      <c r="G27" s="2">
        <v>0</v>
      </c>
      <c r="H27" s="2">
        <v>0.34999999999816145</v>
      </c>
      <c r="I27" s="2">
        <v>0</v>
      </c>
      <c r="J27" s="2">
        <v>0</v>
      </c>
      <c r="K27" s="2">
        <v>0</v>
      </c>
      <c r="L27" s="2">
        <v>2.6986079128845146</v>
      </c>
      <c r="M27" s="5">
        <v>0</v>
      </c>
      <c r="N27" s="5">
        <v>0</v>
      </c>
    </row>
    <row r="28" spans="6:14" x14ac:dyDescent="0.25">
      <c r="F28" s="2">
        <v>1.2259082637910979E-12</v>
      </c>
      <c r="G28" s="2">
        <v>0</v>
      </c>
      <c r="H28" s="2">
        <v>0.34999999999877407</v>
      </c>
      <c r="I28" s="2">
        <v>0</v>
      </c>
      <c r="J28" s="2">
        <v>0</v>
      </c>
      <c r="K28" s="2">
        <v>0</v>
      </c>
      <c r="L28" s="2">
        <v>2.1601463744248623</v>
      </c>
      <c r="M28" s="5">
        <v>0</v>
      </c>
      <c r="N28" s="5">
        <v>0</v>
      </c>
    </row>
    <row r="29" spans="6:14" x14ac:dyDescent="0.25">
      <c r="F29" s="2">
        <v>6.1284310959308641E-13</v>
      </c>
      <c r="G29" s="2">
        <v>0</v>
      </c>
      <c r="H29" s="2">
        <v>0.34999999999938713</v>
      </c>
      <c r="I29" s="2">
        <v>0</v>
      </c>
      <c r="J29" s="2">
        <v>0</v>
      </c>
      <c r="K29" s="2">
        <v>0</v>
      </c>
      <c r="L29" s="2">
        <v>1.6216848359642666</v>
      </c>
      <c r="M29" s="5">
        <v>0</v>
      </c>
      <c r="N29" s="5">
        <v>0</v>
      </c>
    </row>
    <row r="30" spans="6:14" x14ac:dyDescent="0.25">
      <c r="F30" s="2">
        <v>0</v>
      </c>
      <c r="G30" s="2">
        <v>0</v>
      </c>
      <c r="H30" s="2">
        <v>0.35</v>
      </c>
      <c r="I30" s="2">
        <v>0</v>
      </c>
      <c r="J30" s="2">
        <v>0</v>
      </c>
      <c r="K30" s="2">
        <v>0</v>
      </c>
      <c r="L30" s="2">
        <v>1.0832232975027281</v>
      </c>
      <c r="M30" s="5">
        <v>0</v>
      </c>
      <c r="N30" s="5">
        <v>0</v>
      </c>
    </row>
    <row r="31" spans="6:14" x14ac:dyDescent="0.25">
      <c r="F31" s="2">
        <v>-5.5511151231257827E-17</v>
      </c>
      <c r="G31" s="2">
        <v>9.6779510936123789E-2</v>
      </c>
      <c r="H31" s="2">
        <v>0.46322048906387631</v>
      </c>
      <c r="I31" s="2">
        <v>0</v>
      </c>
      <c r="J31" s="2">
        <v>0</v>
      </c>
      <c r="K31" s="2">
        <v>0</v>
      </c>
      <c r="L31" s="2">
        <v>0.37057639125061076</v>
      </c>
      <c r="M31" s="5">
        <v>0</v>
      </c>
      <c r="N31" s="5">
        <v>0</v>
      </c>
    </row>
    <row r="32" spans="6:14" x14ac:dyDescent="0.25">
      <c r="F32" s="2">
        <v>-8.3519302584988964E-13</v>
      </c>
      <c r="G32" s="2">
        <v>0.38711804374516356</v>
      </c>
      <c r="H32" s="2">
        <v>0</v>
      </c>
      <c r="I32" s="2">
        <v>0</v>
      </c>
      <c r="J32" s="2">
        <v>0</v>
      </c>
      <c r="K32" s="2">
        <v>0.15711804374432836</v>
      </c>
      <c r="L32" s="2">
        <v>0.47270311968442419</v>
      </c>
      <c r="M32" s="5">
        <v>0</v>
      </c>
      <c r="N32" s="5">
        <v>0</v>
      </c>
    </row>
    <row r="33" spans="6:14" x14ac:dyDescent="0.25">
      <c r="F33" s="2">
        <v>-9.3847152271564482E-13</v>
      </c>
      <c r="G33" s="2">
        <v>1.161354131235095</v>
      </c>
      <c r="H33" s="2">
        <v>0</v>
      </c>
      <c r="I33" s="2">
        <v>0</v>
      </c>
      <c r="J33" s="2">
        <v>0</v>
      </c>
      <c r="K33" s="2">
        <v>0.93135413123415656</v>
      </c>
      <c r="L33" s="2">
        <v>1.0780833049866259</v>
      </c>
      <c r="M33" s="5">
        <v>0</v>
      </c>
      <c r="N33" s="5">
        <v>0</v>
      </c>
    </row>
    <row r="34" spans="6:14" x14ac:dyDescent="0.25">
      <c r="F34" s="2">
        <v>-9.3658414357378206E-13</v>
      </c>
      <c r="G34" s="2">
        <v>1.5484721749779811</v>
      </c>
      <c r="H34" s="2">
        <v>0</v>
      </c>
      <c r="I34" s="2">
        <v>0</v>
      </c>
      <c r="J34" s="2">
        <v>0</v>
      </c>
      <c r="K34" s="2">
        <v>1.3184721749770445</v>
      </c>
      <c r="L34" s="2">
        <v>1.9350902187217052</v>
      </c>
      <c r="M34" s="5">
        <v>0</v>
      </c>
      <c r="N34" s="5">
        <v>0</v>
      </c>
    </row>
    <row r="35" spans="6:14" x14ac:dyDescent="0.25">
      <c r="F35" s="2">
        <v>-9.3614005436393199E-13</v>
      </c>
      <c r="G35" s="2">
        <v>1.7420311968502282</v>
      </c>
      <c r="H35" s="2">
        <v>0</v>
      </c>
      <c r="I35" s="2">
        <v>0</v>
      </c>
      <c r="J35" s="2">
        <v>0</v>
      </c>
      <c r="K35" s="2">
        <v>1.5120311968492921</v>
      </c>
      <c r="L35" s="2">
        <v>2.9179104966737448</v>
      </c>
      <c r="M35" s="5">
        <v>0</v>
      </c>
      <c r="N35" s="5">
        <v>0</v>
      </c>
    </row>
    <row r="36" spans="6:14" x14ac:dyDescent="0.25">
      <c r="F36" s="2">
        <v>-9.3658414357378206E-13</v>
      </c>
      <c r="G36" s="2">
        <v>1.8388107078376033</v>
      </c>
      <c r="H36" s="2">
        <v>0</v>
      </c>
      <c r="I36" s="2">
        <v>0</v>
      </c>
      <c r="J36" s="2">
        <v>0</v>
      </c>
      <c r="K36" s="2">
        <v>1.6088107078366667</v>
      </c>
      <c r="L36" s="2">
        <v>3.9636374567675783</v>
      </c>
      <c r="M36" s="5">
        <v>0</v>
      </c>
      <c r="N36" s="5">
        <v>0</v>
      </c>
    </row>
    <row r="37" spans="6:14" x14ac:dyDescent="0.25">
      <c r="F37" s="2">
        <v>0</v>
      </c>
      <c r="G37" s="2">
        <v>1.9355902187224756</v>
      </c>
      <c r="H37" s="2">
        <v>0</v>
      </c>
      <c r="I37" s="2">
        <v>0</v>
      </c>
      <c r="J37" s="2">
        <v>0</v>
      </c>
      <c r="K37" s="2">
        <v>1.7055902187224756</v>
      </c>
      <c r="L37" s="2">
        <v>5.072271098937188</v>
      </c>
      <c r="M37" s="5">
        <v>0</v>
      </c>
      <c r="N37" s="5">
        <v>0</v>
      </c>
    </row>
    <row r="38" spans="6:14" x14ac:dyDescent="0.25">
      <c r="F38" s="2">
        <v>0</v>
      </c>
      <c r="G38" s="2">
        <v>1.9355902187224756</v>
      </c>
      <c r="H38" s="2">
        <v>0</v>
      </c>
      <c r="I38" s="2">
        <v>0</v>
      </c>
      <c r="J38" s="2">
        <v>0</v>
      </c>
      <c r="K38" s="2">
        <v>1.7055902187224756</v>
      </c>
      <c r="L38" s="2">
        <v>6.1809047411067972</v>
      </c>
      <c r="M38" s="5">
        <v>0</v>
      </c>
      <c r="N38" s="5">
        <v>0</v>
      </c>
    </row>
    <row r="39" spans="6:14" x14ac:dyDescent="0.25">
      <c r="F39" s="2">
        <v>0</v>
      </c>
      <c r="G39" s="2">
        <v>1.9355902187224756</v>
      </c>
      <c r="H39" s="2">
        <v>0</v>
      </c>
      <c r="I39" s="2">
        <v>0</v>
      </c>
      <c r="J39" s="2">
        <v>0</v>
      </c>
      <c r="K39" s="2">
        <v>1.7055902187224756</v>
      </c>
      <c r="L39" s="2">
        <v>7.2895383832764065</v>
      </c>
      <c r="M39" s="5">
        <v>0</v>
      </c>
      <c r="N39" s="5">
        <v>0</v>
      </c>
    </row>
    <row r="40" spans="6:14" x14ac:dyDescent="0.25">
      <c r="F40" s="2">
        <v>-9.3636209896885703E-13</v>
      </c>
      <c r="G40" s="2">
        <v>1.838810707786352</v>
      </c>
      <c r="H40" s="2">
        <v>0</v>
      </c>
      <c r="I40" s="2">
        <v>0</v>
      </c>
      <c r="J40" s="2">
        <v>0</v>
      </c>
      <c r="K40" s="2">
        <v>1.6088107077854157</v>
      </c>
      <c r="L40" s="2">
        <v>8.3352653433369266</v>
      </c>
      <c r="M40" s="5">
        <v>0</v>
      </c>
      <c r="N40" s="5">
        <v>0</v>
      </c>
    </row>
    <row r="41" spans="6:14" x14ac:dyDescent="0.25">
      <c r="F41" s="2">
        <v>-9.354739205491569E-13</v>
      </c>
      <c r="G41" s="2">
        <v>1.7420311968502282</v>
      </c>
      <c r="H41" s="2">
        <v>0</v>
      </c>
      <c r="I41" s="2">
        <v>0</v>
      </c>
      <c r="J41" s="2">
        <v>0</v>
      </c>
      <c r="K41" s="2">
        <v>1.5120311968492928</v>
      </c>
      <c r="L41" s="2">
        <v>9.3180856212889669</v>
      </c>
      <c r="M41" s="5">
        <v>0</v>
      </c>
      <c r="N41" s="5">
        <v>0</v>
      </c>
    </row>
    <row r="42" spans="6:14" x14ac:dyDescent="0.25">
      <c r="F42" s="2">
        <v>-9.3658414357378206E-13</v>
      </c>
      <c r="G42" s="2">
        <v>1.2539629002190871</v>
      </c>
      <c r="H42" s="2">
        <v>0</v>
      </c>
      <c r="I42" s="2">
        <v>0</v>
      </c>
      <c r="J42" s="2">
        <v>0</v>
      </c>
      <c r="K42" s="2">
        <v>0.95396290021815044</v>
      </c>
      <c r="L42" s="2">
        <v>9.9381615064307702</v>
      </c>
      <c r="M42" s="5">
        <v>0</v>
      </c>
      <c r="N42" s="5">
        <v>0</v>
      </c>
    </row>
    <row r="43" spans="6:14" x14ac:dyDescent="0.25">
      <c r="F43" s="2">
        <v>-9.3658414357378206E-13</v>
      </c>
      <c r="G43" s="2">
        <v>1.1613541312341986</v>
      </c>
      <c r="H43" s="2">
        <v>0</v>
      </c>
      <c r="I43" s="2">
        <v>0</v>
      </c>
      <c r="J43" s="2">
        <v>0</v>
      </c>
      <c r="K43" s="2">
        <v>0.56135413123326194</v>
      </c>
      <c r="L43" s="2">
        <v>10.303041691732389</v>
      </c>
      <c r="M43" s="5">
        <v>0</v>
      </c>
      <c r="N43" s="5">
        <v>0</v>
      </c>
    </row>
    <row r="44" spans="6:14" x14ac:dyDescent="0.25">
      <c r="F44" s="2">
        <v>-2.1629920077259612E-13</v>
      </c>
      <c r="G44" s="2">
        <v>0.38711804374449515</v>
      </c>
      <c r="H44" s="2">
        <v>0.21288195625572123</v>
      </c>
      <c r="I44" s="2">
        <v>0</v>
      </c>
      <c r="J44" s="2">
        <v>0</v>
      </c>
      <c r="K44" s="2">
        <v>0</v>
      </c>
      <c r="L44" s="2">
        <v>9.9755309898005109</v>
      </c>
      <c r="M44" s="5">
        <v>0</v>
      </c>
      <c r="N44" s="5">
        <v>0</v>
      </c>
    </row>
    <row r="45" spans="6:14" x14ac:dyDescent="0.25">
      <c r="F45" s="2">
        <v>0</v>
      </c>
      <c r="G45" s="2">
        <v>0</v>
      </c>
      <c r="H45" s="2">
        <v>1.73</v>
      </c>
      <c r="I45" s="2">
        <v>0</v>
      </c>
      <c r="J45" s="2">
        <v>0</v>
      </c>
      <c r="K45" s="2">
        <v>0</v>
      </c>
      <c r="L45" s="2">
        <v>7.3139925282620499</v>
      </c>
      <c r="M45" s="5">
        <v>0</v>
      </c>
      <c r="N45" s="5">
        <v>0</v>
      </c>
    </row>
    <row r="46" spans="6:14" x14ac:dyDescent="0.25">
      <c r="F46" s="2">
        <v>0</v>
      </c>
      <c r="G46" s="2">
        <v>0</v>
      </c>
      <c r="H46" s="2">
        <v>0.65</v>
      </c>
      <c r="I46" s="2">
        <v>0</v>
      </c>
      <c r="J46" s="2">
        <v>0</v>
      </c>
      <c r="K46" s="2">
        <v>0</v>
      </c>
      <c r="L46" s="2">
        <v>6.3139925282620508</v>
      </c>
      <c r="M46" s="5">
        <v>0</v>
      </c>
      <c r="N46" s="5">
        <v>0</v>
      </c>
    </row>
    <row r="47" spans="6:14" x14ac:dyDescent="0.25">
      <c r="F47" s="2">
        <v>6.1839422471621219E-14</v>
      </c>
      <c r="G47" s="2">
        <v>0</v>
      </c>
      <c r="H47" s="2">
        <v>0.64999999999993818</v>
      </c>
      <c r="I47" s="2">
        <v>0</v>
      </c>
      <c r="J47" s="2">
        <v>0</v>
      </c>
      <c r="K47" s="2">
        <v>0</v>
      </c>
      <c r="L47" s="2">
        <v>5.313992528262145</v>
      </c>
      <c r="M47" s="5">
        <v>0</v>
      </c>
      <c r="N47" s="5">
        <v>0</v>
      </c>
    </row>
    <row r="48" spans="6:14" x14ac:dyDescent="0.25">
      <c r="F48" s="2">
        <v>2.5024426975051028E-13</v>
      </c>
      <c r="G48" s="2">
        <v>0</v>
      </c>
      <c r="H48" s="2">
        <v>0.64999999999974978</v>
      </c>
      <c r="I48" s="2">
        <v>0</v>
      </c>
      <c r="J48" s="2">
        <v>0</v>
      </c>
      <c r="K48" s="2">
        <v>0</v>
      </c>
      <c r="L48" s="2">
        <v>4.3139925282625304</v>
      </c>
      <c r="M48" s="5">
        <v>0</v>
      </c>
      <c r="N48" s="5">
        <v>0</v>
      </c>
    </row>
    <row r="49" spans="6:14" x14ac:dyDescent="0.25">
      <c r="F49" s="2">
        <v>0</v>
      </c>
      <c r="G49" s="2">
        <v>0</v>
      </c>
      <c r="H49" s="2">
        <v>0.35</v>
      </c>
      <c r="I49" s="2">
        <v>0</v>
      </c>
      <c r="J49" s="2">
        <v>0</v>
      </c>
      <c r="K49" s="2">
        <v>0</v>
      </c>
      <c r="L49" s="2">
        <v>3.7755309898009917</v>
      </c>
      <c r="M49" s="5">
        <v>0</v>
      </c>
      <c r="N49" s="5">
        <v>0</v>
      </c>
    </row>
    <row r="50" spans="6:14" x14ac:dyDescent="0.25">
      <c r="F50" s="2"/>
      <c r="G50" s="2"/>
      <c r="H50" s="2">
        <f t="shared" ref="H50:J50" si="0">SUM(H2:H49)</f>
        <v>26.876935778643361</v>
      </c>
      <c r="I50" s="2">
        <f t="shared" si="0"/>
        <v>4.0000000000013403</v>
      </c>
      <c r="J50" s="2">
        <f t="shared" si="0"/>
        <v>49.536332179931307</v>
      </c>
      <c r="K50" s="2">
        <f>SUM(K2:K49)</f>
        <v>63.614049180220952</v>
      </c>
      <c r="L50" s="2">
        <f>SUM(L2:L49)</f>
        <v>485.57277692862067</v>
      </c>
      <c r="M50" s="2">
        <f>SUM(M2:M49)</f>
        <v>5.5363321799326499</v>
      </c>
      <c r="N50" s="2">
        <f>SUM(N2:N49)</f>
        <v>51.764705882370272</v>
      </c>
    </row>
    <row r="51" spans="6:14" x14ac:dyDescent="0.25">
      <c r="F51" s="2"/>
      <c r="G51" s="2"/>
      <c r="H51" s="2"/>
      <c r="I51" s="2"/>
      <c r="J51" s="2"/>
      <c r="K51" s="2"/>
      <c r="L51" s="2"/>
    </row>
    <row r="52" spans="6:14" x14ac:dyDescent="0.25">
      <c r="F52" s="2"/>
      <c r="G52" s="2"/>
      <c r="H52" s="2"/>
      <c r="I52" s="2"/>
      <c r="J52" s="2"/>
      <c r="K52" s="2"/>
      <c r="L52" s="2"/>
    </row>
    <row r="53" spans="6:14" x14ac:dyDescent="0.25">
      <c r="F53" s="2"/>
      <c r="G53" s="2"/>
      <c r="H53" s="2"/>
      <c r="I53" s="2"/>
      <c r="J53" s="2"/>
      <c r="K53" s="2"/>
      <c r="L53" s="2"/>
    </row>
    <row r="54" spans="6:14" x14ac:dyDescent="0.25">
      <c r="F54" s="2"/>
      <c r="G54" s="2"/>
      <c r="H54" s="2"/>
      <c r="I54" s="2"/>
      <c r="J54" s="2"/>
      <c r="K54" s="2"/>
      <c r="L54" s="2"/>
    </row>
    <row r="55" spans="6:14" x14ac:dyDescent="0.25">
      <c r="F55" s="2"/>
      <c r="G55" s="2"/>
      <c r="H55" s="2"/>
      <c r="I55" s="2"/>
      <c r="J55" s="2"/>
      <c r="K55" s="2"/>
      <c r="L55" s="2"/>
    </row>
    <row r="56" spans="6:14" x14ac:dyDescent="0.25">
      <c r="F56" s="2"/>
      <c r="G56" s="2"/>
      <c r="H56" s="2"/>
      <c r="I56" s="2"/>
      <c r="J56" s="2"/>
      <c r="K56" s="2"/>
      <c r="L56" s="2"/>
    </row>
    <row r="57" spans="6:14" x14ac:dyDescent="0.25">
      <c r="F57" s="2"/>
      <c r="G57" s="2"/>
      <c r="H57" s="2"/>
      <c r="I57" s="2"/>
      <c r="J57" s="2"/>
      <c r="K57" s="2"/>
      <c r="L57" s="2"/>
    </row>
    <row r="58" spans="6:14" x14ac:dyDescent="0.25">
      <c r="F58" s="2"/>
      <c r="G58" s="2"/>
      <c r="H58" s="2"/>
      <c r="I58" s="2"/>
      <c r="J58" s="2"/>
      <c r="K58" s="2"/>
      <c r="L58" s="2"/>
    </row>
    <row r="59" spans="6:14" x14ac:dyDescent="0.25">
      <c r="F59" s="2"/>
      <c r="G59" s="2"/>
      <c r="H59" s="2"/>
      <c r="I59" s="2"/>
      <c r="J59" s="2"/>
      <c r="K59" s="2"/>
      <c r="L59" s="2"/>
    </row>
    <row r="60" spans="6:14" x14ac:dyDescent="0.25">
      <c r="F60" s="2"/>
      <c r="G60" s="2"/>
      <c r="H60" s="2"/>
      <c r="I60" s="2"/>
      <c r="J60" s="2"/>
      <c r="K60" s="2"/>
      <c r="L60" s="2"/>
    </row>
    <row r="61" spans="6:14" x14ac:dyDescent="0.25">
      <c r="F61" s="2"/>
      <c r="G61" s="2"/>
      <c r="H61" s="2"/>
      <c r="I61" s="2"/>
      <c r="J61" s="2"/>
      <c r="K61" s="2"/>
      <c r="L61" s="2"/>
    </row>
    <row r="62" spans="6:14" x14ac:dyDescent="0.25">
      <c r="F62" s="2"/>
      <c r="G62" s="2"/>
      <c r="H62" s="2"/>
      <c r="I62" s="2"/>
      <c r="J62" s="2"/>
      <c r="K62" s="2"/>
      <c r="L62" s="2"/>
    </row>
    <row r="63" spans="6:14" x14ac:dyDescent="0.25">
      <c r="F63" s="2"/>
      <c r="G63" s="2"/>
      <c r="H63" s="2"/>
      <c r="I63" s="2"/>
      <c r="J63" s="2"/>
      <c r="K63" s="2"/>
      <c r="L63" s="2"/>
    </row>
    <row r="64" spans="6:14" x14ac:dyDescent="0.25">
      <c r="F64" s="2"/>
      <c r="G64" s="2"/>
      <c r="H64" s="2"/>
      <c r="I64" s="2"/>
      <c r="J64" s="2"/>
      <c r="K64" s="2"/>
      <c r="L64" s="2"/>
    </row>
    <row r="65" spans="6:12" x14ac:dyDescent="0.25">
      <c r="F65" s="2"/>
      <c r="G65" s="2"/>
      <c r="H65" s="2"/>
      <c r="I65" s="2"/>
      <c r="J65" s="2"/>
      <c r="K65" s="2"/>
      <c r="L65" s="2"/>
    </row>
    <row r="66" spans="6:12" x14ac:dyDescent="0.25">
      <c r="F66" s="2"/>
      <c r="G66" s="2"/>
      <c r="H66" s="2"/>
      <c r="I66" s="2"/>
      <c r="J66" s="2"/>
      <c r="K66" s="2"/>
      <c r="L66" s="2"/>
    </row>
    <row r="67" spans="6:12" x14ac:dyDescent="0.25">
      <c r="F67" s="2"/>
      <c r="G67" s="2"/>
      <c r="H67" s="2"/>
      <c r="I67" s="2"/>
      <c r="J67" s="2"/>
      <c r="K67" s="2"/>
      <c r="L67" s="2"/>
    </row>
    <row r="68" spans="6:12" x14ac:dyDescent="0.25">
      <c r="F68" s="2"/>
      <c r="G68" s="2"/>
      <c r="H68" s="2"/>
      <c r="I68" s="2"/>
      <c r="J68" s="2"/>
      <c r="K68" s="2"/>
      <c r="L68" s="2"/>
    </row>
    <row r="69" spans="6:12" x14ac:dyDescent="0.25">
      <c r="F69" s="2"/>
      <c r="G69" s="2"/>
      <c r="H69" s="2"/>
      <c r="I69" s="2"/>
      <c r="J69" s="2"/>
      <c r="K69" s="2"/>
      <c r="L69" s="2"/>
    </row>
    <row r="70" spans="6:12" x14ac:dyDescent="0.25">
      <c r="F70" s="2"/>
      <c r="G70" s="2"/>
      <c r="H70" s="2"/>
      <c r="I70" s="2"/>
      <c r="J70" s="2"/>
      <c r="K70" s="2"/>
      <c r="L70" s="2"/>
    </row>
    <row r="71" spans="6:12" x14ac:dyDescent="0.25">
      <c r="F71" s="2"/>
      <c r="G71" s="2"/>
      <c r="H71" s="2"/>
      <c r="I71" s="2"/>
      <c r="J71" s="2"/>
      <c r="K71" s="2"/>
      <c r="L71" s="2"/>
    </row>
    <row r="72" spans="6:12" x14ac:dyDescent="0.25">
      <c r="F72" s="2"/>
      <c r="G72" s="2"/>
      <c r="H72" s="2"/>
      <c r="I72" s="2"/>
      <c r="J72" s="2"/>
      <c r="K72" s="2"/>
      <c r="L72" s="2"/>
    </row>
    <row r="73" spans="6:12" x14ac:dyDescent="0.25">
      <c r="F73" s="2"/>
      <c r="G73" s="2"/>
      <c r="H73" s="2"/>
      <c r="I73" s="2"/>
      <c r="J73" s="2"/>
      <c r="K73" s="2"/>
      <c r="L73" s="2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1" sqref="I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I14" sqref="I14"/>
    </sheetView>
  </sheetViews>
  <sheetFormatPr baseColWidth="10" defaultRowHeight="15" x14ac:dyDescent="0.25"/>
  <cols>
    <col min="2" max="2" width="15.28515625" customWidth="1"/>
    <col min="3" max="3" width="11.140625" customWidth="1"/>
    <col min="4" max="4" width="6" bestFit="1" customWidth="1"/>
    <col min="5" max="5" width="14.7109375" bestFit="1" customWidth="1"/>
    <col min="7" max="7" width="7.28515625" bestFit="1" customWidth="1"/>
    <col min="8" max="8" width="5" bestFit="1" customWidth="1"/>
    <col min="9" max="9" width="9" bestFit="1" customWidth="1"/>
    <col min="10" max="10" width="11.140625" customWidth="1"/>
    <col min="11" max="11" width="9" bestFit="1" customWidth="1"/>
  </cols>
  <sheetData>
    <row r="1" spans="1:11" ht="15.75" thickBot="1" x14ac:dyDescent="0.3">
      <c r="A1" s="10" t="s">
        <v>67</v>
      </c>
      <c r="B1" s="11" t="s">
        <v>68</v>
      </c>
      <c r="D1" s="13" t="s">
        <v>69</v>
      </c>
      <c r="E1" s="13" t="s">
        <v>75</v>
      </c>
      <c r="F1" t="s">
        <v>81</v>
      </c>
      <c r="G1" s="52" t="s">
        <v>82</v>
      </c>
      <c r="H1" s="53"/>
      <c r="I1" s="53"/>
      <c r="J1" s="53"/>
      <c r="K1" s="54"/>
    </row>
    <row r="2" spans="1:11" ht="15.75" thickBot="1" x14ac:dyDescent="0.3">
      <c r="A2" s="9" t="s">
        <v>80</v>
      </c>
      <c r="B2" s="16">
        <f>300/1000</f>
        <v>0.3</v>
      </c>
      <c r="D2">
        <v>1</v>
      </c>
      <c r="E2" s="2">
        <f>B6*3+B7*2</f>
        <v>0.216</v>
      </c>
      <c r="F2">
        <f>E26*30</f>
        <v>308.61</v>
      </c>
      <c r="G2" s="55" t="s">
        <v>84</v>
      </c>
      <c r="H2" s="56"/>
      <c r="I2" s="22" t="s">
        <v>87</v>
      </c>
      <c r="J2" s="22" t="s">
        <v>85</v>
      </c>
      <c r="K2" s="23" t="s">
        <v>86</v>
      </c>
    </row>
    <row r="3" spans="1:11" x14ac:dyDescent="0.25">
      <c r="A3" s="9" t="s">
        <v>63</v>
      </c>
      <c r="B3" s="17">
        <f>300/1000</f>
        <v>0.3</v>
      </c>
      <c r="D3">
        <v>2</v>
      </c>
      <c r="E3" s="2">
        <f>E2</f>
        <v>0.216</v>
      </c>
      <c r="G3" s="27">
        <v>0</v>
      </c>
      <c r="H3" s="28">
        <v>100</v>
      </c>
      <c r="I3" s="33">
        <v>0.09</v>
      </c>
      <c r="J3" s="20">
        <f>IF(F2&gt;H3,100,F2)</f>
        <v>100</v>
      </c>
      <c r="K3" s="24">
        <f>IF(J3&gt;0,J3*I3,0)</f>
        <v>9</v>
      </c>
    </row>
    <row r="4" spans="1:11" x14ac:dyDescent="0.25">
      <c r="A4" s="9" t="s">
        <v>64</v>
      </c>
      <c r="B4" s="17">
        <v>1.2</v>
      </c>
      <c r="D4">
        <v>3</v>
      </c>
      <c r="E4" s="2">
        <f t="shared" ref="E4:E6" si="0">E3</f>
        <v>0.216</v>
      </c>
      <c r="G4" s="29">
        <v>101</v>
      </c>
      <c r="H4" s="30">
        <v>150</v>
      </c>
      <c r="I4" s="34">
        <v>0.3</v>
      </c>
      <c r="J4" s="20">
        <f>IF(F2&gt;H4,50,F2-H3)</f>
        <v>50</v>
      </c>
      <c r="K4" s="24">
        <f t="shared" ref="K4:K12" si="1">IF(J4&gt;0,J4*I4,0)</f>
        <v>15</v>
      </c>
    </row>
    <row r="5" spans="1:11" x14ac:dyDescent="0.25">
      <c r="A5" s="9" t="s">
        <v>65</v>
      </c>
      <c r="B5" s="17">
        <f>70/1000</f>
        <v>7.0000000000000007E-2</v>
      </c>
      <c r="D5">
        <v>4</v>
      </c>
      <c r="E5" s="2">
        <f t="shared" si="0"/>
        <v>0.216</v>
      </c>
      <c r="G5" s="29">
        <v>151</v>
      </c>
      <c r="H5" s="30">
        <v>200</v>
      </c>
      <c r="I5" s="34">
        <v>0.4</v>
      </c>
      <c r="J5" s="20">
        <f>IF(F2&gt;H5,50,F2-H4)</f>
        <v>50</v>
      </c>
      <c r="K5" s="24">
        <f t="shared" si="1"/>
        <v>20</v>
      </c>
    </row>
    <row r="6" spans="1:11" x14ac:dyDescent="0.25">
      <c r="A6" s="9" t="s">
        <v>66</v>
      </c>
      <c r="B6" s="17">
        <f>40/1000</f>
        <v>0.04</v>
      </c>
      <c r="D6">
        <v>5</v>
      </c>
      <c r="E6" s="2">
        <f t="shared" si="0"/>
        <v>0.216</v>
      </c>
      <c r="G6" s="29">
        <v>201</v>
      </c>
      <c r="H6" s="30">
        <v>250</v>
      </c>
      <c r="I6" s="34">
        <v>0.6</v>
      </c>
      <c r="J6" s="20">
        <f>IF(F$2&gt;H6,50,F$2-H5)</f>
        <v>50</v>
      </c>
      <c r="K6" s="24">
        <f t="shared" si="1"/>
        <v>30</v>
      </c>
    </row>
    <row r="7" spans="1:11" x14ac:dyDescent="0.25">
      <c r="A7" s="9" t="s">
        <v>76</v>
      </c>
      <c r="B7" s="17">
        <v>4.8000000000000001E-2</v>
      </c>
      <c r="D7">
        <v>6</v>
      </c>
      <c r="E7" s="2">
        <f>E6+B4*0.17+B2*0.083</f>
        <v>0.44490000000000002</v>
      </c>
      <c r="G7" s="29">
        <v>251</v>
      </c>
      <c r="H7" s="30">
        <v>300</v>
      </c>
      <c r="I7" s="34">
        <v>0.8</v>
      </c>
      <c r="J7" s="20">
        <f>IF(F$2&gt;H7,50,F$2-H6)</f>
        <v>50</v>
      </c>
      <c r="K7" s="24">
        <f t="shared" si="1"/>
        <v>40</v>
      </c>
    </row>
    <row r="8" spans="1:11" x14ac:dyDescent="0.25">
      <c r="A8" s="9" t="s">
        <v>71</v>
      </c>
      <c r="B8" s="17">
        <f>40/1000</f>
        <v>0.04</v>
      </c>
      <c r="D8">
        <v>7</v>
      </c>
      <c r="E8" s="2">
        <f>B7*2+B12*0.083</f>
        <v>0.32010000000000005</v>
      </c>
      <c r="G8" s="29">
        <v>301</v>
      </c>
      <c r="H8" s="30">
        <v>350</v>
      </c>
      <c r="I8" s="34">
        <v>1.5</v>
      </c>
      <c r="J8" s="20">
        <f>IF(F$2&gt;H8,50,F$2-H7)</f>
        <v>8.6100000000000136</v>
      </c>
      <c r="K8" s="24">
        <f t="shared" si="1"/>
        <v>12.91500000000002</v>
      </c>
    </row>
    <row r="9" spans="1:11" x14ac:dyDescent="0.25">
      <c r="A9" s="9" t="s">
        <v>72</v>
      </c>
      <c r="B9" s="17">
        <f>20/1000</f>
        <v>0.02</v>
      </c>
      <c r="D9">
        <v>8</v>
      </c>
      <c r="E9" s="2">
        <f>B7*2+B6</f>
        <v>0.13600000000000001</v>
      </c>
      <c r="G9" s="29">
        <v>351</v>
      </c>
      <c r="H9" s="30">
        <v>500</v>
      </c>
      <c r="I9" s="34">
        <v>1.8</v>
      </c>
      <c r="J9" s="21">
        <f>IF(F$2&gt;H9,150,F$2-H8)</f>
        <v>-41.389999999999986</v>
      </c>
      <c r="K9" s="24">
        <f t="shared" si="1"/>
        <v>0</v>
      </c>
    </row>
    <row r="10" spans="1:11" x14ac:dyDescent="0.25">
      <c r="A10" s="9" t="s">
        <v>73</v>
      </c>
      <c r="B10" s="17">
        <f>5/1000</f>
        <v>5.0000000000000001E-3</v>
      </c>
      <c r="D10">
        <v>9</v>
      </c>
      <c r="E10" s="2">
        <f t="shared" ref="E10:E17" si="2">E9</f>
        <v>0.13600000000000001</v>
      </c>
      <c r="G10" s="29">
        <v>501</v>
      </c>
      <c r="H10" s="30">
        <v>1000</v>
      </c>
      <c r="I10" s="34">
        <v>2</v>
      </c>
      <c r="J10" s="21">
        <f>IF(F$2&gt;H10,500,F$2-H9)</f>
        <v>-191.39</v>
      </c>
      <c r="K10" s="24">
        <f t="shared" si="1"/>
        <v>0</v>
      </c>
    </row>
    <row r="11" spans="1:11" x14ac:dyDescent="0.25">
      <c r="A11" s="9" t="s">
        <v>74</v>
      </c>
      <c r="B11" s="17">
        <f>8/1000</f>
        <v>8.0000000000000002E-3</v>
      </c>
      <c r="D11">
        <v>10</v>
      </c>
      <c r="E11" s="2">
        <f t="shared" si="2"/>
        <v>0.13600000000000001</v>
      </c>
      <c r="G11" s="29">
        <v>1001</v>
      </c>
      <c r="H11" s="30">
        <v>5000</v>
      </c>
      <c r="I11" s="34">
        <v>3</v>
      </c>
      <c r="J11" s="20">
        <f>IF(F$2&gt;H11,4000,F$2-H10)</f>
        <v>-691.39</v>
      </c>
      <c r="K11" s="24">
        <f t="shared" si="1"/>
        <v>0</v>
      </c>
    </row>
    <row r="12" spans="1:11" ht="15.75" thickBot="1" x14ac:dyDescent="0.3">
      <c r="A12" s="15" t="s">
        <v>70</v>
      </c>
      <c r="B12" s="18">
        <v>2.7</v>
      </c>
      <c r="D12">
        <v>11</v>
      </c>
      <c r="E12" s="2">
        <f>B7*2</f>
        <v>9.6000000000000002E-2</v>
      </c>
      <c r="G12" s="31" t="s">
        <v>83</v>
      </c>
      <c r="H12" s="32">
        <v>5000</v>
      </c>
      <c r="I12" s="35">
        <v>5</v>
      </c>
      <c r="J12" s="25">
        <f>IF(F$2&gt;H12,F2-H12,0)</f>
        <v>0</v>
      </c>
      <c r="K12" s="26">
        <f t="shared" si="1"/>
        <v>0</v>
      </c>
    </row>
    <row r="13" spans="1:11" ht="15.75" x14ac:dyDescent="0.25">
      <c r="D13">
        <v>12</v>
      </c>
      <c r="E13" s="2">
        <f>E12</f>
        <v>9.6000000000000002E-2</v>
      </c>
      <c r="J13" s="36" t="s">
        <v>88</v>
      </c>
      <c r="K13" s="37">
        <f>SUM(K3:K12)</f>
        <v>126.91500000000002</v>
      </c>
    </row>
    <row r="14" spans="1:11" x14ac:dyDescent="0.25">
      <c r="D14">
        <v>13</v>
      </c>
      <c r="E14" s="2">
        <f t="shared" si="2"/>
        <v>9.6000000000000002E-2</v>
      </c>
    </row>
    <row r="15" spans="1:11" x14ac:dyDescent="0.25">
      <c r="A15" s="50" t="s">
        <v>77</v>
      </c>
      <c r="B15" s="51"/>
      <c r="C15" s="51"/>
      <c r="D15">
        <v>14</v>
      </c>
      <c r="E15" s="2">
        <f t="shared" si="2"/>
        <v>9.6000000000000002E-2</v>
      </c>
    </row>
    <row r="16" spans="1:11" x14ac:dyDescent="0.25">
      <c r="A16" s="38">
        <f>B16*A17/B17</f>
        <v>8.3333333333333339</v>
      </c>
      <c r="B16" s="39">
        <v>5</v>
      </c>
      <c r="C16" s="8"/>
      <c r="D16">
        <v>15</v>
      </c>
      <c r="E16" s="2">
        <f t="shared" si="2"/>
        <v>9.6000000000000002E-2</v>
      </c>
    </row>
    <row r="17" spans="1:5" x14ac:dyDescent="0.25">
      <c r="A17" s="40">
        <v>100</v>
      </c>
      <c r="B17" s="19">
        <v>60</v>
      </c>
      <c r="C17" s="41">
        <f>A16/A17</f>
        <v>8.3333333333333343E-2</v>
      </c>
      <c r="D17">
        <v>16</v>
      </c>
      <c r="E17" s="2">
        <f t="shared" si="2"/>
        <v>9.6000000000000002E-2</v>
      </c>
    </row>
    <row r="18" spans="1:5" x14ac:dyDescent="0.25">
      <c r="A18" s="12" t="s">
        <v>78</v>
      </c>
      <c r="B18" t="s">
        <v>79</v>
      </c>
      <c r="D18">
        <v>17</v>
      </c>
      <c r="E18" s="2">
        <f>E17+B5</f>
        <v>0.16600000000000001</v>
      </c>
    </row>
    <row r="19" spans="1:5" x14ac:dyDescent="0.25">
      <c r="A19">
        <v>250</v>
      </c>
      <c r="B19">
        <v>4</v>
      </c>
      <c r="D19">
        <v>18</v>
      </c>
      <c r="E19" s="2">
        <f>E18+B3</f>
        <v>0.46599999999999997</v>
      </c>
    </row>
    <row r="20" spans="1:5" x14ac:dyDescent="0.25">
      <c r="A20">
        <f>K13+A19/B19</f>
        <v>189.41500000000002</v>
      </c>
      <c r="B20" s="4">
        <v>110</v>
      </c>
      <c r="D20">
        <v>19</v>
      </c>
      <c r="E20" s="2">
        <f>E19+B8*2</f>
        <v>0.54599999999999993</v>
      </c>
    </row>
    <row r="21" spans="1:5" x14ac:dyDescent="0.25">
      <c r="D21">
        <v>20</v>
      </c>
      <c r="E21" s="2">
        <f>B3+B4+B7*2+B8*2+B9</f>
        <v>1.6960000000000002</v>
      </c>
    </row>
    <row r="22" spans="1:5" x14ac:dyDescent="0.25">
      <c r="D22">
        <v>21</v>
      </c>
      <c r="E22" s="2">
        <f>B3+B7*2+B6*2+B12+B8*2</f>
        <v>3.2560000000000002</v>
      </c>
    </row>
    <row r="23" spans="1:5" x14ac:dyDescent="0.25">
      <c r="D23">
        <v>22</v>
      </c>
      <c r="E23" s="2">
        <f>B3+B7*2+B6*2+B8*2</f>
        <v>0.55600000000000005</v>
      </c>
    </row>
    <row r="24" spans="1:5" x14ac:dyDescent="0.25">
      <c r="D24">
        <v>23</v>
      </c>
      <c r="E24" s="2">
        <f>E23</f>
        <v>0.55600000000000005</v>
      </c>
    </row>
    <row r="25" spans="1:5" x14ac:dyDescent="0.25">
      <c r="D25">
        <v>24</v>
      </c>
      <c r="E25" s="2">
        <f>E2</f>
        <v>0.216</v>
      </c>
    </row>
    <row r="26" spans="1:5" ht="15.75" x14ac:dyDescent="0.25">
      <c r="E26" s="14">
        <f>SUM(E2:E25)</f>
        <v>10.287000000000001</v>
      </c>
    </row>
  </sheetData>
  <mergeCells count="3">
    <mergeCell ref="A15:C15"/>
    <mergeCell ref="G1:K1"/>
    <mergeCell ref="G2:H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23" sqref="B23"/>
    </sheetView>
  </sheetViews>
  <sheetFormatPr baseColWidth="10" defaultRowHeight="15" x14ac:dyDescent="0.25"/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108</v>
      </c>
      <c r="F1" t="s">
        <v>109</v>
      </c>
      <c r="G1" t="s">
        <v>110</v>
      </c>
      <c r="H1" t="s">
        <v>20</v>
      </c>
      <c r="I1" t="s">
        <v>18</v>
      </c>
      <c r="J1" t="s">
        <v>111</v>
      </c>
      <c r="K1" t="s">
        <v>112</v>
      </c>
      <c r="L1" t="s">
        <v>22</v>
      </c>
      <c r="M1" t="s">
        <v>23</v>
      </c>
    </row>
    <row r="2" spans="1:13" x14ac:dyDescent="0.25">
      <c r="A2">
        <v>10</v>
      </c>
      <c r="B2">
        <v>12.499999999999998</v>
      </c>
      <c r="C2">
        <v>8.9375000000000053</v>
      </c>
      <c r="D2">
        <v>3.5294117647058822</v>
      </c>
      <c r="E2">
        <v>10.000000000000002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1</v>
      </c>
      <c r="M2">
        <v>0.84999999999999964</v>
      </c>
    </row>
    <row r="3" spans="1:13" x14ac:dyDescent="0.25">
      <c r="A3">
        <v>40.343091157482768</v>
      </c>
      <c r="E3">
        <v>10.000000000000002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1</v>
      </c>
      <c r="M3">
        <v>1.6999999999999997</v>
      </c>
    </row>
    <row r="4" spans="1:13" x14ac:dyDescent="0.25">
      <c r="E4">
        <v>10.000000000000002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  <c r="L4">
        <v>1</v>
      </c>
      <c r="M4">
        <v>2.5499999999999998</v>
      </c>
    </row>
    <row r="5" spans="1:13" x14ac:dyDescent="0.25">
      <c r="E5">
        <v>10.000000000000002</v>
      </c>
      <c r="F5">
        <v>0</v>
      </c>
      <c r="G5">
        <v>0</v>
      </c>
      <c r="H5">
        <v>0</v>
      </c>
      <c r="I5">
        <v>0</v>
      </c>
      <c r="J5">
        <v>4.4647491349480957</v>
      </c>
      <c r="K5">
        <v>0</v>
      </c>
      <c r="L5">
        <v>0.46474913494809578</v>
      </c>
      <c r="M5">
        <v>2.9450367647058813</v>
      </c>
    </row>
    <row r="6" spans="1:13" x14ac:dyDescent="0.25">
      <c r="E6">
        <v>10.000000000000002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2.9450367647058813</v>
      </c>
    </row>
    <row r="7" spans="1:13" x14ac:dyDescent="0.25">
      <c r="E7">
        <v>9.3750000000000018</v>
      </c>
      <c r="F7">
        <v>0.625</v>
      </c>
      <c r="G7">
        <v>0</v>
      </c>
      <c r="H7">
        <v>0</v>
      </c>
      <c r="I7">
        <v>0</v>
      </c>
      <c r="J7">
        <v>4.6875000000000009</v>
      </c>
      <c r="K7">
        <v>0</v>
      </c>
      <c r="L7">
        <v>0.68750000000000089</v>
      </c>
      <c r="M7">
        <v>3.5294117647058822</v>
      </c>
    </row>
    <row r="8" spans="1:13" x14ac:dyDescent="0.25">
      <c r="E8">
        <v>7.5000000000000018</v>
      </c>
      <c r="F8">
        <v>2.5</v>
      </c>
      <c r="G8">
        <v>0</v>
      </c>
      <c r="H8">
        <v>0</v>
      </c>
      <c r="I8">
        <v>0</v>
      </c>
      <c r="J8">
        <v>3.7500000000000004</v>
      </c>
      <c r="K8">
        <v>0.24999999999999958</v>
      </c>
      <c r="L8">
        <v>0</v>
      </c>
      <c r="M8">
        <v>3.2352941176470593</v>
      </c>
    </row>
    <row r="9" spans="1:13" x14ac:dyDescent="0.25">
      <c r="E9">
        <v>2.5000000000000013</v>
      </c>
      <c r="F9">
        <v>7.5</v>
      </c>
      <c r="G9">
        <v>0</v>
      </c>
      <c r="H9">
        <v>0</v>
      </c>
      <c r="I9">
        <v>0</v>
      </c>
      <c r="J9">
        <v>0.34602076124567405</v>
      </c>
      <c r="K9">
        <v>0</v>
      </c>
      <c r="L9">
        <v>0.34602076124567399</v>
      </c>
      <c r="M9">
        <v>3.5294117647058822</v>
      </c>
    </row>
    <row r="10" spans="1:13" x14ac:dyDescent="0.25"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3.5294117647058822</v>
      </c>
    </row>
    <row r="11" spans="1:13" x14ac:dyDescent="0.25">
      <c r="E11">
        <v>0</v>
      </c>
      <c r="F11">
        <v>11.25</v>
      </c>
      <c r="G11">
        <v>0</v>
      </c>
      <c r="H11">
        <v>1.2500000000000004</v>
      </c>
      <c r="I11">
        <v>0.81250000000000011</v>
      </c>
      <c r="J11">
        <v>0</v>
      </c>
      <c r="K11">
        <v>0</v>
      </c>
      <c r="L11">
        <v>0</v>
      </c>
      <c r="M11">
        <v>3.5294117647058822</v>
      </c>
    </row>
    <row r="12" spans="1:13" x14ac:dyDescent="0.25">
      <c r="E12">
        <v>0</v>
      </c>
      <c r="F12">
        <v>11.875000000000002</v>
      </c>
      <c r="G12">
        <v>0</v>
      </c>
      <c r="H12">
        <v>1.875000000000002</v>
      </c>
      <c r="I12">
        <v>2.0312500000000009</v>
      </c>
      <c r="J12">
        <v>0</v>
      </c>
      <c r="K12">
        <v>0</v>
      </c>
      <c r="L12">
        <v>0</v>
      </c>
      <c r="M12">
        <v>3.5294117647058822</v>
      </c>
    </row>
    <row r="13" spans="1:13" x14ac:dyDescent="0.25">
      <c r="E13">
        <v>0</v>
      </c>
      <c r="F13">
        <v>12.500000000000002</v>
      </c>
      <c r="G13">
        <v>0</v>
      </c>
      <c r="H13">
        <v>2.5000000000000022</v>
      </c>
      <c r="I13">
        <v>3.6562500000000022</v>
      </c>
      <c r="J13">
        <v>0</v>
      </c>
      <c r="K13">
        <v>0</v>
      </c>
      <c r="L13">
        <v>0</v>
      </c>
      <c r="M13">
        <v>3.5294117647058822</v>
      </c>
    </row>
    <row r="14" spans="1:13" x14ac:dyDescent="0.25">
      <c r="E14">
        <v>0</v>
      </c>
      <c r="F14">
        <v>12.500000000000002</v>
      </c>
      <c r="G14">
        <v>0</v>
      </c>
      <c r="H14">
        <v>2.5000000000000022</v>
      </c>
      <c r="I14">
        <v>5.2812500000000036</v>
      </c>
      <c r="J14">
        <v>0</v>
      </c>
      <c r="K14">
        <v>0</v>
      </c>
      <c r="L14">
        <v>0</v>
      </c>
      <c r="M14">
        <v>3.5294117647058822</v>
      </c>
    </row>
    <row r="15" spans="1:13" x14ac:dyDescent="0.25">
      <c r="E15">
        <v>0</v>
      </c>
      <c r="F15">
        <v>12.500000000000002</v>
      </c>
      <c r="G15">
        <v>0</v>
      </c>
      <c r="H15">
        <v>2.5000000000000022</v>
      </c>
      <c r="I15">
        <v>6.9062500000000044</v>
      </c>
      <c r="J15">
        <v>0</v>
      </c>
      <c r="K15">
        <v>0</v>
      </c>
      <c r="L15">
        <v>0</v>
      </c>
      <c r="M15">
        <v>3.5294117647058822</v>
      </c>
    </row>
    <row r="16" spans="1:13" x14ac:dyDescent="0.25">
      <c r="E16">
        <v>0</v>
      </c>
      <c r="F16">
        <v>11.875000000000002</v>
      </c>
      <c r="G16">
        <v>0</v>
      </c>
      <c r="H16">
        <v>1.875000000000002</v>
      </c>
      <c r="I16">
        <v>8.1250000000000053</v>
      </c>
      <c r="J16">
        <v>0</v>
      </c>
      <c r="K16">
        <v>0</v>
      </c>
      <c r="L16">
        <v>0</v>
      </c>
      <c r="M16">
        <v>3.5294117647058822</v>
      </c>
    </row>
    <row r="17" spans="5:13" x14ac:dyDescent="0.25">
      <c r="E17">
        <v>0</v>
      </c>
      <c r="F17">
        <v>11.25</v>
      </c>
      <c r="G17">
        <v>0</v>
      </c>
      <c r="H17">
        <v>1.2500000000000004</v>
      </c>
      <c r="I17">
        <v>8.9375000000000053</v>
      </c>
      <c r="J17">
        <v>0</v>
      </c>
      <c r="K17">
        <v>0</v>
      </c>
      <c r="L17">
        <v>0</v>
      </c>
      <c r="M17">
        <v>3.5294117647058822</v>
      </c>
    </row>
    <row r="18" spans="5:13" x14ac:dyDescent="0.25">
      <c r="E18">
        <v>0</v>
      </c>
      <c r="F18">
        <v>10</v>
      </c>
      <c r="G18">
        <v>0</v>
      </c>
      <c r="H18">
        <v>0</v>
      </c>
      <c r="I18">
        <v>8.9375000000000053</v>
      </c>
      <c r="J18">
        <v>0</v>
      </c>
      <c r="K18">
        <v>0</v>
      </c>
      <c r="L18">
        <v>0</v>
      </c>
      <c r="M18">
        <v>3.5294117647058822</v>
      </c>
    </row>
    <row r="19" spans="5:13" x14ac:dyDescent="0.25">
      <c r="E19">
        <v>2.5000000000000013</v>
      </c>
      <c r="F19">
        <v>7.5</v>
      </c>
      <c r="G19">
        <v>0</v>
      </c>
      <c r="H19">
        <v>0</v>
      </c>
      <c r="I19">
        <v>8.9375000000000053</v>
      </c>
      <c r="J19">
        <v>1.2500000000000004</v>
      </c>
      <c r="K19">
        <v>2.7500000000000004</v>
      </c>
      <c r="L19">
        <v>0</v>
      </c>
      <c r="M19">
        <v>0.29411764705882304</v>
      </c>
    </row>
    <row r="20" spans="5:13" x14ac:dyDescent="0.25">
      <c r="E20">
        <v>7.5000000000000018</v>
      </c>
      <c r="F20">
        <v>2.5</v>
      </c>
      <c r="G20">
        <v>0</v>
      </c>
      <c r="H20">
        <v>0</v>
      </c>
      <c r="I20">
        <v>8.9375000000000053</v>
      </c>
      <c r="J20">
        <v>3.7500000000000004</v>
      </c>
      <c r="K20">
        <v>0.24999999999999958</v>
      </c>
      <c r="L20">
        <v>0</v>
      </c>
      <c r="M20">
        <v>0</v>
      </c>
    </row>
    <row r="21" spans="5:13" x14ac:dyDescent="0.25">
      <c r="E21">
        <v>10.000000000000002</v>
      </c>
      <c r="F21">
        <v>0</v>
      </c>
      <c r="G21">
        <v>0</v>
      </c>
      <c r="H21">
        <v>0</v>
      </c>
      <c r="I21">
        <v>8.9375000000000053</v>
      </c>
      <c r="J21">
        <v>5</v>
      </c>
      <c r="K21">
        <v>0</v>
      </c>
      <c r="L21">
        <v>1</v>
      </c>
      <c r="M21">
        <v>0.85000000000000009</v>
      </c>
    </row>
    <row r="22" spans="5:13" x14ac:dyDescent="0.25">
      <c r="E22">
        <v>10.000000000000002</v>
      </c>
      <c r="F22">
        <v>0</v>
      </c>
      <c r="G22">
        <v>0</v>
      </c>
      <c r="H22">
        <v>0</v>
      </c>
      <c r="I22">
        <v>8.9375000000000053</v>
      </c>
      <c r="J22">
        <v>4</v>
      </c>
      <c r="K22">
        <v>0</v>
      </c>
      <c r="L22">
        <v>0</v>
      </c>
      <c r="M22">
        <v>0.85000000000000009</v>
      </c>
    </row>
    <row r="23" spans="5:13" x14ac:dyDescent="0.25">
      <c r="E23">
        <v>8.1906249999999972</v>
      </c>
      <c r="F23">
        <v>0</v>
      </c>
      <c r="G23">
        <v>1.8093750000000042</v>
      </c>
      <c r="H23">
        <v>0</v>
      </c>
      <c r="I23">
        <v>6.1538461538461533</v>
      </c>
      <c r="J23">
        <v>4</v>
      </c>
      <c r="K23">
        <v>0</v>
      </c>
      <c r="L23">
        <v>0</v>
      </c>
      <c r="M23">
        <v>0.85000000000000009</v>
      </c>
    </row>
    <row r="24" spans="5:13" x14ac:dyDescent="0.25">
      <c r="E24">
        <v>8.0000000000000018</v>
      </c>
      <c r="F24">
        <v>0</v>
      </c>
      <c r="G24">
        <v>2.0000000000000004</v>
      </c>
      <c r="H24">
        <v>0</v>
      </c>
      <c r="I24">
        <v>3.0769230769230766</v>
      </c>
      <c r="J24">
        <v>4</v>
      </c>
      <c r="K24">
        <v>0</v>
      </c>
      <c r="L24">
        <v>0</v>
      </c>
      <c r="M24">
        <v>0.84999999999999964</v>
      </c>
    </row>
    <row r="25" spans="5:13" x14ac:dyDescent="0.25">
      <c r="E25">
        <v>8.0000000000000018</v>
      </c>
      <c r="F25">
        <v>0</v>
      </c>
      <c r="G25">
        <v>2.0000000000000004</v>
      </c>
      <c r="H25">
        <v>0</v>
      </c>
      <c r="I25">
        <v>0</v>
      </c>
      <c r="J25">
        <v>4</v>
      </c>
      <c r="K25">
        <v>0</v>
      </c>
      <c r="L25">
        <v>0</v>
      </c>
      <c r="M25">
        <v>0.84999999999999964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Tech</vt:lpstr>
      <vt:lpstr>D</vt:lpstr>
      <vt:lpstr>Esquema de Variables</vt:lpstr>
      <vt:lpstr>Solution</vt:lpstr>
      <vt:lpstr>Graficos</vt:lpstr>
      <vt:lpstr>demanda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