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ore305\Dropbox (GaTech)\Rachel Moore\2022-6-30-GAAB1-metabolic-model\2022-12-28-EXCEL-modelannotations\"/>
    </mc:Choice>
  </mc:AlternateContent>
  <xr:revisionPtr revIDLastSave="0" documentId="8_{3C38AC4A-F896-4555-AFED-830C618674BE}" xr6:coauthVersionLast="36" xr6:coauthVersionMax="36" xr10:uidLastSave="{00000000-0000-0000-0000-000000000000}"/>
  <bookViews>
    <workbookView xWindow="0" yWindow="0" windowWidth="7155" windowHeight="8865" xr2:uid="{B8D2F695-5D2B-4A15-83B5-5E565580014F}"/>
  </bookViews>
  <sheets>
    <sheet name="Main media BG11" sheetId="1" r:id="rId1"/>
    <sheet name="Trace metals BG1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3" i="1" l="1"/>
  <c r="E4" i="1"/>
  <c r="G14" i="1"/>
  <c r="G5" i="1"/>
  <c r="J24" i="1" l="1"/>
  <c r="I24" i="1"/>
  <c r="J18" i="1"/>
  <c r="I18" i="1"/>
  <c r="I19" i="1"/>
  <c r="I23" i="1"/>
  <c r="I5" i="1"/>
  <c r="G13" i="2"/>
  <c r="G12" i="2"/>
  <c r="G11" i="2"/>
  <c r="G10" i="2"/>
  <c r="G7" i="2"/>
  <c r="G6" i="2"/>
  <c r="G4" i="2"/>
  <c r="G5" i="2"/>
  <c r="D12" i="2"/>
  <c r="D10" i="2"/>
  <c r="D8" i="2"/>
  <c r="D6" i="2"/>
  <c r="C12" i="2"/>
  <c r="C10" i="2"/>
  <c r="C8" i="2"/>
  <c r="C6" i="2"/>
  <c r="C4" i="2"/>
  <c r="C2" i="2"/>
  <c r="G15" i="1"/>
  <c r="I22" i="1" s="1"/>
  <c r="I2" i="1"/>
  <c r="G13" i="1"/>
  <c r="I17" i="1" s="1"/>
  <c r="G12" i="1"/>
  <c r="I15" i="1" s="1"/>
  <c r="G11" i="1"/>
  <c r="I16" i="1" s="1"/>
  <c r="G10" i="1"/>
  <c r="I13" i="1" s="1"/>
  <c r="G9" i="1"/>
  <c r="I11" i="1" s="1"/>
  <c r="G8" i="1"/>
  <c r="I9" i="1" s="1"/>
  <c r="G7" i="1"/>
  <c r="I8" i="1" s="1"/>
  <c r="I7" i="1"/>
  <c r="G4" i="1"/>
  <c r="I4" i="1"/>
</calcChain>
</file>

<file path=xl/sharedStrings.xml><?xml version="1.0" encoding="utf-8"?>
<sst xmlns="http://schemas.openxmlformats.org/spreadsheetml/2006/main" count="120" uniqueCount="93">
  <si>
    <t>Component</t>
  </si>
  <si>
    <t>Amount</t>
  </si>
  <si>
    <t>Stock Solution Concentration</t>
  </si>
  <si>
    <t>Final Concentration</t>
  </si>
  <si>
    <t>10 mL/L</t>
  </si>
  <si>
    <t>30 g/200 mL dH2O</t>
  </si>
  <si>
    <t>17.6 mM</t>
  </si>
  <si>
    <t>0.8 g/200 mL dH2O</t>
  </si>
  <si>
    <t>0.23 mM</t>
  </si>
  <si>
    <t>1.5 g/200 mL dH2O</t>
  </si>
  <si>
    <t>0.3 mM</t>
  </si>
  <si>
    <t>0.72 g/200 mL dH2O</t>
  </si>
  <si>
    <t>0.24 mM</t>
  </si>
  <si>
    <t>0.12 g/200 mL dH2O</t>
  </si>
  <si>
    <t>0.021 mM</t>
  </si>
  <si>
    <t>0.4 g/200 mL dH2O</t>
  </si>
  <si>
    <t>0.19 mM</t>
  </si>
  <si>
    <t>BG-11 Trace Metals Solution</t>
  </si>
  <si>
    <t>1 mL/L</t>
  </si>
  <si>
    <t>Components</t>
  </si>
  <si>
    <t>Na</t>
  </si>
  <si>
    <t>NO3</t>
  </si>
  <si>
    <t>K2</t>
  </si>
  <si>
    <t>H</t>
  </si>
  <si>
    <t>PO4</t>
  </si>
  <si>
    <t>Mg</t>
  </si>
  <si>
    <t>SO4</t>
  </si>
  <si>
    <t>H2O</t>
  </si>
  <si>
    <t>Ca</t>
  </si>
  <si>
    <t>Cl2</t>
  </si>
  <si>
    <t>Ferric Ammonium Citrate ((NH4)5[Fe(C6H4O7)2])</t>
  </si>
  <si>
    <t>NH4</t>
  </si>
  <si>
    <t>Fe</t>
  </si>
  <si>
    <t>Citrate</t>
  </si>
  <si>
    <t>CO3</t>
  </si>
  <si>
    <t>Cu</t>
  </si>
  <si>
    <t>Zn</t>
  </si>
  <si>
    <t>O2</t>
  </si>
  <si>
    <t>CO2</t>
  </si>
  <si>
    <t>Co</t>
  </si>
  <si>
    <t>K</t>
  </si>
  <si>
    <t>Components broken down</t>
  </si>
  <si>
    <t>Na2</t>
  </si>
  <si>
    <t>Total grams</t>
  </si>
  <si>
    <t>NaNO3</t>
  </si>
  <si>
    <t>K2HPO4</t>
  </si>
  <si>
    <t>MgSO4</t>
  </si>
  <si>
    <t>CaCl2</t>
  </si>
  <si>
    <t>Na2CO3</t>
  </si>
  <si>
    <t>Co3</t>
  </si>
  <si>
    <t>in mmol/L</t>
  </si>
  <si>
    <t>Modelseed</t>
  </si>
  <si>
    <t>cpd00971</t>
  </si>
  <si>
    <t>cpd00209</t>
  </si>
  <si>
    <t>cpd00205</t>
  </si>
  <si>
    <t>cpd00001</t>
  </si>
  <si>
    <t>cpd00009</t>
  </si>
  <si>
    <t>cpd00254</t>
  </si>
  <si>
    <t>cpd00048</t>
  </si>
  <si>
    <t>cpd00063</t>
  </si>
  <si>
    <t>cpd00099</t>
  </si>
  <si>
    <t>cpd00013</t>
  </si>
  <si>
    <t>cpd10516</t>
  </si>
  <si>
    <t>cpd00137</t>
  </si>
  <si>
    <t>cpd17005</t>
  </si>
  <si>
    <t>cpd00011</t>
  </si>
  <si>
    <t>cpd00007</t>
  </si>
  <si>
    <t>cpd00034</t>
  </si>
  <si>
    <t>cpd00058</t>
  </si>
  <si>
    <t>Mn</t>
  </si>
  <si>
    <t>cpd00030</t>
  </si>
  <si>
    <t>2.86 g/L</t>
  </si>
  <si>
    <t>1.81 g/L</t>
  </si>
  <si>
    <t>0.22 g/L</t>
  </si>
  <si>
    <t>0.39 g/L</t>
  </si>
  <si>
    <t>0.079 g/L</t>
  </si>
  <si>
    <t>49.4 mg/L</t>
  </si>
  <si>
    <t>H3BO3</t>
  </si>
  <si>
    <t>MnCl2•4H2O</t>
  </si>
  <si>
    <t>ZnSO4•7H2O</t>
  </si>
  <si>
    <t>Na2MoO4•2H2O</t>
  </si>
  <si>
    <t>CuSO4•5H2O</t>
  </si>
  <si>
    <t>Co(NO3)2•6H2O</t>
  </si>
  <si>
    <t>Final concentration in BG11 (g/L)</t>
  </si>
  <si>
    <t>Amount if 1 mL is taken (g)</t>
  </si>
  <si>
    <t>This one does not matter (Negligible to Na and water, Mo not used in model)</t>
  </si>
  <si>
    <t>grams</t>
  </si>
  <si>
    <t>pH 7</t>
  </si>
  <si>
    <t>cpd00067</t>
  </si>
  <si>
    <t>cpd00149</t>
  </si>
  <si>
    <t>(Negligible to Hydrogen and oxygen content, boron is not used by metabolism)</t>
  </si>
  <si>
    <t>Total grams in L of media</t>
  </si>
  <si>
    <t>Grams in 1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</si>
</sst>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"/>
    <numFmt numFmtId="166" formatCode="0.0000"/>
    <numFmt numFmtId="167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F3F2F2"/>
      </right>
      <top style="medium">
        <color rgb="FFF3F2F2"/>
      </top>
      <bottom style="thin">
        <color indexed="64"/>
      </bottom>
      <diagonal/>
    </border>
    <border>
      <left style="medium">
        <color rgb="FFF3F2F2"/>
      </left>
      <right style="medium">
        <color rgb="FFF3F2F2"/>
      </right>
      <top style="medium">
        <color rgb="FFF3F2F2"/>
      </top>
      <bottom style="thin">
        <color indexed="64"/>
      </bottom>
      <diagonal/>
    </border>
    <border>
      <left/>
      <right style="medium">
        <color rgb="FFF3F2F2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/>
    <xf numFmtId="164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/>
    <xf numFmtId="11" fontId="0" fillId="0" borderId="0" xfId="0" applyNumberFormat="1"/>
    <xf numFmtId="0" fontId="2" fillId="0" borderId="0" xfId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11" fontId="0" fillId="3" borderId="1" xfId="0" applyNumberFormat="1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left"/>
    </xf>
    <xf numFmtId="0" fontId="0" fillId="0" borderId="0" xfId="0" applyBorder="1"/>
    <xf numFmtId="166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2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C274E-4911-4786-B253-AEB51F57648E}">
  <dimension ref="A1:N24"/>
  <sheetViews>
    <sheetView tabSelected="1" zoomScale="85" workbookViewId="0"/>
  </sheetViews>
  <sheetFormatPr defaultColWidth="17.28515625" defaultRowHeight="15" x14ac:dyDescent="0.25"/>
  <cols>
    <col min="4" max="4" width="19.5703125" customWidth="1"/>
  </cols>
  <sheetData>
    <row r="1" spans="1:14" ht="30" x14ac:dyDescent="0.25">
      <c r="A1" s="18" t="s">
        <v>0</v>
      </c>
      <c r="B1" s="18" t="s">
        <v>1</v>
      </c>
      <c r="C1" s="19" t="s">
        <v>2</v>
      </c>
      <c r="D1" s="18" t="s">
        <v>3</v>
      </c>
      <c r="E1" s="20" t="s">
        <v>91</v>
      </c>
      <c r="F1" s="20" t="s">
        <v>19</v>
      </c>
      <c r="G1" s="21" t="s">
        <v>92</v>
      </c>
      <c r="H1" s="7" t="s">
        <v>41</v>
      </c>
      <c r="I1" s="7" t="s">
        <v>43</v>
      </c>
      <c r="J1" s="7" t="s">
        <v>50</v>
      </c>
      <c r="K1" s="15" t="s">
        <v>51</v>
      </c>
      <c r="M1" s="24"/>
      <c r="N1" s="24"/>
    </row>
    <row r="2" spans="1:14" x14ac:dyDescent="0.25">
      <c r="A2" s="37" t="s">
        <v>44</v>
      </c>
      <c r="B2" s="37" t="s">
        <v>4</v>
      </c>
      <c r="C2" s="37" t="s">
        <v>5</v>
      </c>
      <c r="D2" s="37" t="s">
        <v>6</v>
      </c>
      <c r="E2" s="37">
        <v>1.5</v>
      </c>
      <c r="F2" s="4" t="s">
        <v>20</v>
      </c>
      <c r="G2" s="5">
        <v>0.40600000000000003</v>
      </c>
      <c r="H2" s="36" t="s">
        <v>20</v>
      </c>
      <c r="I2" s="33">
        <f>SUM(G2,G14)</f>
        <v>0.41472000000000003</v>
      </c>
      <c r="J2" s="34">
        <v>17.8</v>
      </c>
      <c r="K2" s="32" t="s">
        <v>52</v>
      </c>
    </row>
    <row r="3" spans="1:14" x14ac:dyDescent="0.25">
      <c r="A3" s="38"/>
      <c r="B3" s="38"/>
      <c r="C3" s="38"/>
      <c r="D3" s="38"/>
      <c r="E3" s="38"/>
      <c r="F3" s="4" t="s">
        <v>21</v>
      </c>
      <c r="G3" s="5">
        <f>1.09</f>
        <v>1.0900000000000001</v>
      </c>
      <c r="H3" s="36"/>
      <c r="I3" s="33"/>
      <c r="J3" s="34"/>
      <c r="K3" s="32"/>
    </row>
    <row r="4" spans="1:14" x14ac:dyDescent="0.25">
      <c r="A4" s="39" t="s">
        <v>45</v>
      </c>
      <c r="B4" s="39" t="s">
        <v>4</v>
      </c>
      <c r="C4" s="39" t="s">
        <v>7</v>
      </c>
      <c r="D4" s="39" t="s">
        <v>8</v>
      </c>
      <c r="E4" s="39">
        <f>0.0401</f>
        <v>4.0099999999999997E-2</v>
      </c>
      <c r="F4" s="4" t="s">
        <v>22</v>
      </c>
      <c r="G4" s="5">
        <f>18/1000</f>
        <v>1.7999999999999999E-2</v>
      </c>
      <c r="H4" s="14" t="s">
        <v>21</v>
      </c>
      <c r="I4" s="13">
        <f>G3</f>
        <v>1.0900000000000001</v>
      </c>
      <c r="J4" s="30">
        <v>20.16</v>
      </c>
      <c r="K4" s="16" t="s">
        <v>53</v>
      </c>
    </row>
    <row r="5" spans="1:14" x14ac:dyDescent="0.25">
      <c r="A5" s="38"/>
      <c r="B5" s="38"/>
      <c r="C5" s="38"/>
      <c r="D5" s="38"/>
      <c r="E5" s="38"/>
      <c r="F5" s="4" t="s">
        <v>23</v>
      </c>
      <c r="G5" s="5">
        <f>0.232/1000</f>
        <v>2.32E-4</v>
      </c>
      <c r="H5" s="14" t="s">
        <v>40</v>
      </c>
      <c r="I5" s="13">
        <f>G4</f>
        <v>1.7999999999999999E-2</v>
      </c>
      <c r="J5" s="29">
        <v>0.51200000000000001</v>
      </c>
      <c r="K5" s="16" t="s">
        <v>54</v>
      </c>
    </row>
    <row r="6" spans="1:14" x14ac:dyDescent="0.25">
      <c r="A6" s="39" t="s">
        <v>46</v>
      </c>
      <c r="B6" s="39" t="s">
        <v>4</v>
      </c>
      <c r="C6" s="39" t="s">
        <v>9</v>
      </c>
      <c r="D6" s="39" t="s">
        <v>10</v>
      </c>
      <c r="E6" s="39">
        <v>3.61E-2</v>
      </c>
      <c r="F6" s="4" t="s">
        <v>24</v>
      </c>
      <c r="G6" s="5">
        <f>(14.73+7.131)/1000</f>
        <v>2.1861000000000002E-2</v>
      </c>
      <c r="H6" s="14" t="s">
        <v>23</v>
      </c>
      <c r="I6" s="13" t="s">
        <v>87</v>
      </c>
      <c r="J6" s="25">
        <v>1E-4</v>
      </c>
      <c r="K6" s="16" t="s">
        <v>88</v>
      </c>
    </row>
    <row r="7" spans="1:14" x14ac:dyDescent="0.25">
      <c r="A7" s="38"/>
      <c r="B7" s="38"/>
      <c r="C7" s="38"/>
      <c r="D7" s="38"/>
      <c r="E7" s="38"/>
      <c r="F7" s="4" t="s">
        <v>25</v>
      </c>
      <c r="G7" s="5">
        <f>7.29/1000</f>
        <v>7.2899999999999996E-3</v>
      </c>
      <c r="H7" s="14" t="s">
        <v>24</v>
      </c>
      <c r="I7" s="13">
        <f>G6</f>
        <v>2.1861000000000002E-2</v>
      </c>
      <c r="J7" s="29">
        <v>0.21099999999999999</v>
      </c>
      <c r="K7" s="16" t="s">
        <v>56</v>
      </c>
    </row>
    <row r="8" spans="1:14" x14ac:dyDescent="0.25">
      <c r="A8" s="39" t="s">
        <v>47</v>
      </c>
      <c r="B8" s="39" t="s">
        <v>4</v>
      </c>
      <c r="C8" s="39" t="s">
        <v>11</v>
      </c>
      <c r="D8" s="39" t="s">
        <v>12</v>
      </c>
      <c r="E8" s="39">
        <v>2.6599999999999999E-2</v>
      </c>
      <c r="F8" s="4" t="s">
        <v>26</v>
      </c>
      <c r="G8" s="5">
        <f>(19.19+9.62)/1000</f>
        <v>2.8810000000000002E-2</v>
      </c>
      <c r="H8" s="14" t="s">
        <v>25</v>
      </c>
      <c r="I8" s="13">
        <f>G7</f>
        <v>7.2899999999999996E-3</v>
      </c>
      <c r="J8" s="29">
        <v>0.41099999999999998</v>
      </c>
      <c r="K8" s="16" t="s">
        <v>57</v>
      </c>
    </row>
    <row r="9" spans="1:14" x14ac:dyDescent="0.25">
      <c r="A9" s="38"/>
      <c r="B9" s="38"/>
      <c r="C9" s="38"/>
      <c r="D9" s="38"/>
      <c r="E9" s="38"/>
      <c r="F9" s="4" t="s">
        <v>28</v>
      </c>
      <c r="G9" s="5">
        <f>9.61/1000</f>
        <v>9.6099999999999988E-3</v>
      </c>
      <c r="H9" s="14" t="s">
        <v>26</v>
      </c>
      <c r="I9" s="13">
        <f>G8</f>
        <v>2.8810000000000002E-2</v>
      </c>
      <c r="J9" s="29">
        <v>0.312</v>
      </c>
      <c r="K9" s="16" t="s">
        <v>58</v>
      </c>
    </row>
    <row r="10" spans="1:14" ht="60" x14ac:dyDescent="0.25">
      <c r="A10" s="22" t="s">
        <v>30</v>
      </c>
      <c r="B10" s="22" t="s">
        <v>4</v>
      </c>
      <c r="C10" s="22" t="s">
        <v>13</v>
      </c>
      <c r="D10" s="22" t="s">
        <v>14</v>
      </c>
      <c r="E10" s="22">
        <v>5.5199999999999999E-2</v>
      </c>
      <c r="F10" s="1" t="s">
        <v>29</v>
      </c>
      <c r="G10" s="5">
        <f>16.99/1000</f>
        <v>1.6989999999999998E-2</v>
      </c>
      <c r="H10" s="2" t="s">
        <v>27</v>
      </c>
      <c r="I10" s="13">
        <v>1000</v>
      </c>
      <c r="J10" s="25">
        <v>100</v>
      </c>
      <c r="K10" s="23" t="s">
        <v>55</v>
      </c>
    </row>
    <row r="11" spans="1:14" x14ac:dyDescent="0.25">
      <c r="A11" s="39" t="s">
        <v>48</v>
      </c>
      <c r="B11" s="39" t="s">
        <v>4</v>
      </c>
      <c r="C11" s="39" t="s">
        <v>15</v>
      </c>
      <c r="D11" s="39" t="s">
        <v>16</v>
      </c>
      <c r="E11" s="39">
        <v>2.01E-2</v>
      </c>
      <c r="F11" s="4" t="s">
        <v>32</v>
      </c>
      <c r="G11" s="5">
        <f>15.13/1000</f>
        <v>1.5130000000000001E-2</v>
      </c>
      <c r="H11" s="36" t="s">
        <v>28</v>
      </c>
      <c r="I11" s="33">
        <f>G9</f>
        <v>9.6099999999999988E-3</v>
      </c>
      <c r="J11" s="35">
        <v>0.25</v>
      </c>
      <c r="K11" s="32" t="s">
        <v>59</v>
      </c>
    </row>
    <row r="12" spans="1:14" x14ac:dyDescent="0.25">
      <c r="A12" s="38"/>
      <c r="B12" s="38"/>
      <c r="C12" s="38"/>
      <c r="D12" s="38"/>
      <c r="E12" s="38"/>
      <c r="F12" s="4" t="s">
        <v>31</v>
      </c>
      <c r="G12" s="5">
        <f>(2.94+1.904)/1000</f>
        <v>4.8439999999999993E-3</v>
      </c>
      <c r="H12" s="36"/>
      <c r="I12" s="33"/>
      <c r="J12" s="35"/>
      <c r="K12" s="32"/>
    </row>
    <row r="13" spans="1:14" ht="30" x14ac:dyDescent="0.25">
      <c r="A13" s="10" t="s">
        <v>17</v>
      </c>
      <c r="B13" s="3" t="s">
        <v>18</v>
      </c>
      <c r="C13" s="3"/>
      <c r="D13" s="3"/>
      <c r="E13" s="3"/>
      <c r="F13" s="4" t="s">
        <v>33</v>
      </c>
      <c r="G13" s="5">
        <f>(15.13+25.51)/1000</f>
        <v>4.0640000000000003E-2</v>
      </c>
      <c r="H13" s="36" t="s">
        <v>29</v>
      </c>
      <c r="I13" s="33">
        <f>G10</f>
        <v>1.6989999999999998E-2</v>
      </c>
      <c r="J13" s="35">
        <v>0.28199999999999997</v>
      </c>
      <c r="K13" s="32" t="s">
        <v>60</v>
      </c>
    </row>
    <row r="14" spans="1:14" x14ac:dyDescent="0.25">
      <c r="A14" s="5"/>
      <c r="B14" s="5"/>
      <c r="C14" s="5"/>
      <c r="D14" s="5"/>
      <c r="E14" s="5"/>
      <c r="F14" s="4" t="s">
        <v>42</v>
      </c>
      <c r="G14" s="5">
        <f>8.72/1000</f>
        <v>8.7200000000000003E-3</v>
      </c>
      <c r="H14" s="36"/>
      <c r="I14" s="33"/>
      <c r="J14" s="35"/>
      <c r="K14" s="32"/>
    </row>
    <row r="15" spans="1:14" x14ac:dyDescent="0.25">
      <c r="A15" s="5"/>
      <c r="B15" s="5"/>
      <c r="C15" s="5"/>
      <c r="D15" s="5"/>
      <c r="E15" s="5"/>
      <c r="F15" s="4" t="s">
        <v>34</v>
      </c>
      <c r="G15" s="5">
        <f>(2.278+9.1)/1000</f>
        <v>1.1378000000000001E-2</v>
      </c>
      <c r="H15" s="14" t="s">
        <v>31</v>
      </c>
      <c r="I15" s="6">
        <f>G12</f>
        <v>4.8439999999999993E-3</v>
      </c>
      <c r="J15" s="29">
        <v>0.27700000000000002</v>
      </c>
      <c r="K15" s="16" t="s">
        <v>61</v>
      </c>
    </row>
    <row r="16" spans="1:14" x14ac:dyDescent="0.25">
      <c r="A16" s="5"/>
      <c r="B16" s="5"/>
      <c r="C16" s="5"/>
      <c r="D16" s="5"/>
      <c r="E16" s="5"/>
      <c r="F16" s="5"/>
      <c r="G16" s="5"/>
      <c r="H16" s="14" t="s">
        <v>32</v>
      </c>
      <c r="I16" s="13">
        <f>G11</f>
        <v>1.5130000000000001E-2</v>
      </c>
      <c r="J16" s="29">
        <v>0.35799999999999998</v>
      </c>
      <c r="K16" s="16" t="s">
        <v>62</v>
      </c>
    </row>
    <row r="17" spans="8:11" x14ac:dyDescent="0.25">
      <c r="H17" s="14" t="s">
        <v>33</v>
      </c>
      <c r="I17" s="13">
        <f>G13</f>
        <v>4.0640000000000003E-2</v>
      </c>
      <c r="J17" s="29">
        <v>0.20799999999999999</v>
      </c>
      <c r="K17" s="16" t="s">
        <v>63</v>
      </c>
    </row>
    <row r="18" spans="8:11" x14ac:dyDescent="0.25">
      <c r="H18" s="14" t="s">
        <v>35</v>
      </c>
      <c r="I18" s="11">
        <f>'Trace metals BG11'!G10</f>
        <v>2.83E-5</v>
      </c>
      <c r="J18" s="25">
        <f>0.0004</f>
        <v>4.0000000000000002E-4</v>
      </c>
      <c r="K18" s="16" t="s">
        <v>68</v>
      </c>
    </row>
    <row r="19" spans="8:11" x14ac:dyDescent="0.25">
      <c r="H19" s="14" t="s">
        <v>36</v>
      </c>
      <c r="I19" s="12">
        <f>'Trace metals BG11'!G6</f>
        <v>8.0199999999999998E-5</v>
      </c>
      <c r="J19" s="27">
        <v>1.227E-3</v>
      </c>
      <c r="K19" s="16" t="s">
        <v>67</v>
      </c>
    </row>
    <row r="20" spans="8:11" x14ac:dyDescent="0.25">
      <c r="H20" s="14" t="s">
        <v>37</v>
      </c>
      <c r="I20" s="13">
        <v>1000</v>
      </c>
      <c r="J20" s="31">
        <v>100</v>
      </c>
      <c r="K20" s="23" t="s">
        <v>66</v>
      </c>
    </row>
    <row r="21" spans="8:11" x14ac:dyDescent="0.25">
      <c r="H21" s="14" t="s">
        <v>38</v>
      </c>
      <c r="I21" s="13">
        <v>1000</v>
      </c>
      <c r="J21" s="31">
        <v>100</v>
      </c>
      <c r="K21" s="23" t="s">
        <v>65</v>
      </c>
    </row>
    <row r="22" spans="8:11" x14ac:dyDescent="0.25">
      <c r="H22" s="14" t="s">
        <v>49</v>
      </c>
      <c r="I22" s="13">
        <f>G15</f>
        <v>1.1378000000000001E-2</v>
      </c>
      <c r="J22" s="29">
        <v>0.16700000000000001</v>
      </c>
      <c r="K22" s="16" t="s">
        <v>64</v>
      </c>
    </row>
    <row r="23" spans="8:11" x14ac:dyDescent="0.25">
      <c r="H23" s="14" t="s">
        <v>69</v>
      </c>
      <c r="I23" s="12">
        <f>'Trace metals BG11'!G4</f>
        <v>6.9099999999999999E-4</v>
      </c>
      <c r="J23" s="28">
        <v>1.2579999999999999E-2</v>
      </c>
      <c r="K23" s="16" t="s">
        <v>70</v>
      </c>
    </row>
    <row r="24" spans="8:11" x14ac:dyDescent="0.25">
      <c r="H24" s="14" t="s">
        <v>39</v>
      </c>
      <c r="I24" s="17">
        <f>'Trace metals BG11'!G12</f>
        <v>1.449E-5</v>
      </c>
      <c r="J24" s="26">
        <f>0.000246</f>
        <v>2.4600000000000002E-4</v>
      </c>
      <c r="K24" s="16" t="s">
        <v>89</v>
      </c>
    </row>
  </sheetData>
  <mergeCells count="37">
    <mergeCell ref="A11:A12"/>
    <mergeCell ref="B11:B12"/>
    <mergeCell ref="C11:C12"/>
    <mergeCell ref="D11:D12"/>
    <mergeCell ref="A6:A7"/>
    <mergeCell ref="B6:B7"/>
    <mergeCell ref="A2:A3"/>
    <mergeCell ref="B2:B3"/>
    <mergeCell ref="C2:C3"/>
    <mergeCell ref="D2:D3"/>
    <mergeCell ref="A4:A5"/>
    <mergeCell ref="B4:B5"/>
    <mergeCell ref="C4:C5"/>
    <mergeCell ref="D4:D5"/>
    <mergeCell ref="C6:C7"/>
    <mergeCell ref="D6:D7"/>
    <mergeCell ref="A8:A9"/>
    <mergeCell ref="B8:B9"/>
    <mergeCell ref="C8:C9"/>
    <mergeCell ref="D8:D9"/>
    <mergeCell ref="H11:H12"/>
    <mergeCell ref="H13:H14"/>
    <mergeCell ref="H2:H3"/>
    <mergeCell ref="E2:E3"/>
    <mergeCell ref="E4:E5"/>
    <mergeCell ref="E6:E7"/>
    <mergeCell ref="E8:E9"/>
    <mergeCell ref="E11:E12"/>
    <mergeCell ref="K2:K3"/>
    <mergeCell ref="K11:K12"/>
    <mergeCell ref="K13:K14"/>
    <mergeCell ref="I2:I3"/>
    <mergeCell ref="I11:I12"/>
    <mergeCell ref="I13:I14"/>
    <mergeCell ref="J2:J3"/>
    <mergeCell ref="J11:J12"/>
    <mergeCell ref="J13:J14"/>
  </mergeCells>
  <hyperlinks>
    <hyperlink ref="A13" location="'Trace metals'!A1" display="BG-11 Trace Metals Solution" xr:uid="{AFC54369-E5F6-468D-A9CD-5D1D61C26BFA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CBC0F-C0EB-49FC-BB04-824BC865E73B}">
  <dimension ref="A1:G13"/>
  <sheetViews>
    <sheetView workbookViewId="0"/>
  </sheetViews>
  <sheetFormatPr defaultRowHeight="15" x14ac:dyDescent="0.25"/>
  <cols>
    <col min="1" max="1" width="15.5703125" bestFit="1" customWidth="1"/>
    <col min="3" max="3" width="10" bestFit="1" customWidth="1"/>
    <col min="4" max="4" width="10" customWidth="1"/>
    <col min="7" max="7" width="12" bestFit="1" customWidth="1"/>
  </cols>
  <sheetData>
    <row r="1" spans="1:7" x14ac:dyDescent="0.25">
      <c r="A1" s="8" t="s">
        <v>0</v>
      </c>
      <c r="B1" s="8" t="s">
        <v>1</v>
      </c>
      <c r="C1" s="8" t="s">
        <v>84</v>
      </c>
      <c r="D1" s="8" t="s">
        <v>83</v>
      </c>
      <c r="E1" s="8"/>
      <c r="F1" s="8" t="s">
        <v>41</v>
      </c>
      <c r="G1" s="8" t="s">
        <v>86</v>
      </c>
    </row>
    <row r="2" spans="1:7" x14ac:dyDescent="0.25">
      <c r="A2" t="s">
        <v>77</v>
      </c>
      <c r="B2" t="s">
        <v>71</v>
      </c>
      <c r="C2">
        <f>2.86/1000</f>
        <v>2.8599999999999997E-3</v>
      </c>
      <c r="D2">
        <v>2.8600000000000001E-3</v>
      </c>
      <c r="F2" t="s">
        <v>90</v>
      </c>
    </row>
    <row r="4" spans="1:7" x14ac:dyDescent="0.25">
      <c r="A4" t="s">
        <v>78</v>
      </c>
      <c r="B4" t="s">
        <v>72</v>
      </c>
      <c r="C4">
        <f>1.81/1000</f>
        <v>1.81E-3</v>
      </c>
      <c r="D4">
        <v>1.81E-3</v>
      </c>
      <c r="F4" t="s">
        <v>69</v>
      </c>
      <c r="G4" s="9">
        <f>0.691/1000</f>
        <v>6.9099999999999999E-4</v>
      </c>
    </row>
    <row r="5" spans="1:7" x14ac:dyDescent="0.25">
      <c r="F5" t="s">
        <v>29</v>
      </c>
      <c r="G5" s="9">
        <f>0.892/1000</f>
        <v>8.92E-4</v>
      </c>
    </row>
    <row r="6" spans="1:7" x14ac:dyDescent="0.25">
      <c r="A6" t="s">
        <v>79</v>
      </c>
      <c r="B6" t="s">
        <v>73</v>
      </c>
      <c r="C6">
        <f>0.22/1000</f>
        <v>2.2000000000000001E-4</v>
      </c>
      <c r="D6">
        <f>0.22/1000</f>
        <v>2.2000000000000001E-4</v>
      </c>
      <c r="F6" t="s">
        <v>36</v>
      </c>
      <c r="G6" s="9">
        <f>80.2*0.000001</f>
        <v>8.0199999999999998E-5</v>
      </c>
    </row>
    <row r="7" spans="1:7" x14ac:dyDescent="0.25">
      <c r="F7" t="s">
        <v>26</v>
      </c>
      <c r="G7" s="9">
        <f>(98+39.3)*0.000001</f>
        <v>1.373E-4</v>
      </c>
    </row>
    <row r="8" spans="1:7" x14ac:dyDescent="0.25">
      <c r="A8" t="s">
        <v>80</v>
      </c>
      <c r="B8" t="s">
        <v>74</v>
      </c>
      <c r="C8">
        <f>0.39/1000</f>
        <v>3.8999999999999999E-4</v>
      </c>
      <c r="D8">
        <f>0.39/1000</f>
        <v>3.8999999999999999E-4</v>
      </c>
      <c r="F8" t="s">
        <v>85</v>
      </c>
      <c r="G8" s="9"/>
    </row>
    <row r="9" spans="1:7" x14ac:dyDescent="0.25">
      <c r="G9" s="9"/>
    </row>
    <row r="10" spans="1:7" x14ac:dyDescent="0.25">
      <c r="A10" t="s">
        <v>81</v>
      </c>
      <c r="B10" t="s">
        <v>75</v>
      </c>
      <c r="C10">
        <f>0.079/1000</f>
        <v>7.8999999999999996E-5</v>
      </c>
      <c r="D10">
        <f>0.079/1000</f>
        <v>7.8999999999999996E-5</v>
      </c>
      <c r="F10" t="s">
        <v>35</v>
      </c>
      <c r="G10" s="9">
        <f>28.3*0.000001</f>
        <v>2.83E-5</v>
      </c>
    </row>
    <row r="11" spans="1:7" x14ac:dyDescent="0.25">
      <c r="F11" t="s">
        <v>26</v>
      </c>
      <c r="G11" s="9">
        <f>(14.3+35.6)*0.000001</f>
        <v>4.9900000000000007E-5</v>
      </c>
    </row>
    <row r="12" spans="1:7" x14ac:dyDescent="0.25">
      <c r="A12" t="s">
        <v>82</v>
      </c>
      <c r="B12" t="s">
        <v>76</v>
      </c>
      <c r="C12">
        <f>49.4*0.000001</f>
        <v>4.9399999999999995E-5</v>
      </c>
      <c r="D12">
        <f>49.4*0.000001</f>
        <v>4.9399999999999995E-5</v>
      </c>
      <c r="F12" t="s">
        <v>39</v>
      </c>
      <c r="G12" s="9">
        <f>14.49*0.000001</f>
        <v>1.449E-5</v>
      </c>
    </row>
    <row r="13" spans="1:7" x14ac:dyDescent="0.25">
      <c r="F13" t="s">
        <v>21</v>
      </c>
      <c r="G13" s="9">
        <f>(6.887+27.53)*0.000001</f>
        <v>3.4416999999999999E-5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media BG11</vt:lpstr>
      <vt:lpstr>Trace metals BG11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Moore, Rachel A</dc:creator>
  <cp:lastModifiedBy>Moore, Rachel A</cp:lastModifiedBy>
  <dcterms:created xsi:type="dcterms:W3CDTF">2022-07-13T19:37:25Z</dcterms:created>
  <dcterms:modified xsi:type="dcterms:W3CDTF">2023-01-06T19:09:00Z</dcterms:modified>
</cp:coreProperties>
</file>